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3\2. REPORTES PUBLICACIÓN\"/>
    </mc:Choice>
  </mc:AlternateContent>
  <xr:revisionPtr revIDLastSave="0" documentId="13_ncr:1_{94E58665-88E6-4D93-80E2-90EF1AE89F35}" xr6:coauthVersionLast="47" xr6:coauthVersionMax="47" xr10:uidLastSave="{00000000-0000-0000-0000-000000000000}"/>
  <bookViews>
    <workbookView xWindow="-120" yWindow="-120" windowWidth="20730" windowHeight="11040" xr2:uid="{00000000-000D-0000-FFFF-FFFF00000000}"/>
  </bookViews>
  <sheets>
    <sheet name="1.CPF" sheetId="21" r:id="rId1"/>
    <sheet name="2.CREO" sheetId="19" r:id="rId2"/>
    <sheet name="3.DAD" sheetId="36" r:id="rId3"/>
    <sheet name="4.FCB" sheetId="26" r:id="rId4"/>
    <sheet name="5.FCE" sheetId="17" r:id="rId5"/>
    <sheet name="6.FCS" sheetId="32" r:id="rId6"/>
    <sheet name="7.FEE" sheetId="1" r:id="rId7"/>
    <sheet name="8.FHU" sheetId="24" r:id="rId8"/>
    <sheet name="9.FIN" sheetId="27" r:id="rId9"/>
    <sheet name="10.VAC" sheetId="34" r:id="rId10"/>
    <sheet name="11.VAD.ADM" sheetId="29" r:id="rId11"/>
    <sheet name="12. VAD CONT." sheetId="35" r:id="rId12"/>
    <sheet name="13.VEX" sheetId="33" r:id="rId13"/>
    <sheet name="14.VIN" sheetId="20" r:id="rId14"/>
    <sheet name="Datos" sheetId="16"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'1.CPF'!$A$1:$AI$55</definedName>
    <definedName name="_xlnm._FilterDatabase" localSheetId="10" hidden="1">'11.VAD.ADM'!$A$4:$AK$4</definedName>
    <definedName name="_xlnm._FilterDatabase" localSheetId="11" hidden="1">'12. VAD CONT.'!$A$4:$AH$956</definedName>
    <definedName name="_xlnm._FilterDatabase" localSheetId="12" hidden="1">'13.VEX'!$A$1:$BZ$775</definedName>
    <definedName name="_xlnm._FilterDatabase" localSheetId="13" hidden="1">'14.VIN'!$A$4:$AI$359</definedName>
    <definedName name="_xlnm._FilterDatabase" localSheetId="1" hidden="1">'2.CREO'!$A$1:$AH$78</definedName>
    <definedName name="_xlnm._FilterDatabase" localSheetId="2" hidden="1">'3.DAD'!$A$1:$AH$204</definedName>
    <definedName name="_xlnm._FilterDatabase" localSheetId="4" hidden="1">'5.FCE'!$A$4:$AQ$28</definedName>
    <definedName name="_xlnm._FilterDatabase" localSheetId="5" hidden="1">'6.FCS'!$A$4:$AF$24</definedName>
    <definedName name="_xlnm._FilterDatabase" localSheetId="6" hidden="1">'7.FEE'!$A$4:$AH$29</definedName>
    <definedName name="_xlnm._FilterDatabase" localSheetId="7" hidden="1">'8.FHU'!$A$4:$AH$21</definedName>
    <definedName name="_xlnm._FilterDatabase" localSheetId="8" hidden="1">'9.FIN'!$A$4:$AH$21</definedName>
    <definedName name="cortea" localSheetId="0">#REF!</definedName>
    <definedName name="cortea" localSheetId="9">[1]Datos!$C$2:$C$14</definedName>
    <definedName name="cortea" localSheetId="10">[2]Datos!$C$2:$C$14</definedName>
    <definedName name="cortea" localSheetId="12">[3]Datos!$C$2:$C$14</definedName>
    <definedName name="cortea" localSheetId="13">#REF!</definedName>
    <definedName name="cortea" localSheetId="1">#REF!</definedName>
    <definedName name="cortea" localSheetId="3">[4]Datos!$C$2:$C$14</definedName>
    <definedName name="cortea" localSheetId="4">#REF!</definedName>
    <definedName name="cortea" localSheetId="5">[5]Datos!$C$2:$C$14</definedName>
    <definedName name="cortea" localSheetId="7">[6]Datos!$C$2:$C$14</definedName>
    <definedName name="cortea" localSheetId="8">[7]Datos!$C$2:$C$14</definedName>
    <definedName name="cortea">Datos!$C$2:$C$14</definedName>
    <definedName name="Delegatarios" localSheetId="0">#REF!</definedName>
    <definedName name="Delegatarios" localSheetId="9">[1]Datos!$B$2:$B$17</definedName>
    <definedName name="Delegatarios" localSheetId="10">[2]Datos!$B$2:$B$17</definedName>
    <definedName name="Delegatarios" localSheetId="12">[3]Datos!$B$2:$B$17</definedName>
    <definedName name="Delegatarios" localSheetId="13">#REF!</definedName>
    <definedName name="Delegatarios" localSheetId="1">#REF!</definedName>
    <definedName name="Delegatarios" localSheetId="3">[4]Datos!$B$2:$B$17</definedName>
    <definedName name="Delegatarios" localSheetId="4">#REF!</definedName>
    <definedName name="Delegatarios" localSheetId="5">[5]Datos!$B$2:$B$17</definedName>
    <definedName name="Delegatarios" localSheetId="7">[6]Datos!$B$2:$B$17</definedName>
    <definedName name="Delegatarios" localSheetId="8">[7]Datos!$B$2:$B$17</definedName>
    <definedName name="Delegatarios">Datos!$B$2:$B$17</definedName>
    <definedName name="jjb">'12. VAD CONT.'!$AA:$AA</definedName>
    <definedName name="modalidad" localSheetId="0">#REF!</definedName>
    <definedName name="modalidad" localSheetId="9">[1]Datos!$E$2:$E$9</definedName>
    <definedName name="modalidad" localSheetId="10">[2]Datos!$E$2:$E$9</definedName>
    <definedName name="modalidad" localSheetId="12">[3]Datos!$E$2:$E$9</definedName>
    <definedName name="modalidad" localSheetId="13">#REF!</definedName>
    <definedName name="modalidad" localSheetId="1">#REF!</definedName>
    <definedName name="modalidad" localSheetId="3">[4]Datos!$E$2:$E$9</definedName>
    <definedName name="modalidad" localSheetId="4">#REF!</definedName>
    <definedName name="modalidad" localSheetId="5">[5]Datos!$E$2:$E$9</definedName>
    <definedName name="modalidad" localSheetId="7">[6]Datos!$E$2:$E$9</definedName>
    <definedName name="modalidad" localSheetId="8">[7]Datos!$E$2:$E$9</definedName>
    <definedName name="modalidad">Datos!$E$2:$E$9</definedName>
    <definedName name="Periodosausteridad">Datos!$A$2:$A$6</definedName>
    <definedName name="rubro" localSheetId="0">#REF!</definedName>
    <definedName name="rubro" localSheetId="9">[1]Datos!$D$2:$D$6</definedName>
    <definedName name="rubro" localSheetId="10">[2]Datos!$D$2:$D$6</definedName>
    <definedName name="rubro" localSheetId="12">[3]Datos!$D$2:$D$6</definedName>
    <definedName name="rubro" localSheetId="13">#REF!</definedName>
    <definedName name="rubro" localSheetId="1">#REF!</definedName>
    <definedName name="rubro" localSheetId="3">[4]Datos!$D$2:$D$6</definedName>
    <definedName name="rubro" localSheetId="4">#REF!</definedName>
    <definedName name="rubro" localSheetId="5">[5]Datos!$D$2:$D$6</definedName>
    <definedName name="rubro" localSheetId="7">[6]Datos!$D$2:$D$6</definedName>
    <definedName name="rubro" localSheetId="8">[7]Datos!$D$2:$D$6</definedName>
    <definedName name="rubro">Datos!$D$2:$D$6</definedName>
    <definedName name="tipologia" localSheetId="0">#REF!</definedName>
    <definedName name="tipologia" localSheetId="9">[1]Datos!$F$2:$F$10</definedName>
    <definedName name="tipologia" localSheetId="10">[2]Datos!$F$2:$F$10</definedName>
    <definedName name="tipologia" localSheetId="12">[3]Datos!$F$2:$F$10</definedName>
    <definedName name="tipologia" localSheetId="13">#REF!</definedName>
    <definedName name="tipologia" localSheetId="1">#REF!</definedName>
    <definedName name="tipologia" localSheetId="3">[4]Datos!$F$2:$F$10</definedName>
    <definedName name="tipologia" localSheetId="4">#REF!</definedName>
    <definedName name="tipologia" localSheetId="5">[5]Datos!$F$2:$F$10</definedName>
    <definedName name="tipologia" localSheetId="7">[6]Datos!$F$2:$F$10</definedName>
    <definedName name="tipologia" localSheetId="8">[7]Datos!$F$2:$F$10</definedName>
    <definedName name="tipologia">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 i="17" l="1"/>
  <c r="E204" i="36"/>
  <c r="X204" i="36" l="1"/>
  <c r="L204" i="36"/>
  <c r="K204" i="36"/>
  <c r="J204" i="36"/>
  <c r="I204" i="36"/>
  <c r="M203" i="36"/>
  <c r="M202" i="36"/>
  <c r="Y202" i="36" s="1"/>
  <c r="M201" i="36"/>
  <c r="Z201" i="36" s="1"/>
  <c r="M200" i="36"/>
  <c r="Y200" i="36" s="1"/>
  <c r="M199" i="36"/>
  <c r="Z199" i="36" s="1"/>
  <c r="M198" i="36"/>
  <c r="Y198" i="36" s="1"/>
  <c r="M197" i="36"/>
  <c r="Y197" i="36" s="1"/>
  <c r="M196" i="36"/>
  <c r="Y196" i="36" s="1"/>
  <c r="M195" i="36"/>
  <c r="Z195" i="36" s="1"/>
  <c r="M194" i="36"/>
  <c r="Y194" i="36" s="1"/>
  <c r="M193" i="36"/>
  <c r="Z193" i="36" s="1"/>
  <c r="M192" i="36"/>
  <c r="Y192" i="36" s="1"/>
  <c r="M191" i="36"/>
  <c r="M190" i="36"/>
  <c r="Y190" i="36" s="1"/>
  <c r="M189" i="36"/>
  <c r="Z189" i="36" s="1"/>
  <c r="M188" i="36"/>
  <c r="Y188" i="36" s="1"/>
  <c r="M187" i="36"/>
  <c r="Z187" i="36" s="1"/>
  <c r="M186" i="36"/>
  <c r="M185" i="36"/>
  <c r="Y185" i="36" s="1"/>
  <c r="M184" i="36"/>
  <c r="Y184" i="36" s="1"/>
  <c r="M183" i="36"/>
  <c r="Z183" i="36" s="1"/>
  <c r="M182" i="36"/>
  <c r="Y182" i="36" s="1"/>
  <c r="M181" i="36"/>
  <c r="Z181" i="36" s="1"/>
  <c r="M180" i="36"/>
  <c r="Y180" i="36" s="1"/>
  <c r="M179" i="36"/>
  <c r="M178" i="36"/>
  <c r="Y178" i="36" s="1"/>
  <c r="M177" i="36"/>
  <c r="Z177" i="36" s="1"/>
  <c r="M176" i="36"/>
  <c r="Y176" i="36" s="1"/>
  <c r="M175" i="36"/>
  <c r="Z175" i="36" s="1"/>
  <c r="M174" i="36"/>
  <c r="M173" i="36"/>
  <c r="Y173" i="36" s="1"/>
  <c r="M172" i="36"/>
  <c r="Y172" i="36" s="1"/>
  <c r="M171" i="36"/>
  <c r="Z171" i="36" s="1"/>
  <c r="M170" i="36"/>
  <c r="Y170" i="36" s="1"/>
  <c r="M169" i="36"/>
  <c r="Z169" i="36" s="1"/>
  <c r="M168" i="36"/>
  <c r="Y168" i="36" s="1"/>
  <c r="M167" i="36"/>
  <c r="M166" i="36"/>
  <c r="Y166" i="36" s="1"/>
  <c r="M165" i="36"/>
  <c r="Z165" i="36" s="1"/>
  <c r="M164" i="36"/>
  <c r="Y164" i="36" s="1"/>
  <c r="M163" i="36"/>
  <c r="Z163" i="36" s="1"/>
  <c r="M162" i="36"/>
  <c r="M161" i="36"/>
  <c r="Z161" i="36" s="1"/>
  <c r="M160" i="36"/>
  <c r="Y160" i="36" s="1"/>
  <c r="M159" i="36"/>
  <c r="Z159" i="36" s="1"/>
  <c r="M158" i="36"/>
  <c r="Y158" i="36" s="1"/>
  <c r="M157" i="36"/>
  <c r="Z157" i="36" s="1"/>
  <c r="M156" i="36"/>
  <c r="Y156" i="36" s="1"/>
  <c r="M155" i="36"/>
  <c r="M154" i="36"/>
  <c r="Y154" i="36" s="1"/>
  <c r="M153" i="36"/>
  <c r="Z153" i="36" s="1"/>
  <c r="M152" i="36"/>
  <c r="Y152" i="36" s="1"/>
  <c r="M151" i="36"/>
  <c r="Z151" i="36" s="1"/>
  <c r="M150" i="36"/>
  <c r="M149" i="36"/>
  <c r="Y149" i="36" s="1"/>
  <c r="M148" i="36"/>
  <c r="Y148" i="36" s="1"/>
  <c r="M147" i="36"/>
  <c r="Z147" i="36" s="1"/>
  <c r="M146" i="36"/>
  <c r="Y146" i="36" s="1"/>
  <c r="Y145" i="36"/>
  <c r="M145" i="36"/>
  <c r="Z145" i="36" s="1"/>
  <c r="M144" i="36"/>
  <c r="Y144" i="36" s="1"/>
  <c r="M143" i="36"/>
  <c r="M142" i="36"/>
  <c r="Y142" i="36" s="1"/>
  <c r="M141" i="36"/>
  <c r="Z141" i="36" s="1"/>
  <c r="M140" i="36"/>
  <c r="Y140" i="36" s="1"/>
  <c r="M139" i="36"/>
  <c r="Y139" i="36" s="1"/>
  <c r="M138" i="36"/>
  <c r="M137" i="36"/>
  <c r="Y137" i="36" s="1"/>
  <c r="M136" i="36"/>
  <c r="Y136" i="36" s="1"/>
  <c r="Z135" i="36"/>
  <c r="M135" i="36"/>
  <c r="Y135" i="36" s="1"/>
  <c r="M134" i="36"/>
  <c r="Y134" i="36" s="1"/>
  <c r="M133" i="36"/>
  <c r="Z133" i="36" s="1"/>
  <c r="M132" i="36"/>
  <c r="Y132" i="36" s="1"/>
  <c r="M131" i="36"/>
  <c r="M130" i="36"/>
  <c r="Y130" i="36" s="1"/>
  <c r="M129" i="36"/>
  <c r="Z129" i="36" s="1"/>
  <c r="M128" i="36"/>
  <c r="Y128" i="36" s="1"/>
  <c r="M127" i="36"/>
  <c r="Z127" i="36" s="1"/>
  <c r="M126" i="36"/>
  <c r="M125" i="36"/>
  <c r="Z125" i="36" s="1"/>
  <c r="M124" i="36"/>
  <c r="Y124" i="36" s="1"/>
  <c r="M123" i="36"/>
  <c r="Z123" i="36" s="1"/>
  <c r="M122" i="36"/>
  <c r="Y122" i="36" s="1"/>
  <c r="M121" i="36"/>
  <c r="Z121" i="36" s="1"/>
  <c r="M120" i="36"/>
  <c r="Y120" i="36" s="1"/>
  <c r="M119" i="36"/>
  <c r="M118" i="36"/>
  <c r="Y118" i="36" s="1"/>
  <c r="M117" i="36"/>
  <c r="Z117" i="36" s="1"/>
  <c r="M116" i="36"/>
  <c r="Y116" i="36" s="1"/>
  <c r="M115" i="36"/>
  <c r="Y115" i="36" s="1"/>
  <c r="M114" i="36"/>
  <c r="M113" i="36"/>
  <c r="Y113" i="36" s="1"/>
  <c r="M112" i="36"/>
  <c r="Y112" i="36" s="1"/>
  <c r="M111" i="36"/>
  <c r="Z111" i="36" s="1"/>
  <c r="M110" i="36"/>
  <c r="Y110" i="36" s="1"/>
  <c r="M109" i="36"/>
  <c r="Z109" i="36" s="1"/>
  <c r="M108" i="36"/>
  <c r="Y108" i="36" s="1"/>
  <c r="M107" i="36"/>
  <c r="M106" i="36"/>
  <c r="Y106" i="36" s="1"/>
  <c r="M105" i="36"/>
  <c r="Z105" i="36" s="1"/>
  <c r="M104" i="36"/>
  <c r="Y104" i="36" s="1"/>
  <c r="M103" i="36"/>
  <c r="Y103" i="36" s="1"/>
  <c r="M102" i="36"/>
  <c r="M101" i="36"/>
  <c r="Y101" i="36" s="1"/>
  <c r="M100" i="36"/>
  <c r="Y100" i="36" s="1"/>
  <c r="M99" i="36"/>
  <c r="Y99" i="36" s="1"/>
  <c r="M98" i="36"/>
  <c r="Y98" i="36" s="1"/>
  <c r="M97" i="36"/>
  <c r="Z97" i="36" s="1"/>
  <c r="M96" i="36"/>
  <c r="Y96" i="36" s="1"/>
  <c r="M95" i="36"/>
  <c r="M94" i="36"/>
  <c r="Y94" i="36" s="1"/>
  <c r="M93" i="36"/>
  <c r="Z93" i="36" s="1"/>
  <c r="M92" i="36"/>
  <c r="Y92" i="36" s="1"/>
  <c r="M91" i="36"/>
  <c r="Y91" i="36" s="1"/>
  <c r="M90" i="36"/>
  <c r="M89" i="36"/>
  <c r="Z89" i="36" s="1"/>
  <c r="M88" i="36"/>
  <c r="Y88" i="36" s="1"/>
  <c r="M87" i="36"/>
  <c r="Z87" i="36" s="1"/>
  <c r="M86" i="36"/>
  <c r="Y86" i="36" s="1"/>
  <c r="M85" i="36"/>
  <c r="Z85" i="36" s="1"/>
  <c r="M84" i="36"/>
  <c r="Y84" i="36" s="1"/>
  <c r="M83" i="36"/>
  <c r="M82" i="36"/>
  <c r="Y82" i="36" s="1"/>
  <c r="M81" i="36"/>
  <c r="Z81" i="36" s="1"/>
  <c r="M80" i="36"/>
  <c r="Y80" i="36" s="1"/>
  <c r="M79" i="36"/>
  <c r="Y79" i="36" s="1"/>
  <c r="M78" i="36"/>
  <c r="M77" i="36"/>
  <c r="Z77" i="36" s="1"/>
  <c r="M76" i="36"/>
  <c r="Y76" i="36" s="1"/>
  <c r="M75" i="36"/>
  <c r="Z75" i="36" s="1"/>
  <c r="M74" i="36"/>
  <c r="Y74" i="36" s="1"/>
  <c r="M73" i="36"/>
  <c r="Z73" i="36" s="1"/>
  <c r="M72" i="36"/>
  <c r="Y72" i="36" s="1"/>
  <c r="M71" i="36"/>
  <c r="M70" i="36"/>
  <c r="Y70" i="36" s="1"/>
  <c r="M69" i="36"/>
  <c r="Z69" i="36" s="1"/>
  <c r="M68" i="36"/>
  <c r="Y68" i="36" s="1"/>
  <c r="M67" i="36"/>
  <c r="Z67" i="36" s="1"/>
  <c r="M66" i="36"/>
  <c r="M65" i="36"/>
  <c r="Z65" i="36" s="1"/>
  <c r="M64" i="36"/>
  <c r="Y64" i="36" s="1"/>
  <c r="M63" i="36"/>
  <c r="Y63" i="36" s="1"/>
  <c r="M62" i="36"/>
  <c r="Y62" i="36" s="1"/>
  <c r="M61" i="36"/>
  <c r="Z61" i="36" s="1"/>
  <c r="M60" i="36"/>
  <c r="Y60" i="36" s="1"/>
  <c r="M59" i="36"/>
  <c r="M58" i="36"/>
  <c r="Y58" i="36" s="1"/>
  <c r="M57" i="36"/>
  <c r="Z57" i="36" s="1"/>
  <c r="M56" i="36"/>
  <c r="Y56" i="36" s="1"/>
  <c r="M55" i="36"/>
  <c r="Y55" i="36" s="1"/>
  <c r="M54" i="36"/>
  <c r="M53" i="36"/>
  <c r="Z53" i="36" s="1"/>
  <c r="M52" i="36"/>
  <c r="Y52" i="36" s="1"/>
  <c r="M51" i="36"/>
  <c r="Z51" i="36" s="1"/>
  <c r="M50" i="36"/>
  <c r="Y50" i="36" s="1"/>
  <c r="M49" i="36"/>
  <c r="Z49" i="36" s="1"/>
  <c r="M48" i="36"/>
  <c r="Y48" i="36" s="1"/>
  <c r="M47" i="36"/>
  <c r="M46" i="36"/>
  <c r="Y46" i="36" s="1"/>
  <c r="M45" i="36"/>
  <c r="Z45" i="36" s="1"/>
  <c r="M44" i="36"/>
  <c r="Y44" i="36" s="1"/>
  <c r="M43" i="36"/>
  <c r="Y43" i="36" s="1"/>
  <c r="M42" i="36"/>
  <c r="M41" i="36"/>
  <c r="Y41" i="36" s="1"/>
  <c r="M40" i="36"/>
  <c r="Y40" i="36" s="1"/>
  <c r="M39" i="36"/>
  <c r="Z39" i="36" s="1"/>
  <c r="M38" i="36"/>
  <c r="Y38" i="36" s="1"/>
  <c r="M37" i="36"/>
  <c r="Z37" i="36" s="1"/>
  <c r="M36" i="36"/>
  <c r="Y36" i="36" s="1"/>
  <c r="M35" i="36"/>
  <c r="M34" i="36"/>
  <c r="Y34" i="36" s="1"/>
  <c r="M33" i="36"/>
  <c r="M32" i="36"/>
  <c r="Z32" i="36" s="1"/>
  <c r="M31" i="36"/>
  <c r="M30" i="36"/>
  <c r="Y30" i="36" s="1"/>
  <c r="M29" i="36"/>
  <c r="M28" i="36"/>
  <c r="Z28" i="36" s="1"/>
  <c r="M27" i="36"/>
  <c r="M26" i="36"/>
  <c r="Z26" i="36" s="1"/>
  <c r="M25" i="36"/>
  <c r="M24" i="36"/>
  <c r="Z24" i="36" s="1"/>
  <c r="M23" i="36"/>
  <c r="M22" i="36"/>
  <c r="Z22" i="36" s="1"/>
  <c r="M21" i="36"/>
  <c r="M20" i="36"/>
  <c r="Z20" i="36" s="1"/>
  <c r="M19" i="36"/>
  <c r="Z18" i="36"/>
  <c r="M18" i="36"/>
  <c r="Y18" i="36" s="1"/>
  <c r="M17" i="36"/>
  <c r="M16" i="36"/>
  <c r="Z16" i="36" s="1"/>
  <c r="M15" i="36"/>
  <c r="M14" i="36"/>
  <c r="Z14" i="36" s="1"/>
  <c r="M13" i="36"/>
  <c r="M12" i="36"/>
  <c r="Y12" i="36" s="1"/>
  <c r="M11" i="36"/>
  <c r="M10" i="36"/>
  <c r="Z10" i="36" s="1"/>
  <c r="M9" i="36"/>
  <c r="Z9" i="36" s="1"/>
  <c r="M8" i="36"/>
  <c r="Z8" i="36" s="1"/>
  <c r="M7" i="36"/>
  <c r="Z7" i="36" s="1"/>
  <c r="M6" i="36"/>
  <c r="Z6" i="36" s="1"/>
  <c r="M5" i="36"/>
  <c r="Y5" i="36" s="1"/>
  <c r="I3" i="36"/>
  <c r="E956" i="35"/>
  <c r="L956" i="35"/>
  <c r="J956" i="35"/>
  <c r="I956" i="35"/>
  <c r="AF955" i="35"/>
  <c r="X955" i="35"/>
  <c r="S955" i="35"/>
  <c r="R955" i="35"/>
  <c r="Q955" i="35"/>
  <c r="M955" i="35"/>
  <c r="AF954" i="35"/>
  <c r="X954" i="35"/>
  <c r="S954" i="35"/>
  <c r="R954" i="35"/>
  <c r="Q954" i="35"/>
  <c r="M954" i="35"/>
  <c r="AF953" i="35"/>
  <c r="S953" i="35"/>
  <c r="R953" i="35"/>
  <c r="Q953" i="35"/>
  <c r="M953" i="35"/>
  <c r="AF952" i="35"/>
  <c r="X952" i="35"/>
  <c r="S952" i="35"/>
  <c r="R952" i="35"/>
  <c r="Q952" i="35"/>
  <c r="M952" i="35"/>
  <c r="AF951" i="35"/>
  <c r="X951" i="35"/>
  <c r="S951" i="35"/>
  <c r="R951" i="35"/>
  <c r="Q951" i="35"/>
  <c r="M951" i="35"/>
  <c r="AF950" i="35"/>
  <c r="X950" i="35"/>
  <c r="S950" i="35"/>
  <c r="R950" i="35"/>
  <c r="Q950" i="35"/>
  <c r="M950" i="35"/>
  <c r="AF949" i="35"/>
  <c r="X949" i="35"/>
  <c r="S949" i="35"/>
  <c r="R949" i="35"/>
  <c r="Q949" i="35"/>
  <c r="M949" i="35"/>
  <c r="AF948" i="35"/>
  <c r="X948" i="35"/>
  <c r="Z948" i="35" s="1"/>
  <c r="S948" i="35"/>
  <c r="R948" i="35"/>
  <c r="Q948" i="35"/>
  <c r="M948" i="35"/>
  <c r="AF947" i="35"/>
  <c r="X947" i="35"/>
  <c r="Y947" i="35" s="1"/>
  <c r="S947" i="35"/>
  <c r="R947" i="35"/>
  <c r="Q947" i="35"/>
  <c r="M947" i="35"/>
  <c r="AF946" i="35"/>
  <c r="S946" i="35"/>
  <c r="R946" i="35"/>
  <c r="Q946" i="35"/>
  <c r="M946" i="35"/>
  <c r="AF945" i="35"/>
  <c r="X945" i="35"/>
  <c r="S945" i="35"/>
  <c r="R945" i="35"/>
  <c r="Q945" i="35"/>
  <c r="M945" i="35"/>
  <c r="AF944" i="35"/>
  <c r="X944" i="35"/>
  <c r="S944" i="35"/>
  <c r="R944" i="35"/>
  <c r="Q944" i="35"/>
  <c r="M944" i="35"/>
  <c r="AF943" i="35"/>
  <c r="X943" i="35"/>
  <c r="S943" i="35"/>
  <c r="R943" i="35"/>
  <c r="Q943" i="35"/>
  <c r="M943" i="35"/>
  <c r="AF942" i="35"/>
  <c r="X942" i="35"/>
  <c r="S942" i="35"/>
  <c r="R942" i="35"/>
  <c r="Q942" i="35"/>
  <c r="M942" i="35"/>
  <c r="AF941" i="35"/>
  <c r="S941" i="35"/>
  <c r="R941" i="35"/>
  <c r="Q941" i="35"/>
  <c r="M941" i="35"/>
  <c r="AF940" i="35"/>
  <c r="X940" i="35"/>
  <c r="S940" i="35"/>
  <c r="R940" i="35"/>
  <c r="Q940" i="35"/>
  <c r="M940" i="35"/>
  <c r="AF939" i="35"/>
  <c r="X939" i="35"/>
  <c r="S939" i="35"/>
  <c r="R939" i="35"/>
  <c r="Q939" i="35"/>
  <c r="M939" i="35"/>
  <c r="AF938" i="35"/>
  <c r="X938" i="35"/>
  <c r="S938" i="35"/>
  <c r="R938" i="35"/>
  <c r="Q938" i="35"/>
  <c r="M938" i="35"/>
  <c r="AF937" i="35"/>
  <c r="X937" i="35"/>
  <c r="S937" i="35"/>
  <c r="R937" i="35"/>
  <c r="Q937" i="35"/>
  <c r="M937" i="35"/>
  <c r="AF936" i="35"/>
  <c r="X936" i="35"/>
  <c r="S936" i="35"/>
  <c r="R936" i="35"/>
  <c r="Q936" i="35"/>
  <c r="M936" i="35"/>
  <c r="AF935" i="35"/>
  <c r="X935" i="35"/>
  <c r="S935" i="35"/>
  <c r="R935" i="35"/>
  <c r="Q935" i="35"/>
  <c r="M935" i="35"/>
  <c r="AF934" i="35"/>
  <c r="X934" i="35"/>
  <c r="S934" i="35"/>
  <c r="R934" i="35"/>
  <c r="Q934" i="35"/>
  <c r="M934" i="35"/>
  <c r="AF933" i="35"/>
  <c r="S933" i="35"/>
  <c r="R933" i="35"/>
  <c r="Q933" i="35"/>
  <c r="M933" i="35"/>
  <c r="AF932" i="35"/>
  <c r="X932" i="35"/>
  <c r="S932" i="35"/>
  <c r="R932" i="35"/>
  <c r="Q932" i="35"/>
  <c r="M932" i="35"/>
  <c r="AF931" i="35"/>
  <c r="X931" i="35"/>
  <c r="S931" i="35"/>
  <c r="R931" i="35"/>
  <c r="Q931" i="35"/>
  <c r="M931" i="35"/>
  <c r="AF930" i="35"/>
  <c r="X930" i="35"/>
  <c r="S930" i="35"/>
  <c r="R930" i="35"/>
  <c r="Q930" i="35"/>
  <c r="M930" i="35"/>
  <c r="AF929" i="35"/>
  <c r="X929" i="35"/>
  <c r="S929" i="35"/>
  <c r="R929" i="35"/>
  <c r="Q929" i="35"/>
  <c r="M929" i="35"/>
  <c r="AF928" i="35"/>
  <c r="X928" i="35"/>
  <c r="S928" i="35"/>
  <c r="R928" i="35"/>
  <c r="Q928" i="35"/>
  <c r="M928" i="35"/>
  <c r="AF927" i="35"/>
  <c r="S927" i="35"/>
  <c r="R927" i="35"/>
  <c r="Q927" i="35"/>
  <c r="M927" i="35"/>
  <c r="AF926" i="35"/>
  <c r="S926" i="35"/>
  <c r="R926" i="35"/>
  <c r="Q926" i="35"/>
  <c r="M926" i="35"/>
  <c r="AF925" i="35"/>
  <c r="S925" i="35"/>
  <c r="R925" i="35"/>
  <c r="Q925" i="35"/>
  <c r="M925" i="35"/>
  <c r="AF924" i="35"/>
  <c r="X924" i="35"/>
  <c r="S924" i="35"/>
  <c r="R924" i="35"/>
  <c r="Q924" i="35"/>
  <c r="M924" i="35"/>
  <c r="AF923" i="35"/>
  <c r="X923" i="35"/>
  <c r="S923" i="35"/>
  <c r="R923" i="35"/>
  <c r="Q923" i="35"/>
  <c r="M923" i="35"/>
  <c r="AF922" i="35"/>
  <c r="X922" i="35"/>
  <c r="S922" i="35"/>
  <c r="R922" i="35"/>
  <c r="Q922" i="35"/>
  <c r="M922" i="35"/>
  <c r="AF921" i="35"/>
  <c r="X921" i="35"/>
  <c r="S921" i="35"/>
  <c r="R921" i="35"/>
  <c r="Q921" i="35"/>
  <c r="M921" i="35"/>
  <c r="AF920" i="35"/>
  <c r="X920" i="35"/>
  <c r="S920" i="35"/>
  <c r="R920" i="35"/>
  <c r="Q920" i="35"/>
  <c r="M920" i="35"/>
  <c r="AF919" i="35"/>
  <c r="X919" i="35"/>
  <c r="S919" i="35"/>
  <c r="R919" i="35"/>
  <c r="Q919" i="35"/>
  <c r="M919" i="35"/>
  <c r="AF918" i="35"/>
  <c r="X918" i="35"/>
  <c r="S918" i="35"/>
  <c r="R918" i="35"/>
  <c r="Q918" i="35"/>
  <c r="M918" i="35"/>
  <c r="AF917" i="35"/>
  <c r="X917" i="35"/>
  <c r="S917" i="35"/>
  <c r="R917" i="35"/>
  <c r="Q917" i="35"/>
  <c r="M917" i="35"/>
  <c r="AF916" i="35"/>
  <c r="X916" i="35"/>
  <c r="S916" i="35"/>
  <c r="R916" i="35"/>
  <c r="Q916" i="35"/>
  <c r="M916" i="35"/>
  <c r="AF915" i="35"/>
  <c r="X915" i="35"/>
  <c r="S915" i="35"/>
  <c r="R915" i="35"/>
  <c r="Q915" i="35"/>
  <c r="M915" i="35"/>
  <c r="AF914" i="35"/>
  <c r="X914" i="35"/>
  <c r="S914" i="35"/>
  <c r="R914" i="35"/>
  <c r="Q914" i="35"/>
  <c r="M914" i="35"/>
  <c r="AF913" i="35"/>
  <c r="X913" i="35"/>
  <c r="S913" i="35"/>
  <c r="R913" i="35"/>
  <c r="Q913" i="35"/>
  <c r="M913" i="35"/>
  <c r="AF912" i="35"/>
  <c r="X912" i="35"/>
  <c r="S912" i="35"/>
  <c r="R912" i="35"/>
  <c r="Q912" i="35"/>
  <c r="M912" i="35"/>
  <c r="AF911" i="35"/>
  <c r="X911" i="35"/>
  <c r="S911" i="35"/>
  <c r="R911" i="35"/>
  <c r="Q911" i="35"/>
  <c r="M911" i="35"/>
  <c r="AF910" i="35"/>
  <c r="X910" i="35"/>
  <c r="S910" i="35"/>
  <c r="R910" i="35"/>
  <c r="Q910" i="35"/>
  <c r="M910" i="35"/>
  <c r="AF909" i="35"/>
  <c r="X909" i="35"/>
  <c r="S909" i="35"/>
  <c r="R909" i="35"/>
  <c r="Q909" i="35"/>
  <c r="M909" i="35"/>
  <c r="AF908" i="35"/>
  <c r="X908" i="35"/>
  <c r="S908" i="35"/>
  <c r="R908" i="35"/>
  <c r="Q908" i="35"/>
  <c r="M908" i="35"/>
  <c r="AF907" i="35"/>
  <c r="X907" i="35"/>
  <c r="S907" i="35"/>
  <c r="R907" i="35"/>
  <c r="Q907" i="35"/>
  <c r="M907" i="35"/>
  <c r="AF906" i="35"/>
  <c r="S906" i="35"/>
  <c r="R906" i="35"/>
  <c r="Q906" i="35"/>
  <c r="M906" i="35"/>
  <c r="Z906" i="35" s="1"/>
  <c r="AF905" i="35"/>
  <c r="X905" i="35"/>
  <c r="S905" i="35"/>
  <c r="R905" i="35"/>
  <c r="Q905" i="35"/>
  <c r="M905" i="35"/>
  <c r="AF904" i="35"/>
  <c r="X904" i="35"/>
  <c r="S904" i="35"/>
  <c r="R904" i="35"/>
  <c r="Q904" i="35"/>
  <c r="M904" i="35"/>
  <c r="AF903" i="35"/>
  <c r="X903" i="35"/>
  <c r="S903" i="35"/>
  <c r="R903" i="35"/>
  <c r="Q903" i="35"/>
  <c r="M903" i="35"/>
  <c r="AF902" i="35"/>
  <c r="S902" i="35"/>
  <c r="R902" i="35"/>
  <c r="Q902" i="35"/>
  <c r="M902" i="35"/>
  <c r="Y902" i="35" s="1"/>
  <c r="AF901" i="35"/>
  <c r="X901" i="35"/>
  <c r="S901" i="35"/>
  <c r="R901" i="35"/>
  <c r="Q901" i="35"/>
  <c r="M901" i="35"/>
  <c r="AF900" i="35"/>
  <c r="X900" i="35"/>
  <c r="S900" i="35"/>
  <c r="R900" i="35"/>
  <c r="Q900" i="35"/>
  <c r="M900" i="35"/>
  <c r="AF899" i="35"/>
  <c r="X899" i="35"/>
  <c r="S899" i="35"/>
  <c r="R899" i="35"/>
  <c r="Q899" i="35"/>
  <c r="M899" i="35"/>
  <c r="AF898" i="35"/>
  <c r="X898" i="35"/>
  <c r="S898" i="35"/>
  <c r="R898" i="35"/>
  <c r="Q898" i="35"/>
  <c r="M898" i="35"/>
  <c r="AF897" i="35"/>
  <c r="X897" i="35"/>
  <c r="S897" i="35"/>
  <c r="R897" i="35"/>
  <c r="Q897" i="35"/>
  <c r="M897" i="35"/>
  <c r="AF896" i="35"/>
  <c r="X896" i="35"/>
  <c r="S896" i="35"/>
  <c r="R896" i="35"/>
  <c r="Q896" i="35"/>
  <c r="M896" i="35"/>
  <c r="AF895" i="35"/>
  <c r="X895" i="35"/>
  <c r="S895" i="35"/>
  <c r="R895" i="35"/>
  <c r="Q895" i="35"/>
  <c r="M895" i="35"/>
  <c r="AF894" i="35"/>
  <c r="X894" i="35"/>
  <c r="S894" i="35"/>
  <c r="R894" i="35"/>
  <c r="Q894" i="35"/>
  <c r="M894" i="35"/>
  <c r="AF893" i="35"/>
  <c r="X893" i="35"/>
  <c r="S893" i="35"/>
  <c r="R893" i="35"/>
  <c r="Q893" i="35"/>
  <c r="M893" i="35"/>
  <c r="AF892" i="35"/>
  <c r="X892" i="35"/>
  <c r="S892" i="35"/>
  <c r="R892" i="35"/>
  <c r="Q892" i="35"/>
  <c r="M892" i="35"/>
  <c r="AF891" i="35"/>
  <c r="X891" i="35"/>
  <c r="S891" i="35"/>
  <c r="R891" i="35"/>
  <c r="Q891" i="35"/>
  <c r="M891" i="35"/>
  <c r="AF890" i="35"/>
  <c r="S890" i="35"/>
  <c r="R890" i="35"/>
  <c r="Q890" i="35"/>
  <c r="M890" i="35"/>
  <c r="AF889" i="35"/>
  <c r="X889" i="35"/>
  <c r="S889" i="35"/>
  <c r="R889" i="35"/>
  <c r="Q889" i="35"/>
  <c r="M889" i="35"/>
  <c r="AF888" i="35"/>
  <c r="X888" i="35"/>
  <c r="S888" i="35"/>
  <c r="R888" i="35"/>
  <c r="Q888" i="35"/>
  <c r="M888" i="35"/>
  <c r="AF887" i="35"/>
  <c r="X887" i="35"/>
  <c r="S887" i="35"/>
  <c r="R887" i="35"/>
  <c r="Q887" i="35"/>
  <c r="M887" i="35"/>
  <c r="AF886" i="35"/>
  <c r="X886" i="35"/>
  <c r="S886" i="35"/>
  <c r="R886" i="35"/>
  <c r="Q886" i="35"/>
  <c r="M886" i="35"/>
  <c r="AF885" i="35"/>
  <c r="X885" i="35"/>
  <c r="S885" i="35"/>
  <c r="R885" i="35"/>
  <c r="Q885" i="35"/>
  <c r="M885" i="35"/>
  <c r="AF884" i="35"/>
  <c r="X884" i="35"/>
  <c r="S884" i="35"/>
  <c r="R884" i="35"/>
  <c r="Q884" i="35"/>
  <c r="M884" i="35"/>
  <c r="AF883" i="35"/>
  <c r="X883" i="35"/>
  <c r="S883" i="35"/>
  <c r="R883" i="35"/>
  <c r="Q883" i="35"/>
  <c r="M883" i="35"/>
  <c r="AF882" i="35"/>
  <c r="X882" i="35"/>
  <c r="S882" i="35"/>
  <c r="R882" i="35"/>
  <c r="Q882" i="35"/>
  <c r="M882" i="35"/>
  <c r="AF881" i="35"/>
  <c r="X881" i="35"/>
  <c r="S881" i="35"/>
  <c r="R881" i="35"/>
  <c r="Q881" i="35"/>
  <c r="M881" i="35"/>
  <c r="AF880" i="35"/>
  <c r="X880" i="35"/>
  <c r="S880" i="35"/>
  <c r="R880" i="35"/>
  <c r="Q880" i="35"/>
  <c r="M880" i="35"/>
  <c r="AF879" i="35"/>
  <c r="X879" i="35"/>
  <c r="S879" i="35"/>
  <c r="R879" i="35"/>
  <c r="Q879" i="35"/>
  <c r="M879" i="35"/>
  <c r="AF878" i="35"/>
  <c r="X878" i="35"/>
  <c r="S878" i="35"/>
  <c r="R878" i="35"/>
  <c r="Q878" i="35"/>
  <c r="M878" i="35"/>
  <c r="AF877" i="35"/>
  <c r="X877" i="35"/>
  <c r="S877" i="35"/>
  <c r="R877" i="35"/>
  <c r="Q877" i="35"/>
  <c r="M877" i="35"/>
  <c r="AF876" i="35"/>
  <c r="X876" i="35"/>
  <c r="S876" i="35"/>
  <c r="R876" i="35"/>
  <c r="Q876" i="35"/>
  <c r="M876" i="35"/>
  <c r="AF875" i="35"/>
  <c r="X875" i="35"/>
  <c r="S875" i="35"/>
  <c r="R875" i="35"/>
  <c r="Q875" i="35"/>
  <c r="M875" i="35"/>
  <c r="AF874" i="35"/>
  <c r="X874" i="35"/>
  <c r="S874" i="35"/>
  <c r="R874" i="35"/>
  <c r="Q874" i="35"/>
  <c r="M874" i="35"/>
  <c r="AF873" i="35"/>
  <c r="X873" i="35"/>
  <c r="S873" i="35"/>
  <c r="R873" i="35"/>
  <c r="Q873" i="35"/>
  <c r="M873" i="35"/>
  <c r="AF872" i="35"/>
  <c r="X872" i="35"/>
  <c r="S872" i="35"/>
  <c r="R872" i="35"/>
  <c r="Q872" i="35"/>
  <c r="M872" i="35"/>
  <c r="AF871" i="35"/>
  <c r="X871" i="35"/>
  <c r="S871" i="35"/>
  <c r="R871" i="35"/>
  <c r="Q871" i="35"/>
  <c r="M871" i="35"/>
  <c r="AF870" i="35"/>
  <c r="X870" i="35"/>
  <c r="S870" i="35"/>
  <c r="R870" i="35"/>
  <c r="Q870" i="35"/>
  <c r="M870" i="35"/>
  <c r="AF869" i="35"/>
  <c r="X869" i="35"/>
  <c r="S869" i="35"/>
  <c r="R869" i="35"/>
  <c r="Q869" i="35"/>
  <c r="M869" i="35"/>
  <c r="AF868" i="35"/>
  <c r="X868" i="35"/>
  <c r="S868" i="35"/>
  <c r="R868" i="35"/>
  <c r="Q868" i="35"/>
  <c r="M868" i="35"/>
  <c r="AF867" i="35"/>
  <c r="X867" i="35"/>
  <c r="S867" i="35"/>
  <c r="R867" i="35"/>
  <c r="Q867" i="35"/>
  <c r="M867" i="35"/>
  <c r="AF866" i="35"/>
  <c r="X866" i="35"/>
  <c r="S866" i="35"/>
  <c r="R866" i="35"/>
  <c r="Q866" i="35"/>
  <c r="M866" i="35"/>
  <c r="AF865" i="35"/>
  <c r="X865" i="35"/>
  <c r="S865" i="35"/>
  <c r="R865" i="35"/>
  <c r="Q865" i="35"/>
  <c r="M865" i="35"/>
  <c r="AF864" i="35"/>
  <c r="X864" i="35"/>
  <c r="S864" i="35"/>
  <c r="R864" i="35"/>
  <c r="Q864" i="35"/>
  <c r="M864" i="35"/>
  <c r="AF863" i="35"/>
  <c r="X863" i="35"/>
  <c r="S863" i="35"/>
  <c r="R863" i="35"/>
  <c r="Q863" i="35"/>
  <c r="M863" i="35"/>
  <c r="AF862" i="35"/>
  <c r="X862" i="35"/>
  <c r="S862" i="35"/>
  <c r="R862" i="35"/>
  <c r="Q862" i="35"/>
  <c r="M862" i="35"/>
  <c r="AF861" i="35"/>
  <c r="X861" i="35"/>
  <c r="S861" i="35"/>
  <c r="R861" i="35"/>
  <c r="Q861" i="35"/>
  <c r="M861" i="35"/>
  <c r="AF860" i="35"/>
  <c r="X860" i="35"/>
  <c r="S860" i="35"/>
  <c r="R860" i="35"/>
  <c r="Q860" i="35"/>
  <c r="M860" i="35"/>
  <c r="AF859" i="35"/>
  <c r="X859" i="35"/>
  <c r="S859" i="35"/>
  <c r="R859" i="35"/>
  <c r="Q859" i="35"/>
  <c r="M859" i="35"/>
  <c r="AF858" i="35"/>
  <c r="X858" i="35"/>
  <c r="S858" i="35"/>
  <c r="R858" i="35"/>
  <c r="Q858" i="35"/>
  <c r="M858" i="35"/>
  <c r="AF857" i="35"/>
  <c r="X857" i="35"/>
  <c r="S857" i="35"/>
  <c r="R857" i="35"/>
  <c r="Q857" i="35"/>
  <c r="M857" i="35"/>
  <c r="AF856" i="35"/>
  <c r="X856" i="35"/>
  <c r="S856" i="35"/>
  <c r="R856" i="35"/>
  <c r="Q856" i="35"/>
  <c r="M856" i="35"/>
  <c r="AF855" i="35"/>
  <c r="X855" i="35"/>
  <c r="S855" i="35"/>
  <c r="R855" i="35"/>
  <c r="Q855" i="35"/>
  <c r="M855" i="35"/>
  <c r="AF854" i="35"/>
  <c r="X854" i="35"/>
  <c r="S854" i="35"/>
  <c r="R854" i="35"/>
  <c r="Q854" i="35"/>
  <c r="M854" i="35"/>
  <c r="AF853" i="35"/>
  <c r="X853" i="35"/>
  <c r="S853" i="35"/>
  <c r="R853" i="35"/>
  <c r="Q853" i="35"/>
  <c r="M853" i="35"/>
  <c r="AF852" i="35"/>
  <c r="X852" i="35"/>
  <c r="S852" i="35"/>
  <c r="R852" i="35"/>
  <c r="Q852" i="35"/>
  <c r="M852" i="35"/>
  <c r="AF851" i="35"/>
  <c r="X851" i="35"/>
  <c r="S851" i="35"/>
  <c r="R851" i="35"/>
  <c r="Q851" i="35"/>
  <c r="M851" i="35"/>
  <c r="AF850" i="35"/>
  <c r="X850" i="35"/>
  <c r="S850" i="35"/>
  <c r="R850" i="35"/>
  <c r="Q850" i="35"/>
  <c r="M850" i="35"/>
  <c r="AF849" i="35"/>
  <c r="X849" i="35"/>
  <c r="S849" i="35"/>
  <c r="R849" i="35"/>
  <c r="Q849" i="35"/>
  <c r="M849" i="35"/>
  <c r="AF848" i="35"/>
  <c r="X848" i="35"/>
  <c r="S848" i="35"/>
  <c r="R848" i="35"/>
  <c r="Q848" i="35"/>
  <c r="M848" i="35"/>
  <c r="AF847" i="35"/>
  <c r="X847" i="35"/>
  <c r="S847" i="35"/>
  <c r="R847" i="35"/>
  <c r="Q847" i="35"/>
  <c r="M847" i="35"/>
  <c r="AF846" i="35"/>
  <c r="X846" i="35"/>
  <c r="S846" i="35"/>
  <c r="R846" i="35"/>
  <c r="Q846" i="35"/>
  <c r="M846" i="35"/>
  <c r="AF845" i="35"/>
  <c r="X845" i="35"/>
  <c r="S845" i="35"/>
  <c r="R845" i="35"/>
  <c r="Q845" i="35"/>
  <c r="M845" i="35"/>
  <c r="AF844" i="35"/>
  <c r="X844" i="35"/>
  <c r="S844" i="35"/>
  <c r="R844" i="35"/>
  <c r="Q844" i="35"/>
  <c r="M844" i="35"/>
  <c r="AF843" i="35"/>
  <c r="X843" i="35"/>
  <c r="S843" i="35"/>
  <c r="R843" i="35"/>
  <c r="Q843" i="35"/>
  <c r="M843" i="35"/>
  <c r="AF842" i="35"/>
  <c r="X842" i="35"/>
  <c r="S842" i="35"/>
  <c r="R842" i="35"/>
  <c r="Q842" i="35"/>
  <c r="M842" i="35"/>
  <c r="AF841" i="35"/>
  <c r="X841" i="35"/>
  <c r="S841" i="35"/>
  <c r="R841" i="35"/>
  <c r="Q841" i="35"/>
  <c r="M841" i="35"/>
  <c r="AF840" i="35"/>
  <c r="X840" i="35"/>
  <c r="S840" i="35"/>
  <c r="R840" i="35"/>
  <c r="Q840" i="35"/>
  <c r="M840" i="35"/>
  <c r="AF839" i="35"/>
  <c r="X839" i="35"/>
  <c r="S839" i="35"/>
  <c r="R839" i="35"/>
  <c r="Q839" i="35"/>
  <c r="M839" i="35"/>
  <c r="AF838" i="35"/>
  <c r="X838" i="35"/>
  <c r="S838" i="35"/>
  <c r="R838" i="35"/>
  <c r="Q838" i="35"/>
  <c r="M838" i="35"/>
  <c r="AF837" i="35"/>
  <c r="X837" i="35"/>
  <c r="S837" i="35"/>
  <c r="R837" i="35"/>
  <c r="Q837" i="35"/>
  <c r="M837" i="35"/>
  <c r="AF836" i="35"/>
  <c r="X836" i="35"/>
  <c r="S836" i="35"/>
  <c r="R836" i="35"/>
  <c r="Q836" i="35"/>
  <c r="M836" i="35"/>
  <c r="AF835" i="35"/>
  <c r="X835" i="35"/>
  <c r="S835" i="35"/>
  <c r="R835" i="35"/>
  <c r="Q835" i="35"/>
  <c r="M835" i="35"/>
  <c r="AF834" i="35"/>
  <c r="X834" i="35"/>
  <c r="S834" i="35"/>
  <c r="R834" i="35"/>
  <c r="Q834" i="35"/>
  <c r="M834" i="35"/>
  <c r="AF833" i="35"/>
  <c r="X833" i="35"/>
  <c r="S833" i="35"/>
  <c r="R833" i="35"/>
  <c r="Q833" i="35"/>
  <c r="M833" i="35"/>
  <c r="AF832" i="35"/>
  <c r="X832" i="35"/>
  <c r="S832" i="35"/>
  <c r="R832" i="35"/>
  <c r="Q832" i="35"/>
  <c r="M832" i="35"/>
  <c r="AF831" i="35"/>
  <c r="X831" i="35"/>
  <c r="S831" i="35"/>
  <c r="R831" i="35"/>
  <c r="Q831" i="35"/>
  <c r="M831" i="35"/>
  <c r="AF830" i="35"/>
  <c r="X830" i="35"/>
  <c r="S830" i="35"/>
  <c r="R830" i="35"/>
  <c r="Q830" i="35"/>
  <c r="M830" i="35"/>
  <c r="AF829" i="35"/>
  <c r="X829" i="35"/>
  <c r="S829" i="35"/>
  <c r="R829" i="35"/>
  <c r="Q829" i="35"/>
  <c r="M829" i="35"/>
  <c r="AF828" i="35"/>
  <c r="X828" i="35"/>
  <c r="S828" i="35"/>
  <c r="R828" i="35"/>
  <c r="Q828" i="35"/>
  <c r="M828" i="35"/>
  <c r="AF827" i="35"/>
  <c r="X827" i="35"/>
  <c r="S827" i="35"/>
  <c r="R827" i="35"/>
  <c r="Q827" i="35"/>
  <c r="M827" i="35"/>
  <c r="AF826" i="35"/>
  <c r="X826" i="35"/>
  <c r="S826" i="35"/>
  <c r="R826" i="35"/>
  <c r="Q826" i="35"/>
  <c r="M826" i="35"/>
  <c r="AF825" i="35"/>
  <c r="X825" i="35"/>
  <c r="S825" i="35"/>
  <c r="R825" i="35"/>
  <c r="Q825" i="35"/>
  <c r="M825" i="35"/>
  <c r="AF824" i="35"/>
  <c r="X824" i="35"/>
  <c r="S824" i="35"/>
  <c r="R824" i="35"/>
  <c r="Q824" i="35"/>
  <c r="M824" i="35"/>
  <c r="AF823" i="35"/>
  <c r="X823" i="35"/>
  <c r="S823" i="35"/>
  <c r="R823" i="35"/>
  <c r="Q823" i="35"/>
  <c r="M823" i="35"/>
  <c r="AF822" i="35"/>
  <c r="X822" i="35"/>
  <c r="S822" i="35"/>
  <c r="R822" i="35"/>
  <c r="Q822" i="35"/>
  <c r="M822" i="35"/>
  <c r="AF821" i="35"/>
  <c r="X821" i="35"/>
  <c r="S821" i="35"/>
  <c r="R821" i="35"/>
  <c r="Q821" i="35"/>
  <c r="M821" i="35"/>
  <c r="AF820" i="35"/>
  <c r="X820" i="35"/>
  <c r="S820" i="35"/>
  <c r="R820" i="35"/>
  <c r="Q820" i="35"/>
  <c r="M820" i="35"/>
  <c r="AF819" i="35"/>
  <c r="X819" i="35"/>
  <c r="S819" i="35"/>
  <c r="R819" i="35"/>
  <c r="Q819" i="35"/>
  <c r="M819" i="35"/>
  <c r="AF818" i="35"/>
  <c r="X818" i="35"/>
  <c r="S818" i="35"/>
  <c r="R818" i="35"/>
  <c r="Q818" i="35"/>
  <c r="M818" i="35"/>
  <c r="AF817" i="35"/>
  <c r="X817" i="35"/>
  <c r="S817" i="35"/>
  <c r="R817" i="35"/>
  <c r="Q817" i="35"/>
  <c r="M817" i="35"/>
  <c r="AF816" i="35"/>
  <c r="X816" i="35"/>
  <c r="S816" i="35"/>
  <c r="R816" i="35"/>
  <c r="Q816" i="35"/>
  <c r="M816" i="35"/>
  <c r="AF815" i="35"/>
  <c r="X815" i="35"/>
  <c r="S815" i="35"/>
  <c r="R815" i="35"/>
  <c r="Q815" i="35"/>
  <c r="M815" i="35"/>
  <c r="AF814" i="35"/>
  <c r="X814" i="35"/>
  <c r="S814" i="35"/>
  <c r="R814" i="35"/>
  <c r="Q814" i="35"/>
  <c r="M814" i="35"/>
  <c r="AF813" i="35"/>
  <c r="X813" i="35"/>
  <c r="S813" i="35"/>
  <c r="R813" i="35"/>
  <c r="Q813" i="35"/>
  <c r="M813" i="35"/>
  <c r="AF812" i="35"/>
  <c r="X812" i="35"/>
  <c r="S812" i="35"/>
  <c r="R812" i="35"/>
  <c r="Q812" i="35"/>
  <c r="M812" i="35"/>
  <c r="AF811" i="35"/>
  <c r="X811" i="35"/>
  <c r="S811" i="35"/>
  <c r="R811" i="35"/>
  <c r="Q811" i="35"/>
  <c r="M811" i="35"/>
  <c r="AF810" i="35"/>
  <c r="X810" i="35"/>
  <c r="S810" i="35"/>
  <c r="R810" i="35"/>
  <c r="Q810" i="35"/>
  <c r="M810" i="35"/>
  <c r="AF809" i="35"/>
  <c r="X809" i="35"/>
  <c r="S809" i="35"/>
  <c r="R809" i="35"/>
  <c r="Q809" i="35"/>
  <c r="M809" i="35"/>
  <c r="AF808" i="35"/>
  <c r="X808" i="35"/>
  <c r="S808" i="35"/>
  <c r="R808" i="35"/>
  <c r="Q808" i="35"/>
  <c r="M808" i="35"/>
  <c r="AF807" i="35"/>
  <c r="X807" i="35"/>
  <c r="S807" i="35"/>
  <c r="R807" i="35"/>
  <c r="Q807" i="35"/>
  <c r="M807" i="35"/>
  <c r="AF806" i="35"/>
  <c r="X806" i="35"/>
  <c r="S806" i="35"/>
  <c r="R806" i="35"/>
  <c r="Q806" i="35"/>
  <c r="M806" i="35"/>
  <c r="AF805" i="35"/>
  <c r="X805" i="35"/>
  <c r="S805" i="35"/>
  <c r="R805" i="35"/>
  <c r="Q805" i="35"/>
  <c r="M805" i="35"/>
  <c r="AF804" i="35"/>
  <c r="X804" i="35"/>
  <c r="S804" i="35"/>
  <c r="R804" i="35"/>
  <c r="Q804" i="35"/>
  <c r="M804" i="35"/>
  <c r="AF803" i="35"/>
  <c r="X803" i="35"/>
  <c r="S803" i="35"/>
  <c r="R803" i="35"/>
  <c r="Q803" i="35"/>
  <c r="M803" i="35"/>
  <c r="AF802" i="35"/>
  <c r="X802" i="35"/>
  <c r="S802" i="35"/>
  <c r="R802" i="35"/>
  <c r="Q802" i="35"/>
  <c r="M802" i="35"/>
  <c r="AF801" i="35"/>
  <c r="X801" i="35"/>
  <c r="S801" i="35"/>
  <c r="R801" i="35"/>
  <c r="Q801" i="35"/>
  <c r="M801" i="35"/>
  <c r="AF800" i="35"/>
  <c r="X800" i="35"/>
  <c r="W800" i="35"/>
  <c r="S800" i="35"/>
  <c r="R800" i="35"/>
  <c r="Q800" i="35"/>
  <c r="M800" i="35"/>
  <c r="AF799" i="35"/>
  <c r="X799" i="35"/>
  <c r="S799" i="35"/>
  <c r="R799" i="35"/>
  <c r="Q799" i="35"/>
  <c r="M799" i="35"/>
  <c r="AF798" i="35"/>
  <c r="X798" i="35"/>
  <c r="S798" i="35"/>
  <c r="R798" i="35"/>
  <c r="Q798" i="35"/>
  <c r="M798" i="35"/>
  <c r="AF797" i="35"/>
  <c r="X797" i="35"/>
  <c r="S797" i="35"/>
  <c r="R797" i="35"/>
  <c r="Q797" i="35"/>
  <c r="M797" i="35"/>
  <c r="AF796" i="35"/>
  <c r="X796" i="35"/>
  <c r="S796" i="35"/>
  <c r="R796" i="35"/>
  <c r="Q796" i="35"/>
  <c r="M796" i="35"/>
  <c r="AF795" i="35"/>
  <c r="X795" i="35"/>
  <c r="S795" i="35"/>
  <c r="R795" i="35"/>
  <c r="Q795" i="35"/>
  <c r="M795" i="35"/>
  <c r="AF794" i="35"/>
  <c r="X794" i="35"/>
  <c r="S794" i="35"/>
  <c r="R794" i="35"/>
  <c r="Q794" i="35"/>
  <c r="M794" i="35"/>
  <c r="AF793" i="35"/>
  <c r="X793" i="35"/>
  <c r="S793" i="35"/>
  <c r="R793" i="35"/>
  <c r="Q793" i="35"/>
  <c r="M793" i="35"/>
  <c r="AF792" i="35"/>
  <c r="X792" i="35"/>
  <c r="S792" i="35"/>
  <c r="R792" i="35"/>
  <c r="Q792" i="35"/>
  <c r="M792" i="35"/>
  <c r="AF791" i="35"/>
  <c r="X791" i="35"/>
  <c r="S791" i="35"/>
  <c r="R791" i="35"/>
  <c r="Q791" i="35"/>
  <c r="M791" i="35"/>
  <c r="AF790" i="35"/>
  <c r="X790" i="35"/>
  <c r="S790" i="35"/>
  <c r="R790" i="35"/>
  <c r="Q790" i="35"/>
  <c r="M790" i="35"/>
  <c r="AF789" i="35"/>
  <c r="S789" i="35"/>
  <c r="R789" i="35"/>
  <c r="Q789" i="35"/>
  <c r="M789" i="35"/>
  <c r="AF788" i="35"/>
  <c r="X788" i="35"/>
  <c r="S788" i="35"/>
  <c r="R788" i="35"/>
  <c r="Q788" i="35"/>
  <c r="M788" i="35"/>
  <c r="AF787" i="35"/>
  <c r="X787" i="35"/>
  <c r="S787" i="35"/>
  <c r="R787" i="35"/>
  <c r="Q787" i="35"/>
  <c r="M787" i="35"/>
  <c r="AF786" i="35"/>
  <c r="X786" i="35"/>
  <c r="S786" i="35"/>
  <c r="R786" i="35"/>
  <c r="Q786" i="35"/>
  <c r="M786" i="35"/>
  <c r="AF785" i="35"/>
  <c r="X785" i="35"/>
  <c r="S785" i="35"/>
  <c r="R785" i="35"/>
  <c r="Q785" i="35"/>
  <c r="M785" i="35"/>
  <c r="AF784" i="35"/>
  <c r="X784" i="35"/>
  <c r="S784" i="35"/>
  <c r="R784" i="35"/>
  <c r="Q784" i="35"/>
  <c r="M784" i="35"/>
  <c r="AF783" i="35"/>
  <c r="X783" i="35"/>
  <c r="S783" i="35"/>
  <c r="R783" i="35"/>
  <c r="Q783" i="35"/>
  <c r="M783" i="35"/>
  <c r="AF782" i="35"/>
  <c r="X782" i="35"/>
  <c r="S782" i="35"/>
  <c r="R782" i="35"/>
  <c r="Q782" i="35"/>
  <c r="M782" i="35"/>
  <c r="AF781" i="35"/>
  <c r="X781" i="35"/>
  <c r="S781" i="35"/>
  <c r="R781" i="35"/>
  <c r="Q781" i="35"/>
  <c r="M781" i="35"/>
  <c r="AF780" i="35"/>
  <c r="X780" i="35"/>
  <c r="S780" i="35"/>
  <c r="R780" i="35"/>
  <c r="Q780" i="35"/>
  <c r="M780" i="35"/>
  <c r="AF779" i="35"/>
  <c r="X779" i="35"/>
  <c r="S779" i="35"/>
  <c r="R779" i="35"/>
  <c r="Q779" i="35"/>
  <c r="M779" i="35"/>
  <c r="AF778" i="35"/>
  <c r="X778" i="35"/>
  <c r="W778" i="35"/>
  <c r="S778" i="35"/>
  <c r="R778" i="35"/>
  <c r="Q778" i="35"/>
  <c r="M778" i="35"/>
  <c r="AF777" i="35"/>
  <c r="X777" i="35"/>
  <c r="S777" i="35"/>
  <c r="R777" i="35"/>
  <c r="Q777" i="35"/>
  <c r="M777" i="35"/>
  <c r="AF776" i="35"/>
  <c r="X776" i="35"/>
  <c r="S776" i="35"/>
  <c r="R776" i="35"/>
  <c r="Q776" i="35"/>
  <c r="M776" i="35"/>
  <c r="AF775" i="35"/>
  <c r="X775" i="35"/>
  <c r="S775" i="35"/>
  <c r="R775" i="35"/>
  <c r="Q775" i="35"/>
  <c r="M775" i="35"/>
  <c r="AF774" i="35"/>
  <c r="X774" i="35"/>
  <c r="S774" i="35"/>
  <c r="R774" i="35"/>
  <c r="Q774" i="35"/>
  <c r="M774" i="35"/>
  <c r="AF773" i="35"/>
  <c r="X773" i="35"/>
  <c r="S773" i="35"/>
  <c r="R773" i="35"/>
  <c r="Q773" i="35"/>
  <c r="M773" i="35"/>
  <c r="AF772" i="35"/>
  <c r="X772" i="35"/>
  <c r="S772" i="35"/>
  <c r="R772" i="35"/>
  <c r="Q772" i="35"/>
  <c r="M772" i="35"/>
  <c r="AF771" i="35"/>
  <c r="X771" i="35"/>
  <c r="S771" i="35"/>
  <c r="R771" i="35"/>
  <c r="Q771" i="35"/>
  <c r="M771" i="35"/>
  <c r="AF770" i="35"/>
  <c r="X770" i="35"/>
  <c r="S770" i="35"/>
  <c r="R770" i="35"/>
  <c r="Q770" i="35"/>
  <c r="M770" i="35"/>
  <c r="AF769" i="35"/>
  <c r="X769" i="35"/>
  <c r="S769" i="35"/>
  <c r="R769" i="35"/>
  <c r="Q769" i="35"/>
  <c r="M769" i="35"/>
  <c r="AF768" i="35"/>
  <c r="X768" i="35"/>
  <c r="S768" i="35"/>
  <c r="R768" i="35"/>
  <c r="Q768" i="35"/>
  <c r="M768" i="35"/>
  <c r="AF767" i="35"/>
  <c r="X767" i="35"/>
  <c r="S767" i="35"/>
  <c r="R767" i="35"/>
  <c r="Q767" i="35"/>
  <c r="M767" i="35"/>
  <c r="AF766" i="35"/>
  <c r="X766" i="35"/>
  <c r="S766" i="35"/>
  <c r="R766" i="35"/>
  <c r="Q766" i="35"/>
  <c r="M766" i="35"/>
  <c r="AF765" i="35"/>
  <c r="X765" i="35"/>
  <c r="S765" i="35"/>
  <c r="R765" i="35"/>
  <c r="Q765" i="35"/>
  <c r="M765" i="35"/>
  <c r="AF764" i="35"/>
  <c r="X764" i="35"/>
  <c r="S764" i="35"/>
  <c r="R764" i="35"/>
  <c r="Q764" i="35"/>
  <c r="M764" i="35"/>
  <c r="AF763" i="35"/>
  <c r="X763" i="35"/>
  <c r="S763" i="35"/>
  <c r="R763" i="35"/>
  <c r="Q763" i="35"/>
  <c r="M763" i="35"/>
  <c r="AF762" i="35"/>
  <c r="X762" i="35"/>
  <c r="S762" i="35"/>
  <c r="R762" i="35"/>
  <c r="Q762" i="35"/>
  <c r="M762" i="35"/>
  <c r="AF761" i="35"/>
  <c r="X761" i="35"/>
  <c r="S761" i="35"/>
  <c r="R761" i="35"/>
  <c r="Q761" i="35"/>
  <c r="M761" i="35"/>
  <c r="AF760" i="35"/>
  <c r="X760" i="35"/>
  <c r="S760" i="35"/>
  <c r="R760" i="35"/>
  <c r="Q760" i="35"/>
  <c r="M760" i="35"/>
  <c r="AF759" i="35"/>
  <c r="X759" i="35"/>
  <c r="S759" i="35"/>
  <c r="R759" i="35"/>
  <c r="Q759" i="35"/>
  <c r="M759" i="35"/>
  <c r="AF758" i="35"/>
  <c r="X758" i="35"/>
  <c r="S758" i="35"/>
  <c r="R758" i="35"/>
  <c r="Q758" i="35"/>
  <c r="M758" i="35"/>
  <c r="AF757" i="35"/>
  <c r="X757" i="35"/>
  <c r="S757" i="35"/>
  <c r="R757" i="35"/>
  <c r="Q757" i="35"/>
  <c r="M757" i="35"/>
  <c r="AF756" i="35"/>
  <c r="X756" i="35"/>
  <c r="S756" i="35"/>
  <c r="R756" i="35"/>
  <c r="Q756" i="35"/>
  <c r="M756" i="35"/>
  <c r="AF755" i="35"/>
  <c r="X755" i="35"/>
  <c r="S755" i="35"/>
  <c r="R755" i="35"/>
  <c r="Q755" i="35"/>
  <c r="M755" i="35"/>
  <c r="AF754" i="35"/>
  <c r="X754" i="35"/>
  <c r="S754" i="35"/>
  <c r="R754" i="35"/>
  <c r="Q754" i="35"/>
  <c r="M754" i="35"/>
  <c r="AF753" i="35"/>
  <c r="X753" i="35"/>
  <c r="W753" i="35"/>
  <c r="S753" i="35"/>
  <c r="R753" i="35"/>
  <c r="Q753" i="35"/>
  <c r="M753" i="35"/>
  <c r="AF752" i="35"/>
  <c r="X752" i="35"/>
  <c r="S752" i="35"/>
  <c r="R752" i="35"/>
  <c r="Q752" i="35"/>
  <c r="M752" i="35"/>
  <c r="AF751" i="35"/>
  <c r="X751" i="35"/>
  <c r="S751" i="35"/>
  <c r="R751" i="35"/>
  <c r="Q751" i="35"/>
  <c r="M751" i="35"/>
  <c r="AF750" i="35"/>
  <c r="X750" i="35"/>
  <c r="S750" i="35"/>
  <c r="R750" i="35"/>
  <c r="Q750" i="35"/>
  <c r="M750" i="35"/>
  <c r="AF749" i="35"/>
  <c r="X749" i="35"/>
  <c r="S749" i="35"/>
  <c r="R749" i="35"/>
  <c r="Q749" i="35"/>
  <c r="M749" i="35"/>
  <c r="AF748" i="35"/>
  <c r="X748" i="35"/>
  <c r="S748" i="35"/>
  <c r="R748" i="35"/>
  <c r="Q748" i="35"/>
  <c r="M748" i="35"/>
  <c r="AF747" i="35"/>
  <c r="X747" i="35"/>
  <c r="S747" i="35"/>
  <c r="R747" i="35"/>
  <c r="Q747" i="35"/>
  <c r="M747" i="35"/>
  <c r="AF746" i="35"/>
  <c r="X746" i="35"/>
  <c r="S746" i="35"/>
  <c r="R746" i="35"/>
  <c r="Q746" i="35"/>
  <c r="M746" i="35"/>
  <c r="AF745" i="35"/>
  <c r="X745" i="35"/>
  <c r="S745" i="35"/>
  <c r="R745" i="35"/>
  <c r="Q745" i="35"/>
  <c r="M745" i="35"/>
  <c r="AF744" i="35"/>
  <c r="X744" i="35"/>
  <c r="S744" i="35"/>
  <c r="R744" i="35"/>
  <c r="Q744" i="35"/>
  <c r="M744" i="35"/>
  <c r="AF743" i="35"/>
  <c r="X743" i="35"/>
  <c r="S743" i="35"/>
  <c r="R743" i="35"/>
  <c r="Q743" i="35"/>
  <c r="M743" i="35"/>
  <c r="AF742" i="35"/>
  <c r="X742" i="35"/>
  <c r="S742" i="35"/>
  <c r="R742" i="35"/>
  <c r="Q742" i="35"/>
  <c r="M742" i="35"/>
  <c r="AF741" i="35"/>
  <c r="X741" i="35"/>
  <c r="S741" i="35"/>
  <c r="R741" i="35"/>
  <c r="Q741" i="35"/>
  <c r="M741" i="35"/>
  <c r="AF740" i="35"/>
  <c r="X740" i="35"/>
  <c r="S740" i="35"/>
  <c r="R740" i="35"/>
  <c r="Q740" i="35"/>
  <c r="M740" i="35"/>
  <c r="AF739" i="35"/>
  <c r="X739" i="35"/>
  <c r="S739" i="35"/>
  <c r="R739" i="35"/>
  <c r="Q739" i="35"/>
  <c r="M739" i="35"/>
  <c r="AF738" i="35"/>
  <c r="X738" i="35"/>
  <c r="S738" i="35"/>
  <c r="R738" i="35"/>
  <c r="Q738" i="35"/>
  <c r="M738" i="35"/>
  <c r="AF737" i="35"/>
  <c r="X737" i="35"/>
  <c r="S737" i="35"/>
  <c r="R737" i="35"/>
  <c r="Q737" i="35"/>
  <c r="M737" i="35"/>
  <c r="AF736" i="35"/>
  <c r="X736" i="35"/>
  <c r="S736" i="35"/>
  <c r="R736" i="35"/>
  <c r="Q736" i="35"/>
  <c r="M736" i="35"/>
  <c r="AF735" i="35"/>
  <c r="X735" i="35"/>
  <c r="S735" i="35"/>
  <c r="R735" i="35"/>
  <c r="Q735" i="35"/>
  <c r="M735" i="35"/>
  <c r="AF734" i="35"/>
  <c r="X734" i="35"/>
  <c r="S734" i="35"/>
  <c r="R734" i="35"/>
  <c r="Q734" i="35"/>
  <c r="M734" i="35"/>
  <c r="AF733" i="35"/>
  <c r="X733" i="35"/>
  <c r="S733" i="35"/>
  <c r="R733" i="35"/>
  <c r="Q733" i="35"/>
  <c r="M733" i="35"/>
  <c r="AF732" i="35"/>
  <c r="X732" i="35"/>
  <c r="S732" i="35"/>
  <c r="R732" i="35"/>
  <c r="Q732" i="35"/>
  <c r="M732" i="35"/>
  <c r="AF731" i="35"/>
  <c r="X731" i="35"/>
  <c r="S731" i="35"/>
  <c r="R731" i="35"/>
  <c r="Q731" i="35"/>
  <c r="M731" i="35"/>
  <c r="AF730" i="35"/>
  <c r="X730" i="35"/>
  <c r="S730" i="35"/>
  <c r="R730" i="35"/>
  <c r="Q730" i="35"/>
  <c r="M730" i="35"/>
  <c r="AF729" i="35"/>
  <c r="X729" i="35"/>
  <c r="S729" i="35"/>
  <c r="R729" i="35"/>
  <c r="Q729" i="35"/>
  <c r="M729" i="35"/>
  <c r="AF728" i="35"/>
  <c r="X728" i="35"/>
  <c r="S728" i="35"/>
  <c r="R728" i="35"/>
  <c r="Q728" i="35"/>
  <c r="M728" i="35"/>
  <c r="AF727" i="35"/>
  <c r="X727" i="35"/>
  <c r="S727" i="35"/>
  <c r="R727" i="35"/>
  <c r="Q727" i="35"/>
  <c r="M727" i="35"/>
  <c r="AF726" i="35"/>
  <c r="X726" i="35"/>
  <c r="S726" i="35"/>
  <c r="R726" i="35"/>
  <c r="Q726" i="35"/>
  <c r="M726" i="35"/>
  <c r="AF725" i="35"/>
  <c r="X725" i="35"/>
  <c r="S725" i="35"/>
  <c r="R725" i="35"/>
  <c r="Q725" i="35"/>
  <c r="M725" i="35"/>
  <c r="AF724" i="35"/>
  <c r="X724" i="35"/>
  <c r="S724" i="35"/>
  <c r="R724" i="35"/>
  <c r="Q724" i="35"/>
  <c r="M724" i="35"/>
  <c r="AF723" i="35"/>
  <c r="X723" i="35"/>
  <c r="S723" i="35"/>
  <c r="R723" i="35"/>
  <c r="Q723" i="35"/>
  <c r="M723" i="35"/>
  <c r="AF722" i="35"/>
  <c r="X722" i="35"/>
  <c r="S722" i="35"/>
  <c r="R722" i="35"/>
  <c r="Q722" i="35"/>
  <c r="M722" i="35"/>
  <c r="AF721" i="35"/>
  <c r="X721" i="35"/>
  <c r="S721" i="35"/>
  <c r="R721" i="35"/>
  <c r="Q721" i="35"/>
  <c r="M721" i="35"/>
  <c r="AF720" i="35"/>
  <c r="X720" i="35"/>
  <c r="S720" i="35"/>
  <c r="R720" i="35"/>
  <c r="Q720" i="35"/>
  <c r="M720" i="35"/>
  <c r="AF719" i="35"/>
  <c r="X719" i="35"/>
  <c r="S719" i="35"/>
  <c r="R719" i="35"/>
  <c r="Q719" i="35"/>
  <c r="M719" i="35"/>
  <c r="AF718" i="35"/>
  <c r="X718" i="35"/>
  <c r="S718" i="35"/>
  <c r="R718" i="35"/>
  <c r="Q718" i="35"/>
  <c r="M718" i="35"/>
  <c r="AF717" i="35"/>
  <c r="X717" i="35"/>
  <c r="S717" i="35"/>
  <c r="R717" i="35"/>
  <c r="Q717" i="35"/>
  <c r="M717" i="35"/>
  <c r="AF716" i="35"/>
  <c r="X716" i="35"/>
  <c r="S716" i="35"/>
  <c r="R716" i="35"/>
  <c r="Q716" i="35"/>
  <c r="M716" i="35"/>
  <c r="AF715" i="35"/>
  <c r="X715" i="35"/>
  <c r="S715" i="35"/>
  <c r="R715" i="35"/>
  <c r="Q715" i="35"/>
  <c r="M715" i="35"/>
  <c r="AF714" i="35"/>
  <c r="X714" i="35"/>
  <c r="S714" i="35"/>
  <c r="R714" i="35"/>
  <c r="Q714" i="35"/>
  <c r="M714" i="35"/>
  <c r="AF713" i="35"/>
  <c r="X713" i="35"/>
  <c r="S713" i="35"/>
  <c r="R713" i="35"/>
  <c r="Q713" i="35"/>
  <c r="M713" i="35"/>
  <c r="AF712" i="35"/>
  <c r="X712" i="35"/>
  <c r="S712" i="35"/>
  <c r="R712" i="35"/>
  <c r="Q712" i="35"/>
  <c r="M712" i="35"/>
  <c r="AF711" i="35"/>
  <c r="X711" i="35"/>
  <c r="S711" i="35"/>
  <c r="R711" i="35"/>
  <c r="Q711" i="35"/>
  <c r="M711" i="35"/>
  <c r="AF710" i="35"/>
  <c r="X710" i="35"/>
  <c r="S710" i="35"/>
  <c r="R710" i="35"/>
  <c r="Q710" i="35"/>
  <c r="M710" i="35"/>
  <c r="AF709" i="35"/>
  <c r="X709" i="35"/>
  <c r="S709" i="35"/>
  <c r="R709" i="35"/>
  <c r="Q709" i="35"/>
  <c r="M709" i="35"/>
  <c r="AF708" i="35"/>
  <c r="X708" i="35"/>
  <c r="S708" i="35"/>
  <c r="R708" i="35"/>
  <c r="Q708" i="35"/>
  <c r="M708" i="35"/>
  <c r="AF707" i="35"/>
  <c r="X707" i="35"/>
  <c r="S707" i="35"/>
  <c r="R707" i="35"/>
  <c r="Q707" i="35"/>
  <c r="M707" i="35"/>
  <c r="AF706" i="35"/>
  <c r="X706" i="35"/>
  <c r="S706" i="35"/>
  <c r="R706" i="35"/>
  <c r="Q706" i="35"/>
  <c r="M706" i="35"/>
  <c r="AF705" i="35"/>
  <c r="X705" i="35"/>
  <c r="S705" i="35"/>
  <c r="R705" i="35"/>
  <c r="Q705" i="35"/>
  <c r="M705" i="35"/>
  <c r="AF704" i="35"/>
  <c r="X704" i="35"/>
  <c r="S704" i="35"/>
  <c r="R704" i="35"/>
  <c r="Q704" i="35"/>
  <c r="M704" i="35"/>
  <c r="AF703" i="35"/>
  <c r="X703" i="35"/>
  <c r="S703" i="35"/>
  <c r="R703" i="35"/>
  <c r="Q703" i="35"/>
  <c r="M703" i="35"/>
  <c r="AF702" i="35"/>
  <c r="X702" i="35"/>
  <c r="S702" i="35"/>
  <c r="R702" i="35"/>
  <c r="Q702" i="35"/>
  <c r="M702" i="35"/>
  <c r="AF701" i="35"/>
  <c r="X701" i="35"/>
  <c r="S701" i="35"/>
  <c r="R701" i="35"/>
  <c r="Q701" i="35"/>
  <c r="M701" i="35"/>
  <c r="AF700" i="35"/>
  <c r="X700" i="35"/>
  <c r="S700" i="35"/>
  <c r="R700" i="35"/>
  <c r="Q700" i="35"/>
  <c r="M700" i="35"/>
  <c r="AF699" i="35"/>
  <c r="X699" i="35"/>
  <c r="S699" i="35"/>
  <c r="R699" i="35"/>
  <c r="Q699" i="35"/>
  <c r="M699" i="35"/>
  <c r="AF698" i="35"/>
  <c r="X698" i="35"/>
  <c r="S698" i="35"/>
  <c r="R698" i="35"/>
  <c r="Q698" i="35"/>
  <c r="M698" i="35"/>
  <c r="AF697" i="35"/>
  <c r="X697" i="35"/>
  <c r="S697" i="35"/>
  <c r="R697" i="35"/>
  <c r="Q697" i="35"/>
  <c r="M697" i="35"/>
  <c r="AF696" i="35"/>
  <c r="X696" i="35"/>
  <c r="S696" i="35"/>
  <c r="R696" i="35"/>
  <c r="Q696" i="35"/>
  <c r="M696" i="35"/>
  <c r="AF695" i="35"/>
  <c r="X695" i="35"/>
  <c r="S695" i="35"/>
  <c r="R695" i="35"/>
  <c r="Q695" i="35"/>
  <c r="M695" i="35"/>
  <c r="AF694" i="35"/>
  <c r="X694" i="35"/>
  <c r="S694" i="35"/>
  <c r="R694" i="35"/>
  <c r="Q694" i="35"/>
  <c r="M694" i="35"/>
  <c r="AF693" i="35"/>
  <c r="X693" i="35"/>
  <c r="S693" i="35"/>
  <c r="R693" i="35"/>
  <c r="Q693" i="35"/>
  <c r="M693" i="35"/>
  <c r="AF692" i="35"/>
  <c r="X692" i="35"/>
  <c r="S692" i="35"/>
  <c r="R692" i="35"/>
  <c r="Q692" i="35"/>
  <c r="M692" i="35"/>
  <c r="AF691" i="35"/>
  <c r="X691" i="35"/>
  <c r="S691" i="35"/>
  <c r="R691" i="35"/>
  <c r="Q691" i="35"/>
  <c r="M691" i="35"/>
  <c r="AF690" i="35"/>
  <c r="X690" i="35"/>
  <c r="S690" i="35"/>
  <c r="R690" i="35"/>
  <c r="Q690" i="35"/>
  <c r="M690" i="35"/>
  <c r="AF689" i="35"/>
  <c r="X689" i="35"/>
  <c r="S689" i="35"/>
  <c r="R689" i="35"/>
  <c r="Q689" i="35"/>
  <c r="M689" i="35"/>
  <c r="AF688" i="35"/>
  <c r="X688" i="35"/>
  <c r="S688" i="35"/>
  <c r="R688" i="35"/>
  <c r="Q688" i="35"/>
  <c r="M688" i="35"/>
  <c r="AF687" i="35"/>
  <c r="X687" i="35"/>
  <c r="S687" i="35"/>
  <c r="R687" i="35"/>
  <c r="Q687" i="35"/>
  <c r="M687" i="35"/>
  <c r="AF686" i="35"/>
  <c r="X686" i="35"/>
  <c r="S686" i="35"/>
  <c r="R686" i="35"/>
  <c r="Q686" i="35"/>
  <c r="M686" i="35"/>
  <c r="AF685" i="35"/>
  <c r="X685" i="35"/>
  <c r="S685" i="35"/>
  <c r="R685" i="35"/>
  <c r="Q685" i="35"/>
  <c r="M685" i="35"/>
  <c r="AF684" i="35"/>
  <c r="X684" i="35"/>
  <c r="S684" i="35"/>
  <c r="R684" i="35"/>
  <c r="Q684" i="35"/>
  <c r="M684" i="35"/>
  <c r="AF683" i="35"/>
  <c r="X683" i="35"/>
  <c r="S683" i="35"/>
  <c r="R683" i="35"/>
  <c r="Q683" i="35"/>
  <c r="M683" i="35"/>
  <c r="AF682" i="35"/>
  <c r="X682" i="35"/>
  <c r="S682" i="35"/>
  <c r="R682" i="35"/>
  <c r="Q682" i="35"/>
  <c r="M682" i="35"/>
  <c r="AF681" i="35"/>
  <c r="X681" i="35"/>
  <c r="S681" i="35"/>
  <c r="R681" i="35"/>
  <c r="Q681" i="35"/>
  <c r="M681" i="35"/>
  <c r="AF680" i="35"/>
  <c r="X680" i="35"/>
  <c r="S680" i="35"/>
  <c r="R680" i="35"/>
  <c r="Q680" i="35"/>
  <c r="M680" i="35"/>
  <c r="AF679" i="35"/>
  <c r="X679" i="35"/>
  <c r="S679" i="35"/>
  <c r="R679" i="35"/>
  <c r="Q679" i="35"/>
  <c r="M679" i="35"/>
  <c r="AF678" i="35"/>
  <c r="X678" i="35"/>
  <c r="S678" i="35"/>
  <c r="R678" i="35"/>
  <c r="Q678" i="35"/>
  <c r="M678" i="35"/>
  <c r="AF677" i="35"/>
  <c r="X677" i="35"/>
  <c r="S677" i="35"/>
  <c r="R677" i="35"/>
  <c r="Q677" i="35"/>
  <c r="M677" i="35"/>
  <c r="AF676" i="35"/>
  <c r="X676" i="35"/>
  <c r="S676" i="35"/>
  <c r="R676" i="35"/>
  <c r="Q676" i="35"/>
  <c r="M676" i="35"/>
  <c r="AF675" i="35"/>
  <c r="X675" i="35"/>
  <c r="S675" i="35"/>
  <c r="R675" i="35"/>
  <c r="Q675" i="35"/>
  <c r="M675" i="35"/>
  <c r="AF674" i="35"/>
  <c r="X674" i="35"/>
  <c r="S674" i="35"/>
  <c r="R674" i="35"/>
  <c r="Q674" i="35"/>
  <c r="M674" i="35"/>
  <c r="AF673" i="35"/>
  <c r="X673" i="35"/>
  <c r="S673" i="35"/>
  <c r="R673" i="35"/>
  <c r="Q673" i="35"/>
  <c r="M673" i="35"/>
  <c r="AF672" i="35"/>
  <c r="X672" i="35"/>
  <c r="S672" i="35"/>
  <c r="R672" i="35"/>
  <c r="Q672" i="35"/>
  <c r="M672" i="35"/>
  <c r="AF671" i="35"/>
  <c r="X671" i="35"/>
  <c r="S671" i="35"/>
  <c r="R671" i="35"/>
  <c r="Q671" i="35"/>
  <c r="M671" i="35"/>
  <c r="AF670" i="35"/>
  <c r="X670" i="35"/>
  <c r="S670" i="35"/>
  <c r="R670" i="35"/>
  <c r="Q670" i="35"/>
  <c r="M670" i="35"/>
  <c r="AF669" i="35"/>
  <c r="X669" i="35"/>
  <c r="S669" i="35"/>
  <c r="R669" i="35"/>
  <c r="Q669" i="35"/>
  <c r="M669" i="35"/>
  <c r="AF668" i="35"/>
  <c r="X668" i="35"/>
  <c r="S668" i="35"/>
  <c r="R668" i="35"/>
  <c r="Q668" i="35"/>
  <c r="M668" i="35"/>
  <c r="AF667" i="35"/>
  <c r="X667" i="35"/>
  <c r="S667" i="35"/>
  <c r="R667" i="35"/>
  <c r="Q667" i="35"/>
  <c r="M667" i="35"/>
  <c r="AF666" i="35"/>
  <c r="X666" i="35"/>
  <c r="S666" i="35"/>
  <c r="R666" i="35"/>
  <c r="Q666" i="35"/>
  <c r="M666" i="35"/>
  <c r="AF665" i="35"/>
  <c r="X665" i="35"/>
  <c r="S665" i="35"/>
  <c r="R665" i="35"/>
  <c r="Q665" i="35"/>
  <c r="M665" i="35"/>
  <c r="AF664" i="35"/>
  <c r="X664" i="35"/>
  <c r="S664" i="35"/>
  <c r="R664" i="35"/>
  <c r="Q664" i="35"/>
  <c r="M664" i="35"/>
  <c r="AF663" i="35"/>
  <c r="X663" i="35"/>
  <c r="S663" i="35"/>
  <c r="R663" i="35"/>
  <c r="Q663" i="35"/>
  <c r="M663" i="35"/>
  <c r="AF662" i="35"/>
  <c r="X662" i="35"/>
  <c r="S662" i="35"/>
  <c r="R662" i="35"/>
  <c r="Q662" i="35"/>
  <c r="M662" i="35"/>
  <c r="AF661" i="35"/>
  <c r="X661" i="35"/>
  <c r="S661" i="35"/>
  <c r="R661" i="35"/>
  <c r="Q661" i="35"/>
  <c r="M661" i="35"/>
  <c r="AF660" i="35"/>
  <c r="X660" i="35"/>
  <c r="S660" i="35"/>
  <c r="R660" i="35"/>
  <c r="Q660" i="35"/>
  <c r="M660" i="35"/>
  <c r="AF659" i="35"/>
  <c r="X659" i="35"/>
  <c r="S659" i="35"/>
  <c r="R659" i="35"/>
  <c r="Q659" i="35"/>
  <c r="M659" i="35"/>
  <c r="AF658" i="35"/>
  <c r="X658" i="35"/>
  <c r="S658" i="35"/>
  <c r="R658" i="35"/>
  <c r="Q658" i="35"/>
  <c r="M658" i="35"/>
  <c r="AF657" i="35"/>
  <c r="X657" i="35"/>
  <c r="S657" i="35"/>
  <c r="R657" i="35"/>
  <c r="Q657" i="35"/>
  <c r="M657" i="35"/>
  <c r="AF656" i="35"/>
  <c r="X656" i="35"/>
  <c r="S656" i="35"/>
  <c r="R656" i="35"/>
  <c r="M656" i="35"/>
  <c r="AF655" i="35"/>
  <c r="X655" i="35"/>
  <c r="S655" i="35"/>
  <c r="R655" i="35"/>
  <c r="M655" i="35"/>
  <c r="X654" i="35"/>
  <c r="M654" i="35"/>
  <c r="X653" i="35"/>
  <c r="M653" i="35"/>
  <c r="X652" i="35"/>
  <c r="M652" i="35"/>
  <c r="X651" i="35"/>
  <c r="M651" i="35"/>
  <c r="X650" i="35"/>
  <c r="M650" i="35"/>
  <c r="X649" i="35"/>
  <c r="M649" i="35"/>
  <c r="X648" i="35"/>
  <c r="M648" i="35"/>
  <c r="X647" i="35"/>
  <c r="M647" i="35"/>
  <c r="X646" i="35"/>
  <c r="M646" i="35"/>
  <c r="M645" i="35"/>
  <c r="X644" i="35"/>
  <c r="M644" i="35"/>
  <c r="X643" i="35"/>
  <c r="M643" i="35"/>
  <c r="M642" i="35"/>
  <c r="M641" i="35"/>
  <c r="M640" i="35"/>
  <c r="M639" i="35"/>
  <c r="Z639" i="35" s="1"/>
  <c r="M638" i="35"/>
  <c r="M637" i="35"/>
  <c r="Z637" i="35" s="1"/>
  <c r="M636" i="35"/>
  <c r="M635" i="35"/>
  <c r="M634" i="35"/>
  <c r="M633" i="35"/>
  <c r="M632" i="35"/>
  <c r="M631" i="35"/>
  <c r="Z631" i="35" s="1"/>
  <c r="M630" i="35"/>
  <c r="M629" i="35"/>
  <c r="M628" i="35"/>
  <c r="M627" i="35"/>
  <c r="Z627" i="35" s="1"/>
  <c r="M626" i="35"/>
  <c r="M625" i="35"/>
  <c r="M624" i="35"/>
  <c r="M623" i="35"/>
  <c r="M622" i="35"/>
  <c r="Y622" i="35" s="1"/>
  <c r="M621" i="35"/>
  <c r="M620" i="35"/>
  <c r="M619" i="35"/>
  <c r="Z619" i="35" s="1"/>
  <c r="M618" i="35"/>
  <c r="M617" i="35"/>
  <c r="M616" i="35"/>
  <c r="Y616" i="35" s="1"/>
  <c r="M615" i="35"/>
  <c r="Z615" i="35" s="1"/>
  <c r="M614" i="35"/>
  <c r="M613" i="35"/>
  <c r="M612" i="35"/>
  <c r="M611" i="35"/>
  <c r="M610" i="35"/>
  <c r="Y610" i="35" s="1"/>
  <c r="M609" i="35"/>
  <c r="Z609" i="35" s="1"/>
  <c r="M608" i="35"/>
  <c r="M607" i="35"/>
  <c r="Z607" i="35" s="1"/>
  <c r="M606" i="35"/>
  <c r="M605" i="35"/>
  <c r="M604" i="35"/>
  <c r="Y604" i="35" s="1"/>
  <c r="M603" i="35"/>
  <c r="Z603" i="35" s="1"/>
  <c r="M602" i="35"/>
  <c r="M601" i="35"/>
  <c r="M600" i="35"/>
  <c r="M599" i="35"/>
  <c r="M598" i="35"/>
  <c r="M597" i="35"/>
  <c r="Z597" i="35" s="1"/>
  <c r="M596" i="35"/>
  <c r="M595" i="35"/>
  <c r="Z595" i="35" s="1"/>
  <c r="M594" i="35"/>
  <c r="M593" i="35"/>
  <c r="M592" i="35"/>
  <c r="Y592" i="35" s="1"/>
  <c r="M591" i="35"/>
  <c r="M590" i="35"/>
  <c r="M589" i="35"/>
  <c r="M588" i="35"/>
  <c r="Y588" i="35" s="1"/>
  <c r="M587" i="35"/>
  <c r="M586" i="35"/>
  <c r="Y586" i="35" s="1"/>
  <c r="M585" i="35"/>
  <c r="Y585" i="35" s="1"/>
  <c r="M584" i="35"/>
  <c r="Y584" i="35" s="1"/>
  <c r="M583" i="35"/>
  <c r="M582" i="35"/>
  <c r="M581" i="35"/>
  <c r="Z581" i="35" s="1"/>
  <c r="M580" i="35"/>
  <c r="Y580" i="35" s="1"/>
  <c r="M579" i="35"/>
  <c r="Z579" i="35" s="1"/>
  <c r="M578" i="35"/>
  <c r="M577" i="35"/>
  <c r="Z577" i="35" s="1"/>
  <c r="M576" i="35"/>
  <c r="M575" i="35"/>
  <c r="M574" i="35"/>
  <c r="Z574" i="35" s="1"/>
  <c r="M573" i="35"/>
  <c r="M572" i="35"/>
  <c r="Y572" i="35" s="1"/>
  <c r="M571" i="35"/>
  <c r="Z571" i="35" s="1"/>
  <c r="M570" i="35"/>
  <c r="Z570" i="35" s="1"/>
  <c r="M569" i="35"/>
  <c r="M568" i="35"/>
  <c r="M567" i="35"/>
  <c r="Z567" i="35" s="1"/>
  <c r="M566" i="35"/>
  <c r="Z566" i="35" s="1"/>
  <c r="M565" i="35"/>
  <c r="Z565" i="35" s="1"/>
  <c r="M564" i="35"/>
  <c r="Y564" i="35" s="1"/>
  <c r="M563" i="35"/>
  <c r="M562" i="35"/>
  <c r="Y562" i="35" s="1"/>
  <c r="M561" i="35"/>
  <c r="Z561" i="35" s="1"/>
  <c r="M560" i="35"/>
  <c r="Z560" i="35" s="1"/>
  <c r="M559" i="35"/>
  <c r="Z559" i="35" s="1"/>
  <c r="M558" i="35"/>
  <c r="Z558" i="35" s="1"/>
  <c r="M557" i="35"/>
  <c r="M556" i="35"/>
  <c r="Z556" i="35" s="1"/>
  <c r="M555" i="35"/>
  <c r="Z555" i="35" s="1"/>
  <c r="M554" i="35"/>
  <c r="Y554" i="35" s="1"/>
  <c r="M553" i="35"/>
  <c r="Z553" i="35" s="1"/>
  <c r="M552" i="35"/>
  <c r="Y552" i="35" s="1"/>
  <c r="K551" i="35"/>
  <c r="M551" i="35" s="1"/>
  <c r="K550" i="35"/>
  <c r="M550" i="35" s="1"/>
  <c r="K549" i="35"/>
  <c r="M549" i="35" s="1"/>
  <c r="K548" i="35"/>
  <c r="M548" i="35" s="1"/>
  <c r="Y548" i="35" s="1"/>
  <c r="M547" i="35"/>
  <c r="K546" i="35"/>
  <c r="M546" i="35" s="1"/>
  <c r="M545" i="35"/>
  <c r="M544" i="35"/>
  <c r="K543" i="35"/>
  <c r="M543" i="35" s="1"/>
  <c r="Z543" i="35" s="1"/>
  <c r="K542" i="35"/>
  <c r="M542" i="35" s="1"/>
  <c r="Y542" i="35" s="1"/>
  <c r="K541" i="35"/>
  <c r="M541" i="35" s="1"/>
  <c r="M540" i="35"/>
  <c r="M539" i="35"/>
  <c r="Y539" i="35" s="1"/>
  <c r="M538" i="35"/>
  <c r="Z538" i="35" s="1"/>
  <c r="M537" i="35"/>
  <c r="M536" i="35"/>
  <c r="Z536" i="35" s="1"/>
  <c r="M535" i="35"/>
  <c r="Z535" i="35" s="1"/>
  <c r="M534" i="35"/>
  <c r="M533" i="35"/>
  <c r="Y533" i="35" s="1"/>
  <c r="M532" i="35"/>
  <c r="M531" i="35"/>
  <c r="Z531" i="35" s="1"/>
  <c r="M530" i="35"/>
  <c r="M529" i="35"/>
  <c r="M528" i="35"/>
  <c r="M527" i="35"/>
  <c r="Y527" i="35" s="1"/>
  <c r="M526" i="35"/>
  <c r="M525" i="35"/>
  <c r="Z525" i="35" s="1"/>
  <c r="M524" i="35"/>
  <c r="Z524" i="35" s="1"/>
  <c r="M523" i="35"/>
  <c r="M522" i="35"/>
  <c r="M521" i="35"/>
  <c r="Y521" i="35" s="1"/>
  <c r="M520" i="35"/>
  <c r="M519" i="35"/>
  <c r="Y519" i="35" s="1"/>
  <c r="M518" i="35"/>
  <c r="Z518" i="35" s="1"/>
  <c r="M517" i="35"/>
  <c r="Y517" i="35" s="1"/>
  <c r="M516" i="35"/>
  <c r="M515" i="35"/>
  <c r="M514" i="35"/>
  <c r="Z514" i="35" s="1"/>
  <c r="M513" i="35"/>
  <c r="M512" i="35"/>
  <c r="M511" i="35"/>
  <c r="M510" i="35"/>
  <c r="Z510" i="35" s="1"/>
  <c r="M509" i="35"/>
  <c r="Y509" i="35" s="1"/>
  <c r="M508" i="35"/>
  <c r="M507" i="35"/>
  <c r="Y507" i="35" s="1"/>
  <c r="M506" i="35"/>
  <c r="Z506" i="35" s="1"/>
  <c r="M505" i="35"/>
  <c r="Y505" i="35" s="1"/>
  <c r="M504" i="35"/>
  <c r="M503" i="35"/>
  <c r="Y503" i="35" s="1"/>
  <c r="M502" i="35"/>
  <c r="Z502" i="35" s="1"/>
  <c r="M501" i="35"/>
  <c r="M500" i="35"/>
  <c r="M499" i="35"/>
  <c r="M498" i="35"/>
  <c r="Z498" i="35" s="1"/>
  <c r="M497" i="35"/>
  <c r="Y497" i="35" s="1"/>
  <c r="M496" i="35"/>
  <c r="M495" i="35"/>
  <c r="Z495" i="35" s="1"/>
  <c r="M494" i="35"/>
  <c r="Z494" i="35" s="1"/>
  <c r="M493" i="35"/>
  <c r="Z493" i="35" s="1"/>
  <c r="M492" i="35"/>
  <c r="M491" i="35"/>
  <c r="M490" i="35"/>
  <c r="Z490" i="35" s="1"/>
  <c r="M489" i="35"/>
  <c r="Y489" i="35" s="1"/>
  <c r="M488" i="35"/>
  <c r="Z488" i="35" s="1"/>
  <c r="M487" i="35"/>
  <c r="M486" i="35"/>
  <c r="Z486" i="35" s="1"/>
  <c r="M485" i="35"/>
  <c r="M484" i="35"/>
  <c r="M483" i="35"/>
  <c r="M482" i="35"/>
  <c r="Z482" i="35" s="1"/>
  <c r="M481" i="35"/>
  <c r="M480" i="35"/>
  <c r="M479" i="35"/>
  <c r="Y479" i="35" s="1"/>
  <c r="M478" i="35"/>
  <c r="Z478" i="35" s="1"/>
  <c r="M477" i="35"/>
  <c r="M476" i="35"/>
  <c r="Z476" i="35" s="1"/>
  <c r="M475" i="35"/>
  <c r="M474" i="35"/>
  <c r="M473" i="35"/>
  <c r="M472" i="35"/>
  <c r="M471" i="35"/>
  <c r="Y471" i="35" s="1"/>
  <c r="M470" i="35"/>
  <c r="Z470" i="35" s="1"/>
  <c r="M469" i="35"/>
  <c r="Z469" i="35" s="1"/>
  <c r="M468" i="35"/>
  <c r="M467" i="35"/>
  <c r="M466" i="35"/>
  <c r="Z466" i="35" s="1"/>
  <c r="M465" i="35"/>
  <c r="Y465" i="35" s="1"/>
  <c r="M464" i="35"/>
  <c r="Z464" i="35" s="1"/>
  <c r="M463" i="35"/>
  <c r="M462" i="35"/>
  <c r="Z462" i="35" s="1"/>
  <c r="M461" i="35"/>
  <c r="M460" i="35"/>
  <c r="M459" i="35"/>
  <c r="M458" i="35"/>
  <c r="Z458" i="35" s="1"/>
  <c r="M457" i="35"/>
  <c r="M456" i="35"/>
  <c r="M455" i="35"/>
  <c r="M454" i="35"/>
  <c r="Z454" i="35" s="1"/>
  <c r="M453" i="35"/>
  <c r="M452" i="35"/>
  <c r="M451" i="35"/>
  <c r="M450" i="35"/>
  <c r="Z450" i="35" s="1"/>
  <c r="M449" i="35"/>
  <c r="Y449" i="35" s="1"/>
  <c r="M448" i="35"/>
  <c r="M447" i="35"/>
  <c r="Y447" i="35" s="1"/>
  <c r="M446" i="35"/>
  <c r="Z446" i="35" s="1"/>
  <c r="M445" i="35"/>
  <c r="Z445" i="35" s="1"/>
  <c r="M444" i="35"/>
  <c r="M443" i="35"/>
  <c r="M442" i="35"/>
  <c r="Z442" i="35" s="1"/>
  <c r="M441" i="35"/>
  <c r="Y441" i="35" s="1"/>
  <c r="M440" i="35"/>
  <c r="Z440" i="35" s="1"/>
  <c r="M439" i="35"/>
  <c r="M438" i="35"/>
  <c r="Z438" i="35" s="1"/>
  <c r="M437" i="35"/>
  <c r="Y437" i="35" s="1"/>
  <c r="M436" i="35"/>
  <c r="M435" i="35"/>
  <c r="Y435" i="35" s="1"/>
  <c r="M434" i="35"/>
  <c r="Z434" i="35" s="1"/>
  <c r="M433" i="35"/>
  <c r="Y433" i="35" s="1"/>
  <c r="M432" i="35"/>
  <c r="M431" i="35"/>
  <c r="M430" i="35"/>
  <c r="Z430" i="35" s="1"/>
  <c r="M429" i="35"/>
  <c r="Y429" i="35" s="1"/>
  <c r="M428" i="35"/>
  <c r="Z428" i="35" s="1"/>
  <c r="M427" i="35"/>
  <c r="M426" i="35"/>
  <c r="M425" i="35"/>
  <c r="M424" i="35"/>
  <c r="M423" i="35"/>
  <c r="M422" i="35"/>
  <c r="Z422" i="35" s="1"/>
  <c r="M421" i="35"/>
  <c r="M420" i="35"/>
  <c r="M419" i="35"/>
  <c r="M418" i="35"/>
  <c r="M417" i="35"/>
  <c r="M416" i="35"/>
  <c r="Z416" i="35" s="1"/>
  <c r="M415" i="35"/>
  <c r="M414" i="35"/>
  <c r="Z414" i="35" s="1"/>
  <c r="M413" i="35"/>
  <c r="Y413" i="35" s="1"/>
  <c r="M412" i="35"/>
  <c r="M411" i="35"/>
  <c r="M410" i="35"/>
  <c r="M409" i="35"/>
  <c r="Y409" i="35" s="1"/>
  <c r="M408" i="35"/>
  <c r="M407" i="35"/>
  <c r="M406" i="35"/>
  <c r="Z406" i="35" s="1"/>
  <c r="M405" i="35"/>
  <c r="Z405" i="35" s="1"/>
  <c r="M404" i="35"/>
  <c r="Z404" i="35" s="1"/>
  <c r="M403" i="35"/>
  <c r="M402" i="35"/>
  <c r="M401" i="35"/>
  <c r="Y401" i="35" s="1"/>
  <c r="M400" i="35"/>
  <c r="M399" i="35"/>
  <c r="Y399" i="35" s="1"/>
  <c r="M398" i="35"/>
  <c r="Z398" i="35" s="1"/>
  <c r="M397" i="35"/>
  <c r="Z397" i="35" s="1"/>
  <c r="M396" i="35"/>
  <c r="M395" i="35"/>
  <c r="M394" i="35"/>
  <c r="M393" i="35"/>
  <c r="Y393" i="35" s="1"/>
  <c r="M392" i="35"/>
  <c r="M391" i="35"/>
  <c r="M390" i="35"/>
  <c r="Z390" i="35" s="1"/>
  <c r="M389" i="35"/>
  <c r="Y389" i="35" s="1"/>
  <c r="M388" i="35"/>
  <c r="M387" i="35"/>
  <c r="Y387" i="35" s="1"/>
  <c r="M386" i="35"/>
  <c r="Z386" i="35" s="1"/>
  <c r="M385" i="35"/>
  <c r="Y385" i="35" s="1"/>
  <c r="M384" i="35"/>
  <c r="M383" i="35"/>
  <c r="Y383" i="35" s="1"/>
  <c r="M382" i="35"/>
  <c r="Z382" i="35" s="1"/>
  <c r="M381" i="35"/>
  <c r="M380" i="35"/>
  <c r="Z380" i="35" s="1"/>
  <c r="M379" i="35"/>
  <c r="M378" i="35"/>
  <c r="Z378" i="35" s="1"/>
  <c r="M377" i="35"/>
  <c r="M376" i="35"/>
  <c r="M375" i="35"/>
  <c r="M374" i="35"/>
  <c r="Z374" i="35" s="1"/>
  <c r="M373" i="35"/>
  <c r="M372" i="35"/>
  <c r="M371" i="35"/>
  <c r="M370" i="35"/>
  <c r="M369" i="35"/>
  <c r="Y369" i="35" s="1"/>
  <c r="M368" i="35"/>
  <c r="Z368" i="35" s="1"/>
  <c r="M367" i="35"/>
  <c r="M366" i="35"/>
  <c r="Z366" i="35" s="1"/>
  <c r="M365" i="35"/>
  <c r="Y365" i="35" s="1"/>
  <c r="M364" i="35"/>
  <c r="M363" i="35"/>
  <c r="Z363" i="35" s="1"/>
  <c r="M362" i="35"/>
  <c r="Z362" i="35" s="1"/>
  <c r="M361" i="35"/>
  <c r="Y361" i="35" s="1"/>
  <c r="M360" i="35"/>
  <c r="M359" i="35"/>
  <c r="Y359" i="35" s="1"/>
  <c r="M358" i="35"/>
  <c r="Z358" i="35" s="1"/>
  <c r="M357" i="35"/>
  <c r="Y357" i="35" s="1"/>
  <c r="M356" i="35"/>
  <c r="M355" i="35"/>
  <c r="M354" i="35"/>
  <c r="Z354" i="35" s="1"/>
  <c r="M353" i="35"/>
  <c r="Y353" i="35" s="1"/>
  <c r="M352" i="35"/>
  <c r="M351" i="35"/>
  <c r="Z351" i="35" s="1"/>
  <c r="M350" i="35"/>
  <c r="M349" i="35"/>
  <c r="Z349" i="35" s="1"/>
  <c r="M348" i="35"/>
  <c r="M347" i="35"/>
  <c r="M346" i="35"/>
  <c r="M345" i="35"/>
  <c r="Z345" i="35" s="1"/>
  <c r="M344" i="35"/>
  <c r="Z344" i="35" s="1"/>
  <c r="M343" i="35"/>
  <c r="M342" i="35"/>
  <c r="M341" i="35"/>
  <c r="Y341" i="35" s="1"/>
  <c r="M340" i="35"/>
  <c r="M339" i="35"/>
  <c r="M338" i="35"/>
  <c r="M337" i="35"/>
  <c r="Z337" i="35" s="1"/>
  <c r="M336" i="35"/>
  <c r="Z336" i="35" s="1"/>
  <c r="M335" i="35"/>
  <c r="M334" i="35"/>
  <c r="M333" i="35"/>
  <c r="Y333" i="35" s="1"/>
  <c r="M332" i="35"/>
  <c r="Z332" i="35" s="1"/>
  <c r="M331" i="35"/>
  <c r="Z331" i="35" s="1"/>
  <c r="M330" i="35"/>
  <c r="M329" i="35"/>
  <c r="Z329" i="35" s="1"/>
  <c r="M328" i="35"/>
  <c r="M327" i="35"/>
  <c r="Y327" i="35" s="1"/>
  <c r="M326" i="35"/>
  <c r="M325" i="35"/>
  <c r="Y325" i="35" s="1"/>
  <c r="M324" i="35"/>
  <c r="Z324" i="35" s="1"/>
  <c r="M323" i="35"/>
  <c r="Z323" i="35" s="1"/>
  <c r="M322" i="35"/>
  <c r="M321" i="35"/>
  <c r="Y321" i="35" s="1"/>
  <c r="M320" i="35"/>
  <c r="M319" i="35"/>
  <c r="Z319" i="35" s="1"/>
  <c r="M318" i="35"/>
  <c r="Z318" i="35" s="1"/>
  <c r="M317" i="35"/>
  <c r="Z317" i="35" s="1"/>
  <c r="M316" i="35"/>
  <c r="M315" i="35"/>
  <c r="M314" i="35"/>
  <c r="Z314" i="35" s="1"/>
  <c r="M313" i="35"/>
  <c r="M312" i="35"/>
  <c r="Z312" i="35" s="1"/>
  <c r="M311" i="35"/>
  <c r="Z311" i="35" s="1"/>
  <c r="M310" i="35"/>
  <c r="M309" i="35"/>
  <c r="Y309" i="35" s="1"/>
  <c r="M308" i="35"/>
  <c r="M307" i="35"/>
  <c r="Z307" i="35" s="1"/>
  <c r="M306" i="35"/>
  <c r="Z306" i="35" s="1"/>
  <c r="M305" i="35"/>
  <c r="Z305" i="35" s="1"/>
  <c r="M304" i="35"/>
  <c r="M303" i="35"/>
  <c r="Y303" i="35" s="1"/>
  <c r="M302" i="35"/>
  <c r="Z302" i="35" s="1"/>
  <c r="M301" i="35"/>
  <c r="Z301" i="35" s="1"/>
  <c r="M300" i="35"/>
  <c r="Z300" i="35" s="1"/>
  <c r="M299" i="35"/>
  <c r="Z299" i="35" s="1"/>
  <c r="M298" i="35"/>
  <c r="M297" i="35"/>
  <c r="M296" i="35"/>
  <c r="Z296" i="35" s="1"/>
  <c r="M295" i="35"/>
  <c r="Y295" i="35" s="1"/>
  <c r="M294" i="35"/>
  <c r="Z294" i="35" s="1"/>
  <c r="M293" i="35"/>
  <c r="Z293" i="35" s="1"/>
  <c r="M292" i="35"/>
  <c r="M291" i="35"/>
  <c r="Y291" i="35" s="1"/>
  <c r="M290" i="35"/>
  <c r="M289" i="35"/>
  <c r="Y289" i="35" s="1"/>
  <c r="M288" i="35"/>
  <c r="Z288" i="35" s="1"/>
  <c r="M287" i="35"/>
  <c r="Z287" i="35" s="1"/>
  <c r="M286" i="35"/>
  <c r="M285" i="35"/>
  <c r="Y285" i="35" s="1"/>
  <c r="M284" i="35"/>
  <c r="M283" i="35"/>
  <c r="Z283" i="35" s="1"/>
  <c r="M282" i="35"/>
  <c r="Z282" i="35" s="1"/>
  <c r="M281" i="35"/>
  <c r="Z281" i="35" s="1"/>
  <c r="M280" i="35"/>
  <c r="M279" i="35"/>
  <c r="M278" i="35"/>
  <c r="Z278" i="35" s="1"/>
  <c r="M277" i="35"/>
  <c r="Y277" i="35" s="1"/>
  <c r="M276" i="35"/>
  <c r="Z276" i="35" s="1"/>
  <c r="M275" i="35"/>
  <c r="Z275" i="35" s="1"/>
  <c r="M274" i="35"/>
  <c r="M273" i="35"/>
  <c r="Y273" i="35" s="1"/>
  <c r="M272" i="35"/>
  <c r="Z272" i="35" s="1"/>
  <c r="M271" i="35"/>
  <c r="Z271" i="35" s="1"/>
  <c r="M270" i="35"/>
  <c r="Z270" i="35" s="1"/>
  <c r="M269" i="35"/>
  <c r="Z269" i="35" s="1"/>
  <c r="M268" i="35"/>
  <c r="M267" i="35"/>
  <c r="M266" i="35"/>
  <c r="Z266" i="35" s="1"/>
  <c r="M265" i="35"/>
  <c r="Z265" i="35" s="1"/>
  <c r="M264" i="35"/>
  <c r="Z264" i="35" s="1"/>
  <c r="M263" i="35"/>
  <c r="Z263" i="35" s="1"/>
  <c r="M262" i="35"/>
  <c r="M261" i="35"/>
  <c r="Y261" i="35" s="1"/>
  <c r="M260" i="35"/>
  <c r="Z260" i="35" s="1"/>
  <c r="M259" i="35"/>
  <c r="M258" i="35"/>
  <c r="Z258" i="35" s="1"/>
  <c r="M257" i="35"/>
  <c r="Z257" i="35" s="1"/>
  <c r="M256" i="35"/>
  <c r="M255" i="35"/>
  <c r="M254" i="35"/>
  <c r="M253" i="35"/>
  <c r="Z253" i="35" s="1"/>
  <c r="M252" i="35"/>
  <c r="Z252" i="35" s="1"/>
  <c r="M251" i="35"/>
  <c r="Z251" i="35" s="1"/>
  <c r="M250" i="35"/>
  <c r="M249" i="35"/>
  <c r="Y249" i="35" s="1"/>
  <c r="M248" i="35"/>
  <c r="M247" i="35"/>
  <c r="M246" i="35"/>
  <c r="Z246" i="35" s="1"/>
  <c r="M245" i="35"/>
  <c r="Z245" i="35" s="1"/>
  <c r="M244" i="35"/>
  <c r="M243" i="35"/>
  <c r="Y243" i="35" s="1"/>
  <c r="M242" i="35"/>
  <c r="Z242" i="35" s="1"/>
  <c r="M241" i="35"/>
  <c r="Z241" i="35" s="1"/>
  <c r="M240" i="35"/>
  <c r="Z240" i="35" s="1"/>
  <c r="M239" i="35"/>
  <c r="Z239" i="35" s="1"/>
  <c r="M238" i="35"/>
  <c r="M237" i="35"/>
  <c r="M236" i="35"/>
  <c r="Z236" i="35" s="1"/>
  <c r="M235" i="35"/>
  <c r="Z235" i="35" s="1"/>
  <c r="M234" i="35"/>
  <c r="Z234" i="35" s="1"/>
  <c r="M233" i="35"/>
  <c r="Z233" i="35" s="1"/>
  <c r="M232" i="35"/>
  <c r="M231" i="35"/>
  <c r="Y231" i="35" s="1"/>
  <c r="M230" i="35"/>
  <c r="M229" i="35"/>
  <c r="Y229" i="35" s="1"/>
  <c r="M228" i="35"/>
  <c r="Z228" i="35" s="1"/>
  <c r="M227" i="35"/>
  <c r="Z227" i="35" s="1"/>
  <c r="M226" i="35"/>
  <c r="M225" i="35"/>
  <c r="Y225" i="35" s="1"/>
  <c r="M224" i="35"/>
  <c r="Z224" i="35" s="1"/>
  <c r="M223" i="35"/>
  <c r="M222" i="35"/>
  <c r="Z222" i="35" s="1"/>
  <c r="M221" i="35"/>
  <c r="Z221" i="35" s="1"/>
  <c r="M220" i="35"/>
  <c r="M219" i="35"/>
  <c r="M218" i="35"/>
  <c r="M217" i="35"/>
  <c r="Z217" i="35" s="1"/>
  <c r="M216" i="35"/>
  <c r="Z216" i="35" s="1"/>
  <c r="M215" i="35"/>
  <c r="Z215" i="35" s="1"/>
  <c r="M214" i="35"/>
  <c r="M213" i="35"/>
  <c r="Y213" i="35" s="1"/>
  <c r="M212" i="35"/>
  <c r="M211" i="35"/>
  <c r="M210" i="35"/>
  <c r="Z210" i="35" s="1"/>
  <c r="M209" i="35"/>
  <c r="Z209" i="35" s="1"/>
  <c r="M208" i="35"/>
  <c r="M207" i="35"/>
  <c r="Y207" i="35" s="1"/>
  <c r="M206" i="35"/>
  <c r="Z206" i="35" s="1"/>
  <c r="M205" i="35"/>
  <c r="Z205" i="35" s="1"/>
  <c r="M204" i="35"/>
  <c r="Z204" i="35" s="1"/>
  <c r="M203" i="35"/>
  <c r="Z203" i="35" s="1"/>
  <c r="M202" i="35"/>
  <c r="M201" i="35"/>
  <c r="Y201" i="35" s="1"/>
  <c r="M200" i="35"/>
  <c r="Z200" i="35" s="1"/>
  <c r="M199" i="35"/>
  <c r="Y199" i="35" s="1"/>
  <c r="M198" i="35"/>
  <c r="Z198" i="35" s="1"/>
  <c r="M197" i="35"/>
  <c r="Z197" i="35" s="1"/>
  <c r="M196" i="35"/>
  <c r="M195" i="35"/>
  <c r="Y195" i="35" s="1"/>
  <c r="M194" i="35"/>
  <c r="Z194" i="35" s="1"/>
  <c r="M193" i="35"/>
  <c r="Y193" i="35" s="1"/>
  <c r="M192" i="35"/>
  <c r="Z192" i="35" s="1"/>
  <c r="M191" i="35"/>
  <c r="Z191" i="35" s="1"/>
  <c r="M190" i="35"/>
  <c r="M189" i="35"/>
  <c r="Z189" i="35" s="1"/>
  <c r="M188" i="35"/>
  <c r="Z188" i="35" s="1"/>
  <c r="M187" i="35"/>
  <c r="M186" i="35"/>
  <c r="Z186" i="35" s="1"/>
  <c r="M185" i="35"/>
  <c r="Z185" i="35" s="1"/>
  <c r="M184" i="35"/>
  <c r="M183" i="35"/>
  <c r="Z183" i="35" s="1"/>
  <c r="M182" i="35"/>
  <c r="Z182" i="35" s="1"/>
  <c r="M181" i="35"/>
  <c r="M180" i="35"/>
  <c r="Z180" i="35" s="1"/>
  <c r="M179" i="35"/>
  <c r="Z179" i="35" s="1"/>
  <c r="M178" i="35"/>
  <c r="M177" i="35"/>
  <c r="Z177" i="35" s="1"/>
  <c r="M176" i="35"/>
  <c r="Z176" i="35" s="1"/>
  <c r="M175" i="35"/>
  <c r="M174" i="35"/>
  <c r="Z174" i="35" s="1"/>
  <c r="M173" i="35"/>
  <c r="Z173" i="35" s="1"/>
  <c r="M172" i="35"/>
  <c r="M171" i="35"/>
  <c r="Z171" i="35" s="1"/>
  <c r="M170" i="35"/>
  <c r="Z170" i="35" s="1"/>
  <c r="M169" i="35"/>
  <c r="M168" i="35"/>
  <c r="Z168" i="35" s="1"/>
  <c r="M167" i="35"/>
  <c r="Z167" i="35" s="1"/>
  <c r="M166" i="35"/>
  <c r="Z166" i="35" s="1"/>
  <c r="M165" i="35"/>
  <c r="Z165" i="35" s="1"/>
  <c r="M164" i="35"/>
  <c r="M163" i="35"/>
  <c r="Z163" i="35" s="1"/>
  <c r="M162" i="35"/>
  <c r="Z162" i="35" s="1"/>
  <c r="M161" i="35"/>
  <c r="Z161" i="35" s="1"/>
  <c r="M160" i="35"/>
  <c r="Z160" i="35" s="1"/>
  <c r="M159" i="35"/>
  <c r="M158" i="35"/>
  <c r="Z158" i="35" s="1"/>
  <c r="M157" i="35"/>
  <c r="Z157" i="35" s="1"/>
  <c r="M156" i="35"/>
  <c r="Y156" i="35" s="1"/>
  <c r="M155" i="35"/>
  <c r="Z155" i="35" s="1"/>
  <c r="M154" i="35"/>
  <c r="Z154" i="35" s="1"/>
  <c r="M153" i="35"/>
  <c r="Z153" i="35" s="1"/>
  <c r="M152" i="35"/>
  <c r="M151" i="35"/>
  <c r="Z151" i="35" s="1"/>
  <c r="M150" i="35"/>
  <c r="Z150" i="35" s="1"/>
  <c r="M149" i="35"/>
  <c r="Z149" i="35" s="1"/>
  <c r="M148" i="35"/>
  <c r="Z148" i="35" s="1"/>
  <c r="M147" i="35"/>
  <c r="M146" i="35"/>
  <c r="Z146" i="35" s="1"/>
  <c r="M145" i="35"/>
  <c r="Z145" i="35" s="1"/>
  <c r="M144" i="35"/>
  <c r="Y144" i="35" s="1"/>
  <c r="M143" i="35"/>
  <c r="Z143" i="35" s="1"/>
  <c r="M142" i="35"/>
  <c r="Z142" i="35" s="1"/>
  <c r="M141" i="35"/>
  <c r="Z141" i="35" s="1"/>
  <c r="M140" i="35"/>
  <c r="M139" i="35"/>
  <c r="Z139" i="35" s="1"/>
  <c r="M138" i="35"/>
  <c r="Z138" i="35" s="1"/>
  <c r="M137" i="35"/>
  <c r="Z137" i="35" s="1"/>
  <c r="M136" i="35"/>
  <c r="Z136" i="35" s="1"/>
  <c r="M135" i="35"/>
  <c r="M134" i="35"/>
  <c r="Z134" i="35" s="1"/>
  <c r="M133" i="35"/>
  <c r="Z133" i="35" s="1"/>
  <c r="M132" i="35"/>
  <c r="Y132" i="35" s="1"/>
  <c r="M131" i="35"/>
  <c r="Z131" i="35" s="1"/>
  <c r="M130" i="35"/>
  <c r="Z130" i="35" s="1"/>
  <c r="M129" i="35"/>
  <c r="Z129" i="35" s="1"/>
  <c r="M128" i="35"/>
  <c r="M127" i="35"/>
  <c r="Z127" i="35" s="1"/>
  <c r="M126" i="35"/>
  <c r="Z126" i="35" s="1"/>
  <c r="M125" i="35"/>
  <c r="Z125" i="35" s="1"/>
  <c r="M124" i="35"/>
  <c r="Z124" i="35" s="1"/>
  <c r="M123" i="35"/>
  <c r="M122" i="35"/>
  <c r="Z122" i="35" s="1"/>
  <c r="M121" i="35"/>
  <c r="Z121" i="35" s="1"/>
  <c r="M120" i="35"/>
  <c r="Y120" i="35" s="1"/>
  <c r="M119" i="35"/>
  <c r="Z119" i="35" s="1"/>
  <c r="M118" i="35"/>
  <c r="M117" i="35"/>
  <c r="Z117" i="35" s="1"/>
  <c r="M116" i="35"/>
  <c r="M115" i="35"/>
  <c r="Z115" i="35" s="1"/>
  <c r="M114" i="35"/>
  <c r="M113" i="35"/>
  <c r="M112" i="35"/>
  <c r="Z112" i="35" s="1"/>
  <c r="M111" i="35"/>
  <c r="M110" i="35"/>
  <c r="Z110" i="35" s="1"/>
  <c r="M109" i="35"/>
  <c r="Z109" i="35" s="1"/>
  <c r="M108" i="35"/>
  <c r="M107" i="35"/>
  <c r="Z107" i="35" s="1"/>
  <c r="M106" i="35"/>
  <c r="M105" i="35"/>
  <c r="Z105" i="35" s="1"/>
  <c r="M104" i="35"/>
  <c r="Z104" i="35" s="1"/>
  <c r="M103" i="35"/>
  <c r="Z103" i="35" s="1"/>
  <c r="M102" i="35"/>
  <c r="M101" i="35"/>
  <c r="M100" i="35"/>
  <c r="Z100" i="35" s="1"/>
  <c r="M99" i="35"/>
  <c r="Z99" i="35" s="1"/>
  <c r="M98" i="35"/>
  <c r="Z98" i="35" s="1"/>
  <c r="M97" i="35"/>
  <c r="M96" i="35"/>
  <c r="M95" i="35"/>
  <c r="Z95" i="35" s="1"/>
  <c r="M94" i="35"/>
  <c r="Z94" i="35" s="1"/>
  <c r="M93" i="35"/>
  <c r="Z93" i="35" s="1"/>
  <c r="M92" i="35"/>
  <c r="Z92" i="35" s="1"/>
  <c r="M91" i="35"/>
  <c r="Z91" i="35" s="1"/>
  <c r="M90" i="35"/>
  <c r="M89" i="35"/>
  <c r="Z89" i="35" s="1"/>
  <c r="M88" i="35"/>
  <c r="Z88" i="35" s="1"/>
  <c r="M87" i="35"/>
  <c r="Z87" i="35" s="1"/>
  <c r="M86" i="35"/>
  <c r="Z86" i="35" s="1"/>
  <c r="M85" i="35"/>
  <c r="M84" i="35"/>
  <c r="Y84" i="35" s="1"/>
  <c r="M83" i="35"/>
  <c r="Z83" i="35" s="1"/>
  <c r="M82" i="35"/>
  <c r="Z82" i="35" s="1"/>
  <c r="M81" i="35"/>
  <c r="Z81" i="35" s="1"/>
  <c r="M80" i="35"/>
  <c r="Z80" i="35" s="1"/>
  <c r="M79" i="35"/>
  <c r="Z79" i="35" s="1"/>
  <c r="M78" i="35"/>
  <c r="M77" i="35"/>
  <c r="Z77" i="35" s="1"/>
  <c r="M76" i="35"/>
  <c r="Z76" i="35" s="1"/>
  <c r="M75" i="35"/>
  <c r="Z75" i="35" s="1"/>
  <c r="M74" i="35"/>
  <c r="Z74" i="35" s="1"/>
  <c r="M73" i="35"/>
  <c r="M72" i="35"/>
  <c r="Y72" i="35" s="1"/>
  <c r="M71" i="35"/>
  <c r="Z71" i="35" s="1"/>
  <c r="M70" i="35"/>
  <c r="Y70" i="35" s="1"/>
  <c r="M69" i="35"/>
  <c r="Z69" i="35" s="1"/>
  <c r="M68" i="35"/>
  <c r="Z68" i="35" s="1"/>
  <c r="M67" i="35"/>
  <c r="Z67" i="35" s="1"/>
  <c r="M66" i="35"/>
  <c r="M65" i="35"/>
  <c r="Z65" i="35" s="1"/>
  <c r="M64" i="35"/>
  <c r="Z64" i="35" s="1"/>
  <c r="M63" i="35"/>
  <c r="Z63" i="35" s="1"/>
  <c r="M62" i="35"/>
  <c r="Z62" i="35" s="1"/>
  <c r="M61" i="35"/>
  <c r="M60" i="35"/>
  <c r="Y60" i="35" s="1"/>
  <c r="M59" i="35"/>
  <c r="Z59" i="35" s="1"/>
  <c r="M58" i="35"/>
  <c r="Z58" i="35" s="1"/>
  <c r="M57" i="35"/>
  <c r="Z57" i="35" s="1"/>
  <c r="M56" i="35"/>
  <c r="Z56" i="35" s="1"/>
  <c r="M55" i="35"/>
  <c r="Z55" i="35" s="1"/>
  <c r="M54" i="35"/>
  <c r="M53" i="35"/>
  <c r="Z53" i="35" s="1"/>
  <c r="M52" i="35"/>
  <c r="Z52" i="35" s="1"/>
  <c r="M51" i="35"/>
  <c r="Z51" i="35" s="1"/>
  <c r="M50" i="35"/>
  <c r="Z50" i="35" s="1"/>
  <c r="M49" i="35"/>
  <c r="M48" i="35"/>
  <c r="Y48" i="35" s="1"/>
  <c r="M47" i="35"/>
  <c r="Z47" i="35" s="1"/>
  <c r="M46" i="35"/>
  <c r="Z46" i="35" s="1"/>
  <c r="M45" i="35"/>
  <c r="Z45" i="35" s="1"/>
  <c r="M44" i="35"/>
  <c r="Z44" i="35" s="1"/>
  <c r="M43" i="35"/>
  <c r="Z43" i="35" s="1"/>
  <c r="M42" i="35"/>
  <c r="M41" i="35"/>
  <c r="Z41" i="35" s="1"/>
  <c r="M40" i="35"/>
  <c r="Z40" i="35" s="1"/>
  <c r="M39" i="35"/>
  <c r="Z39" i="35" s="1"/>
  <c r="M38" i="35"/>
  <c r="Z38" i="35" s="1"/>
  <c r="M37" i="35"/>
  <c r="M36" i="35"/>
  <c r="Y36" i="35" s="1"/>
  <c r="M35" i="35"/>
  <c r="Z35" i="35" s="1"/>
  <c r="M34" i="35"/>
  <c r="Y34" i="35" s="1"/>
  <c r="M33" i="35"/>
  <c r="Z33" i="35" s="1"/>
  <c r="M32" i="35"/>
  <c r="Z32" i="35" s="1"/>
  <c r="M31" i="35"/>
  <c r="Z31" i="35" s="1"/>
  <c r="M30" i="35"/>
  <c r="M29" i="35"/>
  <c r="Z29" i="35" s="1"/>
  <c r="M28" i="35"/>
  <c r="Z28" i="35" s="1"/>
  <c r="M27" i="35"/>
  <c r="Z27" i="35" s="1"/>
  <c r="M26" i="35"/>
  <c r="Z26" i="35" s="1"/>
  <c r="M25" i="35"/>
  <c r="M24" i="35"/>
  <c r="Y24" i="35" s="1"/>
  <c r="M23" i="35"/>
  <c r="Z23" i="35" s="1"/>
  <c r="M22" i="35"/>
  <c r="M21" i="35"/>
  <c r="Z21" i="35" s="1"/>
  <c r="M20" i="35"/>
  <c r="Z20" i="35" s="1"/>
  <c r="M19" i="35"/>
  <c r="Z19" i="35" s="1"/>
  <c r="M18" i="35"/>
  <c r="M17" i="35"/>
  <c r="Z17" i="35" s="1"/>
  <c r="M16" i="35"/>
  <c r="Z16" i="35" s="1"/>
  <c r="M15" i="35"/>
  <c r="Z15" i="35" s="1"/>
  <c r="M14" i="35"/>
  <c r="Z14" i="35" s="1"/>
  <c r="M13" i="35"/>
  <c r="M12" i="35"/>
  <c r="M11" i="35"/>
  <c r="Z11" i="35" s="1"/>
  <c r="M10" i="35"/>
  <c r="M9" i="35"/>
  <c r="Z9" i="35" s="1"/>
  <c r="M8" i="35"/>
  <c r="Z8" i="35" s="1"/>
  <c r="M7" i="35"/>
  <c r="Z7" i="35" s="1"/>
  <c r="M6" i="35"/>
  <c r="M5" i="35"/>
  <c r="Y5" i="35" s="1"/>
  <c r="I3" i="35" s="1"/>
  <c r="Z942" i="35" l="1"/>
  <c r="Y934" i="35"/>
  <c r="Z935" i="35"/>
  <c r="Z936" i="35"/>
  <c r="Z938" i="35"/>
  <c r="Y175" i="36"/>
  <c r="Y67" i="36"/>
  <c r="Z149" i="36"/>
  <c r="Z41" i="36"/>
  <c r="Z12" i="36"/>
  <c r="Z30" i="36"/>
  <c r="Z43" i="36"/>
  <c r="Z48" i="36"/>
  <c r="Z62" i="36"/>
  <c r="Z79" i="36"/>
  <c r="Z94" i="36"/>
  <c r="Y163" i="36"/>
  <c r="Z197" i="36"/>
  <c r="Y6" i="36"/>
  <c r="Y24" i="36"/>
  <c r="Z72" i="36"/>
  <c r="Z86" i="36"/>
  <c r="Z101" i="36"/>
  <c r="Z116" i="36"/>
  <c r="Y127" i="36"/>
  <c r="Y199" i="36"/>
  <c r="Y51" i="36"/>
  <c r="Y65" i="36"/>
  <c r="Z82" i="36"/>
  <c r="Z156" i="36"/>
  <c r="Y187" i="36"/>
  <c r="Z56" i="36"/>
  <c r="Z98" i="36"/>
  <c r="Z113" i="36"/>
  <c r="Z137" i="36"/>
  <c r="Z36" i="36"/>
  <c r="Z110" i="36"/>
  <c r="Z194" i="36"/>
  <c r="Y10" i="36"/>
  <c r="Y16" i="36"/>
  <c r="Y22" i="36"/>
  <c r="Y77" i="36"/>
  <c r="Z122" i="36"/>
  <c r="Y125" i="36"/>
  <c r="Z132" i="36"/>
  <c r="Y157" i="36"/>
  <c r="Y161" i="36"/>
  <c r="Z168" i="36"/>
  <c r="Y195" i="36"/>
  <c r="Z34" i="36"/>
  <c r="Z91" i="36"/>
  <c r="Z128" i="36"/>
  <c r="Y8" i="36"/>
  <c r="Y14" i="36"/>
  <c r="Y20" i="36"/>
  <c r="Y26" i="36"/>
  <c r="Y32" i="36"/>
  <c r="Z50" i="36"/>
  <c r="Y53" i="36"/>
  <c r="Z60" i="36"/>
  <c r="Z63" i="36"/>
  <c r="Z74" i="36"/>
  <c r="Y85" i="36"/>
  <c r="Y89" i="36"/>
  <c r="Z96" i="36"/>
  <c r="Z103" i="36"/>
  <c r="Z108" i="36"/>
  <c r="Z115" i="36"/>
  <c r="Y123" i="36"/>
  <c r="Z139" i="36"/>
  <c r="Z144" i="36"/>
  <c r="Y151" i="36"/>
  <c r="Z158" i="36"/>
  <c r="Z173" i="36"/>
  <c r="Z185" i="36"/>
  <c r="Z188" i="36"/>
  <c r="Z198" i="36"/>
  <c r="Y28" i="36"/>
  <c r="Z44" i="36"/>
  <c r="Z84" i="36"/>
  <c r="Z38" i="36"/>
  <c r="Z55" i="36"/>
  <c r="Z192" i="36"/>
  <c r="Z200" i="36"/>
  <c r="Z120" i="36"/>
  <c r="Z134" i="36"/>
  <c r="Z166" i="36"/>
  <c r="Z170" i="36"/>
  <c r="Z182" i="36"/>
  <c r="Z196" i="36"/>
  <c r="Y73" i="36"/>
  <c r="Z146" i="36"/>
  <c r="Z180" i="36"/>
  <c r="Z154" i="36"/>
  <c r="Z202" i="36"/>
  <c r="Y648" i="35"/>
  <c r="Y651" i="35"/>
  <c r="Y821" i="35"/>
  <c r="Y836" i="35"/>
  <c r="Z838" i="35"/>
  <c r="Z843" i="35"/>
  <c r="Z850" i="35"/>
  <c r="Z852" i="35"/>
  <c r="Z854" i="35"/>
  <c r="Z855" i="35"/>
  <c r="Z861" i="35"/>
  <c r="Z870" i="35"/>
  <c r="Z879" i="35"/>
  <c r="Y95" i="36"/>
  <c r="Z95" i="36"/>
  <c r="Y126" i="36"/>
  <c r="Z126" i="36"/>
  <c r="Y39" i="36"/>
  <c r="Z70" i="36"/>
  <c r="Y111" i="36"/>
  <c r="Y133" i="36"/>
  <c r="Z142" i="36"/>
  <c r="Z155" i="36"/>
  <c r="Y155" i="36"/>
  <c r="Z176" i="36"/>
  <c r="Y186" i="36"/>
  <c r="Z186" i="36"/>
  <c r="Y7" i="36"/>
  <c r="Z58" i="36"/>
  <c r="Z92" i="36"/>
  <c r="Y102" i="36"/>
  <c r="Z102" i="36"/>
  <c r="Y121" i="36"/>
  <c r="Y171" i="36"/>
  <c r="Z25" i="36"/>
  <c r="Y25" i="36"/>
  <c r="Z31" i="36"/>
  <c r="Y31" i="36"/>
  <c r="Y37" i="36"/>
  <c r="Z46" i="36"/>
  <c r="Z59" i="36"/>
  <c r="Y59" i="36"/>
  <c r="Z80" i="36"/>
  <c r="Y87" i="36"/>
  <c r="Y90" i="36"/>
  <c r="Z90" i="36"/>
  <c r="Z99" i="36"/>
  <c r="Y109" i="36"/>
  <c r="Z118" i="36"/>
  <c r="Z131" i="36"/>
  <c r="Y131" i="36"/>
  <c r="Z152" i="36"/>
  <c r="Y159" i="36"/>
  <c r="Y162" i="36"/>
  <c r="Z162" i="36"/>
  <c r="Y181" i="36"/>
  <c r="Z190" i="36"/>
  <c r="Y47" i="36"/>
  <c r="Z47" i="36"/>
  <c r="Z68" i="36"/>
  <c r="Y75" i="36"/>
  <c r="Y78" i="36"/>
  <c r="Z78" i="36"/>
  <c r="Y97" i="36"/>
  <c r="Z106" i="36"/>
  <c r="Y119" i="36"/>
  <c r="Z119" i="36"/>
  <c r="Z140" i="36"/>
  <c r="Y147" i="36"/>
  <c r="Y150" i="36"/>
  <c r="Z150" i="36"/>
  <c r="Y169" i="36"/>
  <c r="Z178" i="36"/>
  <c r="Y191" i="36"/>
  <c r="Z191" i="36"/>
  <c r="Y54" i="36"/>
  <c r="Z54" i="36"/>
  <c r="Y167" i="36"/>
  <c r="Z167" i="36"/>
  <c r="Y9" i="36"/>
  <c r="Y15" i="36"/>
  <c r="Z15" i="36"/>
  <c r="Y21" i="36"/>
  <c r="Z21" i="36"/>
  <c r="Z27" i="36"/>
  <c r="Y27" i="36"/>
  <c r="Z33" i="36"/>
  <c r="Y33" i="36"/>
  <c r="Y42" i="36"/>
  <c r="Z42" i="36"/>
  <c r="Y61" i="36"/>
  <c r="Z83" i="36"/>
  <c r="Y83" i="36"/>
  <c r="Z104" i="36"/>
  <c r="Y114" i="36"/>
  <c r="Z114" i="36"/>
  <c r="Y183" i="36"/>
  <c r="M204" i="36"/>
  <c r="Z5" i="36"/>
  <c r="Y49" i="36"/>
  <c r="Y71" i="36"/>
  <c r="Z71" i="36"/>
  <c r="Z130" i="36"/>
  <c r="Y143" i="36"/>
  <c r="Z143" i="36"/>
  <c r="Z164" i="36"/>
  <c r="Y174" i="36"/>
  <c r="Z174" i="36"/>
  <c r="Y193" i="36"/>
  <c r="Z13" i="36"/>
  <c r="Y13" i="36"/>
  <c r="Z19" i="36"/>
  <c r="Y19" i="36"/>
  <c r="Y11" i="36"/>
  <c r="Z11" i="36"/>
  <c r="Z17" i="36"/>
  <c r="Y17" i="36"/>
  <c r="Z23" i="36"/>
  <c r="Y23" i="36"/>
  <c r="Y29" i="36"/>
  <c r="Z29" i="36"/>
  <c r="Z35" i="36"/>
  <c r="Y35" i="36"/>
  <c r="Y66" i="36"/>
  <c r="Z66" i="36"/>
  <c r="Z107" i="36"/>
  <c r="Y107" i="36"/>
  <c r="Y138" i="36"/>
  <c r="Z138" i="36"/>
  <c r="Y179" i="36"/>
  <c r="Z179" i="36"/>
  <c r="Y203" i="36"/>
  <c r="Z203" i="36"/>
  <c r="Z40" i="36"/>
  <c r="Y45" i="36"/>
  <c r="Z52" i="36"/>
  <c r="Y57" i="36"/>
  <c r="Z64" i="36"/>
  <c r="Y69" i="36"/>
  <c r="Z76" i="36"/>
  <c r="Y81" i="36"/>
  <c r="Z88" i="36"/>
  <c r="Y93" i="36"/>
  <c r="Z100" i="36"/>
  <c r="Y105" i="36"/>
  <c r="Z112" i="36"/>
  <c r="Y117" i="36"/>
  <c r="Z124" i="36"/>
  <c r="Y129" i="36"/>
  <c r="Z136" i="36"/>
  <c r="Y141" i="36"/>
  <c r="Z148" i="36"/>
  <c r="Y153" i="36"/>
  <c r="Z160" i="36"/>
  <c r="Y165" i="36"/>
  <c r="Z172" i="36"/>
  <c r="Y177" i="36"/>
  <c r="Z184" i="36"/>
  <c r="Y189" i="36"/>
  <c r="Y201" i="36"/>
  <c r="Z758" i="35"/>
  <c r="Z760" i="35"/>
  <c r="Z762" i="35"/>
  <c r="Z763" i="35"/>
  <c r="Z771" i="35"/>
  <c r="Z775" i="35"/>
  <c r="Z777" i="35"/>
  <c r="Z902" i="35"/>
  <c r="Z903" i="35"/>
  <c r="Z904" i="35"/>
  <c r="Z905" i="35"/>
  <c r="Y906" i="35"/>
  <c r="Y909" i="35"/>
  <c r="Z910" i="35"/>
  <c r="Z70" i="35"/>
  <c r="Y675" i="35"/>
  <c r="Y680" i="35"/>
  <c r="Y649" i="35"/>
  <c r="Z684" i="35"/>
  <c r="Z291" i="35"/>
  <c r="Y142" i="35"/>
  <c r="Y779" i="35"/>
  <c r="Y782" i="35"/>
  <c r="Y785" i="35"/>
  <c r="Y788" i="35"/>
  <c r="Y816" i="35"/>
  <c r="Z156" i="35"/>
  <c r="Y161" i="35"/>
  <c r="Z277" i="35"/>
  <c r="Z357" i="35"/>
  <c r="Z429" i="35"/>
  <c r="Y166" i="35"/>
  <c r="Z60" i="35"/>
  <c r="Y65" i="35"/>
  <c r="Z225" i="35"/>
  <c r="Z622" i="35"/>
  <c r="Y627" i="35"/>
  <c r="Y644" i="35"/>
  <c r="Y684" i="35"/>
  <c r="Z703" i="35"/>
  <c r="Z704" i="35"/>
  <c r="Z705" i="35"/>
  <c r="Z707" i="35"/>
  <c r="Z708" i="35"/>
  <c r="Z709" i="35"/>
  <c r="Z710" i="35"/>
  <c r="Y718" i="35"/>
  <c r="Z725" i="35"/>
  <c r="Y727" i="35"/>
  <c r="Z728" i="35"/>
  <c r="Y735" i="35"/>
  <c r="Z748" i="35"/>
  <c r="Y331" i="35"/>
  <c r="Y363" i="35"/>
  <c r="Z584" i="35"/>
  <c r="Y253" i="35"/>
  <c r="Y206" i="35"/>
  <c r="Y278" i="35"/>
  <c r="Z321" i="35"/>
  <c r="Z580" i="35"/>
  <c r="Y689" i="35"/>
  <c r="Y698" i="35"/>
  <c r="Y703" i="35"/>
  <c r="Z34" i="35"/>
  <c r="Y428" i="35"/>
  <c r="Y895" i="35"/>
  <c r="Y898" i="35"/>
  <c r="Y900" i="35"/>
  <c r="Z901" i="35"/>
  <c r="Y914" i="35"/>
  <c r="Y919" i="35"/>
  <c r="Y920" i="35"/>
  <c r="Y922" i="35"/>
  <c r="Z923" i="35"/>
  <c r="Z924" i="35"/>
  <c r="Z507" i="35"/>
  <c r="Y217" i="35"/>
  <c r="Z447" i="35"/>
  <c r="Y690" i="35"/>
  <c r="Z84" i="35"/>
  <c r="Y260" i="35"/>
  <c r="Y556" i="35"/>
  <c r="Y560" i="35"/>
  <c r="Z742" i="35"/>
  <c r="Y743" i="35"/>
  <c r="Y746" i="35"/>
  <c r="Y751" i="35"/>
  <c r="Y878" i="35"/>
  <c r="Y879" i="35"/>
  <c r="Y887" i="35"/>
  <c r="Y889" i="35"/>
  <c r="Y932" i="35"/>
  <c r="Z195" i="35"/>
  <c r="Y242" i="35"/>
  <c r="Z409" i="35"/>
  <c r="Y502" i="35"/>
  <c r="Z132" i="35"/>
  <c r="Y137" i="35"/>
  <c r="Z201" i="35"/>
  <c r="Y283" i="35"/>
  <c r="Y619" i="35"/>
  <c r="Y822" i="35"/>
  <c r="Y826" i="35"/>
  <c r="Y829" i="35"/>
  <c r="Y488" i="35"/>
  <c r="Y732" i="35"/>
  <c r="Y863" i="35"/>
  <c r="Y89" i="35"/>
  <c r="Y94" i="35"/>
  <c r="Y224" i="35"/>
  <c r="Y466" i="35"/>
  <c r="Z610" i="35"/>
  <c r="Z229" i="35"/>
  <c r="Y266" i="35"/>
  <c r="Z285" i="35"/>
  <c r="Z295" i="35"/>
  <c r="Z333" i="35"/>
  <c r="Z489" i="35"/>
  <c r="Z552" i="35"/>
  <c r="Y650" i="35"/>
  <c r="Y653" i="35"/>
  <c r="Y657" i="35"/>
  <c r="Y658" i="35"/>
  <c r="Z659" i="35"/>
  <c r="Z661" i="35"/>
  <c r="Z665" i="35"/>
  <c r="Y666" i="35"/>
  <c r="Z673" i="35"/>
  <c r="Z674" i="35"/>
  <c r="Y804" i="35"/>
  <c r="Z805" i="35"/>
  <c r="Z806" i="35"/>
  <c r="Z807" i="35"/>
  <c r="Z808" i="35"/>
  <c r="Y813" i="35"/>
  <c r="Z815" i="35"/>
  <c r="Y106" i="35"/>
  <c r="Z106" i="35"/>
  <c r="Z381" i="35"/>
  <c r="Y381" i="35"/>
  <c r="Y453" i="35"/>
  <c r="Z453" i="35"/>
  <c r="Z373" i="35"/>
  <c r="Y373" i="35"/>
  <c r="Z426" i="35"/>
  <c r="Y426" i="35"/>
  <c r="Y457" i="35"/>
  <c r="Z457" i="35"/>
  <c r="Z589" i="35"/>
  <c r="Y589" i="35"/>
  <c r="Z690" i="35"/>
  <c r="Y264" i="35"/>
  <c r="Z421" i="35"/>
  <c r="Y421" i="35"/>
  <c r="Z568" i="35"/>
  <c r="Y568" i="35"/>
  <c r="Y596" i="35"/>
  <c r="Z596" i="35"/>
  <c r="Z644" i="35"/>
  <c r="Z945" i="35"/>
  <c r="Y945" i="35"/>
  <c r="Z101" i="35"/>
  <c r="Y101" i="35"/>
  <c r="Y235" i="35"/>
  <c r="Z411" i="35"/>
  <c r="Y411" i="35"/>
  <c r="Z483" i="35"/>
  <c r="Y483" i="35"/>
  <c r="Y96" i="35"/>
  <c r="Z96" i="35"/>
  <c r="Y271" i="35"/>
  <c r="Z350" i="35"/>
  <c r="Y350" i="35"/>
  <c r="Y407" i="35"/>
  <c r="Z407" i="35"/>
  <c r="Y593" i="35"/>
  <c r="Z593" i="35"/>
  <c r="Z621" i="35"/>
  <c r="Y621" i="35"/>
  <c r="Z794" i="35"/>
  <c r="Z10" i="35"/>
  <c r="Y10" i="35"/>
  <c r="Y267" i="35"/>
  <c r="Z267" i="35"/>
  <c r="Y313" i="35"/>
  <c r="Z313" i="35"/>
  <c r="Y339" i="35"/>
  <c r="Z339" i="35"/>
  <c r="Y617" i="35"/>
  <c r="Z617" i="35"/>
  <c r="Y930" i="35"/>
  <c r="Z934" i="35"/>
  <c r="Y942" i="35"/>
  <c r="Z36" i="35"/>
  <c r="Y41" i="35"/>
  <c r="Y46" i="35"/>
  <c r="Z193" i="35"/>
  <c r="Z261" i="35"/>
  <c r="Y265" i="35"/>
  <c r="Z289" i="35"/>
  <c r="Z309" i="35"/>
  <c r="Y337" i="35"/>
  <c r="Z361" i="35"/>
  <c r="Z399" i="35"/>
  <c r="Y404" i="35"/>
  <c r="Z435" i="35"/>
  <c r="Y450" i="35"/>
  <c r="Y454" i="35"/>
  <c r="Y458" i="35"/>
  <c r="Y493" i="35"/>
  <c r="Z497" i="35"/>
  <c r="Y506" i="35"/>
  <c r="Y561" i="35"/>
  <c r="Y565" i="35"/>
  <c r="Y637" i="35"/>
  <c r="Y662" i="35"/>
  <c r="Y663" i="35"/>
  <c r="Z677" i="35"/>
  <c r="Y678" i="35"/>
  <c r="Z733" i="35"/>
  <c r="Y764" i="35"/>
  <c r="Y767" i="35"/>
  <c r="Y769" i="35"/>
  <c r="Y770" i="35"/>
  <c r="Y771" i="35"/>
  <c r="Z779" i="35"/>
  <c r="Z810" i="35"/>
  <c r="Y812" i="35"/>
  <c r="Z817" i="35"/>
  <c r="Z818" i="35"/>
  <c r="Z862" i="35"/>
  <c r="Z863" i="35"/>
  <c r="Z869" i="35"/>
  <c r="Z909" i="35"/>
  <c r="Y915" i="35"/>
  <c r="Z916" i="35"/>
  <c r="Z940" i="35"/>
  <c r="Z951" i="35"/>
  <c r="Y952" i="35"/>
  <c r="Y753" i="35"/>
  <c r="Y800" i="35"/>
  <c r="Z369" i="35"/>
  <c r="Y378" i="35"/>
  <c r="Y514" i="35"/>
  <c r="Y524" i="35"/>
  <c r="Y553" i="35"/>
  <c r="Y577" i="35"/>
  <c r="Z585" i="35"/>
  <c r="Z657" i="35"/>
  <c r="Y711" i="35"/>
  <c r="Y714" i="35"/>
  <c r="Z715" i="35"/>
  <c r="Y717" i="35"/>
  <c r="Y669" i="35"/>
  <c r="Y671" i="35"/>
  <c r="Z686" i="35"/>
  <c r="Z688" i="35"/>
  <c r="Y736" i="35"/>
  <c r="Z747" i="35"/>
  <c r="Z784" i="35"/>
  <c r="Z785" i="35"/>
  <c r="Z788" i="35"/>
  <c r="Z792" i="35"/>
  <c r="Y858" i="35"/>
  <c r="Y861" i="35"/>
  <c r="Z871" i="35"/>
  <c r="Z872" i="35"/>
  <c r="Y913" i="35"/>
  <c r="Z914" i="35"/>
  <c r="Z519" i="35"/>
  <c r="Z572" i="35"/>
  <c r="Y581" i="35"/>
  <c r="Y760" i="35"/>
  <c r="Y803" i="35"/>
  <c r="Z804" i="35"/>
  <c r="Y845" i="35"/>
  <c r="Y847" i="35"/>
  <c r="Y854" i="35"/>
  <c r="Y668" i="35"/>
  <c r="Y672" i="35"/>
  <c r="Z689" i="35"/>
  <c r="Z737" i="35"/>
  <c r="Y783" i="35"/>
  <c r="Z24" i="35"/>
  <c r="Y29" i="35"/>
  <c r="Z273" i="35"/>
  <c r="Z325" i="35"/>
  <c r="Z353" i="35"/>
  <c r="Y380" i="35"/>
  <c r="Y482" i="35"/>
  <c r="Y498" i="35"/>
  <c r="Y538" i="35"/>
  <c r="Z562" i="35"/>
  <c r="Y570" i="35"/>
  <c r="Z592" i="35"/>
  <c r="Y595" i="35"/>
  <c r="Z616" i="35"/>
  <c r="Z649" i="35"/>
  <c r="Z652" i="35"/>
  <c r="Z691" i="35"/>
  <c r="Z692" i="35"/>
  <c r="Y693" i="35"/>
  <c r="Z695" i="35"/>
  <c r="Z697" i="35"/>
  <c r="Z749" i="35"/>
  <c r="Z795" i="35"/>
  <c r="Z796" i="35"/>
  <c r="Z798" i="35"/>
  <c r="Z830" i="35"/>
  <c r="Z880" i="35"/>
  <c r="Z881" i="35"/>
  <c r="Z882" i="35"/>
  <c r="Z884" i="35"/>
  <c r="Z885" i="35"/>
  <c r="Z887" i="35"/>
  <c r="Y896" i="35"/>
  <c r="Z897" i="35"/>
  <c r="Y549" i="35"/>
  <c r="Z549" i="35"/>
  <c r="Z212" i="35"/>
  <c r="Y212" i="35"/>
  <c r="Z248" i="35"/>
  <c r="Y248" i="35"/>
  <c r="Z335" i="35"/>
  <c r="Y335" i="35"/>
  <c r="Z370" i="35"/>
  <c r="Y370" i="35"/>
  <c r="Y417" i="35"/>
  <c r="Z417" i="35"/>
  <c r="Z501" i="35"/>
  <c r="Y501" i="35"/>
  <c r="Y635" i="35"/>
  <c r="Z635" i="35"/>
  <c r="Y712" i="35"/>
  <c r="Z712" i="35"/>
  <c r="Y130" i="35"/>
  <c r="Z230" i="35"/>
  <c r="Y230" i="35"/>
  <c r="Y272" i="35"/>
  <c r="Z284" i="35"/>
  <c r="Y284" i="35"/>
  <c r="Y302" i="35"/>
  <c r="Z327" i="35"/>
  <c r="Y358" i="35"/>
  <c r="Z423" i="35"/>
  <c r="Y423" i="35"/>
  <c r="Z471" i="35"/>
  <c r="Y566" i="35"/>
  <c r="Y598" i="35"/>
  <c r="Z598" i="35"/>
  <c r="Z199" i="35"/>
  <c r="Z259" i="35"/>
  <c r="Y259" i="35"/>
  <c r="Y307" i="35"/>
  <c r="Y319" i="35"/>
  <c r="Y349" i="35"/>
  <c r="Z393" i="35"/>
  <c r="Z401" i="35"/>
  <c r="Y445" i="35"/>
  <c r="Z681" i="35"/>
  <c r="Y681" i="35"/>
  <c r="Z865" i="35"/>
  <c r="Y865" i="35"/>
  <c r="Z950" i="35"/>
  <c r="Y950" i="35"/>
  <c r="Y149" i="35"/>
  <c r="Y315" i="35"/>
  <c r="Z315" i="35"/>
  <c r="Z441" i="35"/>
  <c r="Z522" i="35"/>
  <c r="Y522" i="35"/>
  <c r="Z605" i="35"/>
  <c r="Y605" i="35"/>
  <c r="Z801" i="35"/>
  <c r="Y801" i="35"/>
  <c r="Z22" i="35"/>
  <c r="Y22" i="35"/>
  <c r="Y108" i="35"/>
  <c r="Z108" i="35"/>
  <c r="Y125" i="35"/>
  <c r="Y279" i="35"/>
  <c r="Z279" i="35"/>
  <c r="Y351" i="35"/>
  <c r="Y362" i="35"/>
  <c r="Y397" i="35"/>
  <c r="Y431" i="35"/>
  <c r="Z431" i="35"/>
  <c r="Y461" i="35"/>
  <c r="Z461" i="35"/>
  <c r="Y476" i="35"/>
  <c r="Z578" i="35"/>
  <c r="Y578" i="35"/>
  <c r="Z613" i="35"/>
  <c r="Y613" i="35"/>
  <c r="Y943" i="35"/>
  <c r="Z943" i="35"/>
  <c r="Z249" i="35"/>
  <c r="Y314" i="35"/>
  <c r="Y688" i="35"/>
  <c r="Y910" i="35"/>
  <c r="Z911" i="35"/>
  <c r="Y911" i="35"/>
  <c r="Y938" i="35"/>
  <c r="Y765" i="35"/>
  <c r="Z765" i="35"/>
  <c r="Y805" i="35"/>
  <c r="Y831" i="35"/>
  <c r="Y832" i="35"/>
  <c r="Z832" i="35"/>
  <c r="Y834" i="35"/>
  <c r="Z834" i="35"/>
  <c r="Z842" i="35"/>
  <c r="Y842" i="35"/>
  <c r="Y874" i="35"/>
  <c r="Y876" i="35"/>
  <c r="Z876" i="35"/>
  <c r="Z48" i="35"/>
  <c r="Y53" i="35"/>
  <c r="Y58" i="35"/>
  <c r="Z118" i="35"/>
  <c r="Y118" i="35"/>
  <c r="Y205" i="35"/>
  <c r="Y236" i="35"/>
  <c r="Y241" i="35"/>
  <c r="Z330" i="35"/>
  <c r="Y330" i="35"/>
  <c r="Z342" i="35"/>
  <c r="Y342" i="35"/>
  <c r="Z385" i="35"/>
  <c r="Z433" i="35"/>
  <c r="Y495" i="35"/>
  <c r="Y536" i="35"/>
  <c r="Y558" i="35"/>
  <c r="Y576" i="35"/>
  <c r="Z576" i="35"/>
  <c r="Z601" i="35"/>
  <c r="Y601" i="35"/>
  <c r="Z669" i="35"/>
  <c r="Z671" i="35"/>
  <c r="Z746" i="35"/>
  <c r="Z452" i="35"/>
  <c r="Y452" i="35"/>
  <c r="Y481" i="35"/>
  <c r="Z481" i="35"/>
  <c r="Y12" i="35"/>
  <c r="Z12" i="35"/>
  <c r="Y17" i="35"/>
  <c r="Z120" i="35"/>
  <c r="Y194" i="35"/>
  <c r="Y276" i="35"/>
  <c r="Y297" i="35"/>
  <c r="Z297" i="35"/>
  <c r="Y354" i="35"/>
  <c r="Z375" i="35"/>
  <c r="Y375" i="35"/>
  <c r="Z387" i="35"/>
  <c r="Z418" i="35"/>
  <c r="Y418" i="35"/>
  <c r="Z650" i="35"/>
  <c r="Z213" i="35"/>
  <c r="Z223" i="35"/>
  <c r="Y223" i="35"/>
  <c r="Y345" i="35"/>
  <c r="Y405" i="35"/>
  <c r="Z477" i="35"/>
  <c r="Y477" i="35"/>
  <c r="Z526" i="35"/>
  <c r="Y526" i="35"/>
  <c r="Y531" i="35"/>
  <c r="Y535" i="35"/>
  <c r="Y574" i="35"/>
  <c r="Z604" i="35"/>
  <c r="Y609" i="35"/>
  <c r="Z653" i="35"/>
  <c r="Y682" i="35"/>
  <c r="Z682" i="35"/>
  <c r="Z144" i="35"/>
  <c r="Y154" i="35"/>
  <c r="Z218" i="35"/>
  <c r="Y218" i="35"/>
  <c r="Z254" i="35"/>
  <c r="Y254" i="35"/>
  <c r="Z290" i="35"/>
  <c r="Y290" i="35"/>
  <c r="Z303" i="35"/>
  <c r="Z320" i="35"/>
  <c r="Y320" i="35"/>
  <c r="Z356" i="35"/>
  <c r="Y356" i="35"/>
  <c r="Y377" i="35"/>
  <c r="Z377" i="35"/>
  <c r="Z394" i="35"/>
  <c r="Y394" i="35"/>
  <c r="Z512" i="35"/>
  <c r="Y512" i="35"/>
  <c r="Z554" i="35"/>
  <c r="Z564" i="35"/>
  <c r="Z685" i="35"/>
  <c r="Z687" i="35"/>
  <c r="Z113" i="35"/>
  <c r="Y113" i="35"/>
  <c r="Z211" i="35"/>
  <c r="Y211" i="35"/>
  <c r="Y237" i="35"/>
  <c r="Z237" i="35"/>
  <c r="Z247" i="35"/>
  <c r="Y247" i="35"/>
  <c r="Z326" i="35"/>
  <c r="Y326" i="35"/>
  <c r="Z338" i="35"/>
  <c r="Y338" i="35"/>
  <c r="Z459" i="35"/>
  <c r="Y459" i="35"/>
  <c r="Z500" i="35"/>
  <c r="Y500" i="35"/>
  <c r="Y529" i="35"/>
  <c r="Z529" i="35"/>
  <c r="Y620" i="35"/>
  <c r="Z620" i="35"/>
  <c r="Y646" i="35"/>
  <c r="Z646" i="35"/>
  <c r="Z667" i="35"/>
  <c r="Y667" i="35"/>
  <c r="Z672" i="35"/>
  <c r="Z740" i="35"/>
  <c r="Y740" i="35"/>
  <c r="Z745" i="35"/>
  <c r="Y745" i="35"/>
  <c r="Z750" i="35"/>
  <c r="Y750" i="35"/>
  <c r="Z719" i="35"/>
  <c r="Y721" i="35"/>
  <c r="Y722" i="35"/>
  <c r="Z724" i="35"/>
  <c r="Y725" i="35"/>
  <c r="Z753" i="35"/>
  <c r="Z892" i="35"/>
  <c r="Y892" i="35"/>
  <c r="Y901" i="35"/>
  <c r="Z402" i="35"/>
  <c r="Y402" i="35"/>
  <c r="Y537" i="35"/>
  <c r="Z537" i="35"/>
  <c r="Z675" i="35"/>
  <c r="Z679" i="35"/>
  <c r="Y679" i="35"/>
  <c r="Z780" i="35"/>
  <c r="Y780" i="35"/>
  <c r="Z811" i="35"/>
  <c r="Y811" i="35"/>
  <c r="Y888" i="35"/>
  <c r="Z888" i="35"/>
  <c r="Y890" i="35"/>
  <c r="Z890" i="35"/>
  <c r="Z899" i="35"/>
  <c r="Y899" i="35"/>
  <c r="Z925" i="35"/>
  <c r="Y925" i="35"/>
  <c r="Z308" i="35"/>
  <c r="Y308" i="35"/>
  <c r="Z346" i="35"/>
  <c r="Y346" i="35"/>
  <c r="Y473" i="35"/>
  <c r="Z473" i="35"/>
  <c r="Z72" i="35"/>
  <c r="Y77" i="35"/>
  <c r="Y82" i="35"/>
  <c r="Y200" i="35"/>
  <c r="Y204" i="35"/>
  <c r="Z207" i="35"/>
  <c r="Y219" i="35"/>
  <c r="Z219" i="35"/>
  <c r="Z231" i="35"/>
  <c r="Z243" i="35"/>
  <c r="Y255" i="35"/>
  <c r="Z255" i="35"/>
  <c r="Y296" i="35"/>
  <c r="Y301" i="35"/>
  <c r="Y332" i="35"/>
  <c r="Y368" i="35"/>
  <c r="Y382" i="35"/>
  <c r="Y386" i="35"/>
  <c r="Y406" i="35"/>
  <c r="Z410" i="35"/>
  <c r="Y410" i="35"/>
  <c r="Y430" i="35"/>
  <c r="Y434" i="35"/>
  <c r="Y442" i="35"/>
  <c r="Z449" i="35"/>
  <c r="Z465" i="35"/>
  <c r="Y469" i="35"/>
  <c r="Z474" i="35"/>
  <c r="Y474" i="35"/>
  <c r="Y478" i="35"/>
  <c r="Y490" i="35"/>
  <c r="Z505" i="35"/>
  <c r="Y513" i="35"/>
  <c r="Z513" i="35"/>
  <c r="Z517" i="35"/>
  <c r="Z521" i="35"/>
  <c r="Y525" i="35"/>
  <c r="Y559" i="35"/>
  <c r="Z586" i="35"/>
  <c r="Y597" i="35"/>
  <c r="Y615" i="35"/>
  <c r="Y631" i="35"/>
  <c r="Y652" i="35"/>
  <c r="Z654" i="35"/>
  <c r="Z658" i="35"/>
  <c r="Y661" i="35"/>
  <c r="Z662" i="35"/>
  <c r="Z663" i="35"/>
  <c r="Z683" i="35"/>
  <c r="Y694" i="35"/>
  <c r="Y697" i="35"/>
  <c r="Z699" i="35"/>
  <c r="Y699" i="35"/>
  <c r="Z702" i="35"/>
  <c r="Y702" i="35"/>
  <c r="Y733" i="35"/>
  <c r="Y754" i="35"/>
  <c r="Z757" i="35"/>
  <c r="Y758" i="35"/>
  <c r="Y815" i="35"/>
  <c r="Y852" i="35"/>
  <c r="Y425" i="35"/>
  <c r="Z425" i="35"/>
  <c r="Z530" i="35"/>
  <c r="Y530" i="35"/>
  <c r="Z573" i="35"/>
  <c r="Y573" i="35"/>
  <c r="Y643" i="35"/>
  <c r="Z660" i="35"/>
  <c r="Z676" i="35"/>
  <c r="Z678" i="35"/>
  <c r="Z680" i="35"/>
  <c r="Z718" i="35"/>
  <c r="Z759" i="35"/>
  <c r="Y775" i="35"/>
  <c r="Z813" i="35"/>
  <c r="Z836" i="35"/>
  <c r="Y849" i="35"/>
  <c r="Y850" i="35"/>
  <c r="Z895" i="35"/>
  <c r="Z908" i="35"/>
  <c r="Y908" i="35"/>
  <c r="Z913" i="35"/>
  <c r="Y954" i="35"/>
  <c r="Z954" i="35"/>
  <c r="Y705" i="35"/>
  <c r="Z730" i="35"/>
  <c r="Y730" i="35"/>
  <c r="Z735" i="35"/>
  <c r="Y748" i="35"/>
  <c r="Z770" i="35"/>
  <c r="Z783" i="35"/>
  <c r="Y818" i="35"/>
  <c r="Y819" i="35"/>
  <c r="Z819" i="35"/>
  <c r="Z823" i="35"/>
  <c r="Z824" i="35"/>
  <c r="Z826" i="35"/>
  <c r="Y837" i="35"/>
  <c r="Y838" i="35"/>
  <c r="Y859" i="35"/>
  <c r="Z859" i="35"/>
  <c r="Y880" i="35"/>
  <c r="Y882" i="35"/>
  <c r="Z920" i="35"/>
  <c r="Z922" i="35"/>
  <c r="Z939" i="35"/>
  <c r="Y784" i="35"/>
  <c r="Z822" i="35"/>
  <c r="Y904" i="35"/>
  <c r="Y917" i="35"/>
  <c r="Z918" i="35"/>
  <c r="Y918" i="35"/>
  <c r="Y927" i="35"/>
  <c r="Z927" i="35"/>
  <c r="Y935" i="35"/>
  <c r="Y936" i="35"/>
  <c r="Z651" i="35"/>
  <c r="Z656" i="35"/>
  <c r="Z666" i="35"/>
  <c r="Z668" i="35"/>
  <c r="Z693" i="35"/>
  <c r="Z698" i="35"/>
  <c r="Y707" i="35"/>
  <c r="Y708" i="35"/>
  <c r="Z727" i="35"/>
  <c r="Z736" i="35"/>
  <c r="Z752" i="35"/>
  <c r="Z778" i="35"/>
  <c r="Y786" i="35"/>
  <c r="Y790" i="35"/>
  <c r="Y793" i="35"/>
  <c r="Y794" i="35"/>
  <c r="Y807" i="35"/>
  <c r="Z816" i="35"/>
  <c r="Z828" i="35"/>
  <c r="Z829" i="35"/>
  <c r="Y840" i="35"/>
  <c r="Z845" i="35"/>
  <c r="Z856" i="35"/>
  <c r="Y867" i="35"/>
  <c r="Y868" i="35"/>
  <c r="Y870" i="35"/>
  <c r="Z875" i="35"/>
  <c r="Y885" i="35"/>
  <c r="Z896" i="35"/>
  <c r="Y905" i="35"/>
  <c r="Z907" i="35"/>
  <c r="Z915" i="35"/>
  <c r="Z947" i="35"/>
  <c r="Z949" i="35"/>
  <c r="Z701" i="35"/>
  <c r="Z711" i="35"/>
  <c r="Z713" i="35"/>
  <c r="Z717" i="35"/>
  <c r="Y728" i="35"/>
  <c r="Z731" i="35"/>
  <c r="Z732" i="35"/>
  <c r="Y737" i="35"/>
  <c r="Z741" i="35"/>
  <c r="Z751" i="35"/>
  <c r="Z764" i="35"/>
  <c r="Z769" i="35"/>
  <c r="Z782" i="35"/>
  <c r="Y796" i="35"/>
  <c r="Z803" i="35"/>
  <c r="Y808" i="35"/>
  <c r="Z812" i="35"/>
  <c r="Y817" i="35"/>
  <c r="Z821" i="35"/>
  <c r="Z831" i="35"/>
  <c r="Y843" i="35"/>
  <c r="Z847" i="35"/>
  <c r="Y855" i="35"/>
  <c r="Z860" i="35"/>
  <c r="Z874" i="35"/>
  <c r="Z878" i="35"/>
  <c r="Z889" i="35"/>
  <c r="Z898" i="35"/>
  <c r="Z900" i="35"/>
  <c r="Z917" i="35"/>
  <c r="Z919" i="35"/>
  <c r="Z928" i="35"/>
  <c r="Z929" i="35"/>
  <c r="Z932" i="35"/>
  <c r="Y948" i="35"/>
  <c r="Z952" i="35"/>
  <c r="Z111" i="35"/>
  <c r="Y111" i="35"/>
  <c r="Z147" i="35"/>
  <c r="Y147" i="35"/>
  <c r="Y864" i="35"/>
  <c r="Z864" i="35"/>
  <c r="Y63" i="35"/>
  <c r="Y87" i="35"/>
  <c r="Z729" i="35"/>
  <c r="Y729" i="35"/>
  <c r="Y68" i="35"/>
  <c r="Y104" i="35"/>
  <c r="Z135" i="35"/>
  <c r="Y135" i="35"/>
  <c r="Z140" i="35"/>
  <c r="Y140" i="35"/>
  <c r="Z178" i="35"/>
  <c r="Y178" i="35"/>
  <c r="Z184" i="35"/>
  <c r="Y184" i="35"/>
  <c r="Z190" i="35"/>
  <c r="Y190" i="35"/>
  <c r="Z355" i="35"/>
  <c r="Y355" i="35"/>
  <c r="Z415" i="35"/>
  <c r="Y415" i="35"/>
  <c r="Y485" i="35"/>
  <c r="Z485" i="35"/>
  <c r="Y541" i="35"/>
  <c r="Z541" i="35"/>
  <c r="Z633" i="35"/>
  <c r="Y633" i="35"/>
  <c r="Z670" i="35"/>
  <c r="Y670" i="35"/>
  <c r="Y15" i="35"/>
  <c r="Y99" i="35"/>
  <c r="Z364" i="35"/>
  <c r="Y364" i="35"/>
  <c r="Z499" i="35"/>
  <c r="Y499" i="35"/>
  <c r="Y44" i="35"/>
  <c r="Y56" i="35"/>
  <c r="Y92" i="35"/>
  <c r="Z395" i="35"/>
  <c r="Y395" i="35"/>
  <c r="Z408" i="35"/>
  <c r="Y408" i="35"/>
  <c r="Z472" i="35"/>
  <c r="Y472" i="35"/>
  <c r="Y625" i="35"/>
  <c r="Z625" i="35"/>
  <c r="Z116" i="35"/>
  <c r="Y116" i="35"/>
  <c r="Z372" i="35"/>
  <c r="Y372" i="35"/>
  <c r="Z738" i="35"/>
  <c r="Y738" i="35"/>
  <c r="Y841" i="35"/>
  <c r="Z841" i="35"/>
  <c r="Y8" i="35"/>
  <c r="Z172" i="35"/>
  <c r="Y172" i="35"/>
  <c r="Z13" i="35"/>
  <c r="Y13" i="35"/>
  <c r="Z25" i="35"/>
  <c r="Y25" i="35"/>
  <c r="Z37" i="35"/>
  <c r="Y37" i="35"/>
  <c r="Z49" i="35"/>
  <c r="Y49" i="35"/>
  <c r="Z61" i="35"/>
  <c r="Y61" i="35"/>
  <c r="Z73" i="35"/>
  <c r="Y73" i="35"/>
  <c r="Z85" i="35"/>
  <c r="Y85" i="35"/>
  <c r="Z97" i="35"/>
  <c r="Y97" i="35"/>
  <c r="Z114" i="35"/>
  <c r="Y114" i="35"/>
  <c r="Z123" i="35"/>
  <c r="Y123" i="35"/>
  <c r="Y128" i="35"/>
  <c r="Z128" i="35"/>
  <c r="Z159" i="35"/>
  <c r="Y159" i="35"/>
  <c r="Y164" i="35"/>
  <c r="Z164" i="35"/>
  <c r="Z392" i="35"/>
  <c r="Y392" i="35"/>
  <c r="Y612" i="35"/>
  <c r="Z612" i="35"/>
  <c r="Y152" i="35"/>
  <c r="Z152" i="35"/>
  <c r="Z508" i="35"/>
  <c r="Y508" i="35"/>
  <c r="Z551" i="35"/>
  <c r="Y551" i="35"/>
  <c r="Y27" i="35"/>
  <c r="Y39" i="35"/>
  <c r="Y51" i="35"/>
  <c r="Y75" i="35"/>
  <c r="Y546" i="35"/>
  <c r="Z546" i="35"/>
  <c r="Z809" i="35"/>
  <c r="Y809" i="35"/>
  <c r="Y20" i="35"/>
  <c r="Y32" i="35"/>
  <c r="Y80" i="35"/>
  <c r="Z6" i="35"/>
  <c r="Y6" i="35"/>
  <c r="Y18" i="35"/>
  <c r="Z18" i="35"/>
  <c r="Z30" i="35"/>
  <c r="Y30" i="35"/>
  <c r="Y42" i="35"/>
  <c r="Z42" i="35"/>
  <c r="Y54" i="35"/>
  <c r="Z54" i="35"/>
  <c r="Y66" i="35"/>
  <c r="Z66" i="35"/>
  <c r="Z78" i="35"/>
  <c r="Y78" i="35"/>
  <c r="Z90" i="35"/>
  <c r="Y90" i="35"/>
  <c r="Z102" i="35"/>
  <c r="Y102" i="35"/>
  <c r="Z169" i="35"/>
  <c r="Y169" i="35"/>
  <c r="Z175" i="35"/>
  <c r="Y175" i="35"/>
  <c r="Z181" i="35"/>
  <c r="Y181" i="35"/>
  <c r="Z187" i="35"/>
  <c r="Y187" i="35"/>
  <c r="Y455" i="35"/>
  <c r="Z455" i="35"/>
  <c r="Z516" i="35"/>
  <c r="Y516" i="35"/>
  <c r="Z575" i="35"/>
  <c r="Y575" i="35"/>
  <c r="Y587" i="35"/>
  <c r="Z587" i="35"/>
  <c r="Z208" i="35"/>
  <c r="Y208" i="35"/>
  <c r="Z226" i="35"/>
  <c r="Y226" i="35"/>
  <c r="Z238" i="35"/>
  <c r="Y238" i="35"/>
  <c r="Z262" i="35"/>
  <c r="Y262" i="35"/>
  <c r="Z280" i="35"/>
  <c r="Y280" i="35"/>
  <c r="Z298" i="35"/>
  <c r="Y298" i="35"/>
  <c r="Z316" i="35"/>
  <c r="Y316" i="35"/>
  <c r="Z496" i="35"/>
  <c r="Y496" i="35"/>
  <c r="Y547" i="35"/>
  <c r="Z547" i="35"/>
  <c r="Y629" i="35"/>
  <c r="Z629" i="35"/>
  <c r="Y109" i="35"/>
  <c r="Y121" i="35"/>
  <c r="Y126" i="35"/>
  <c r="Y133" i="35"/>
  <c r="Y138" i="35"/>
  <c r="Y145" i="35"/>
  <c r="Y150" i="35"/>
  <c r="Y157" i="35"/>
  <c r="Y162" i="35"/>
  <c r="Z340" i="35"/>
  <c r="Y340" i="35"/>
  <c r="Z365" i="35"/>
  <c r="Z376" i="35"/>
  <c r="Y376" i="35"/>
  <c r="Z403" i="35"/>
  <c r="Y403" i="35"/>
  <c r="Z412" i="35"/>
  <c r="Y412" i="35"/>
  <c r="Y416" i="35"/>
  <c r="Z420" i="35"/>
  <c r="Y420" i="35"/>
  <c r="Z443" i="35"/>
  <c r="Y443" i="35"/>
  <c r="Z456" i="35"/>
  <c r="Y456" i="35"/>
  <c r="Z463" i="35"/>
  <c r="Y463" i="35"/>
  <c r="Z479" i="35"/>
  <c r="Z509" i="35"/>
  <c r="Z520" i="35"/>
  <c r="Y520" i="35"/>
  <c r="Z542" i="35"/>
  <c r="Z256" i="35"/>
  <c r="Y256" i="35"/>
  <c r="Z396" i="35"/>
  <c r="Y396" i="35"/>
  <c r="Y797" i="35"/>
  <c r="Z797" i="35"/>
  <c r="Y16" i="35"/>
  <c r="Y23" i="35"/>
  <c r="Y28" i="35"/>
  <c r="Y40" i="35"/>
  <c r="Y47" i="35"/>
  <c r="Y52" i="35"/>
  <c r="Y59" i="35"/>
  <c r="Y64" i="35"/>
  <c r="Y71" i="35"/>
  <c r="Y76" i="35"/>
  <c r="Y83" i="35"/>
  <c r="Y88" i="35"/>
  <c r="Y95" i="35"/>
  <c r="Y100" i="35"/>
  <c r="Y107" i="35"/>
  <c r="Y112" i="35"/>
  <c r="Y119" i="35"/>
  <c r="Y124" i="35"/>
  <c r="Y131" i="35"/>
  <c r="Y136" i="35"/>
  <c r="Y143" i="35"/>
  <c r="Y148" i="35"/>
  <c r="Y155" i="35"/>
  <c r="Y160" i="35"/>
  <c r="Y167" i="35"/>
  <c r="Y170" i="35"/>
  <c r="Y173" i="35"/>
  <c r="Y176" i="35"/>
  <c r="Y179" i="35"/>
  <c r="Y182" i="35"/>
  <c r="Y185" i="35"/>
  <c r="Y188" i="35"/>
  <c r="Y191" i="35"/>
  <c r="Y197" i="35"/>
  <c r="Y203" i="35"/>
  <c r="Y209" i="35"/>
  <c r="Y215" i="35"/>
  <c r="Y221" i="35"/>
  <c r="Y227" i="35"/>
  <c r="Y233" i="35"/>
  <c r="Y239" i="35"/>
  <c r="Y245" i="35"/>
  <c r="Y251" i="35"/>
  <c r="Y257" i="35"/>
  <c r="Y263" i="35"/>
  <c r="Y269" i="35"/>
  <c r="Y275" i="35"/>
  <c r="Y281" i="35"/>
  <c r="Y287" i="35"/>
  <c r="Y293" i="35"/>
  <c r="Y299" i="35"/>
  <c r="Y305" i="35"/>
  <c r="Y311" i="35"/>
  <c r="Y317" i="35"/>
  <c r="Y323" i="35"/>
  <c r="Y329" i="35"/>
  <c r="Y344" i="35"/>
  <c r="Z347" i="35"/>
  <c r="Y347" i="35"/>
  <c r="Z359" i="35"/>
  <c r="Z389" i="35"/>
  <c r="Z400" i="35"/>
  <c r="Y400" i="35"/>
  <c r="Z427" i="35"/>
  <c r="Y427" i="35"/>
  <c r="Z436" i="35"/>
  <c r="Y436" i="35"/>
  <c r="Y440" i="35"/>
  <c r="Z444" i="35"/>
  <c r="Y444" i="35"/>
  <c r="Z467" i="35"/>
  <c r="Y467" i="35"/>
  <c r="Z480" i="35"/>
  <c r="Y480" i="35"/>
  <c r="Z487" i="35"/>
  <c r="Y487" i="35"/>
  <c r="Z503" i="35"/>
  <c r="Z533" i="35"/>
  <c r="Z539" i="35"/>
  <c r="Z563" i="35"/>
  <c r="Y563" i="35"/>
  <c r="Y571" i="35"/>
  <c r="Y599" i="35"/>
  <c r="Z599" i="35"/>
  <c r="Y603" i="35"/>
  <c r="Z664" i="35"/>
  <c r="Y664" i="35"/>
  <c r="Y700" i="35"/>
  <c r="Z700" i="35"/>
  <c r="Z196" i="35"/>
  <c r="Y196" i="35"/>
  <c r="Z214" i="35"/>
  <c r="Y214" i="35"/>
  <c r="Z232" i="35"/>
  <c r="Y232" i="35"/>
  <c r="Z250" i="35"/>
  <c r="Y250" i="35"/>
  <c r="Z274" i="35"/>
  <c r="Y274" i="35"/>
  <c r="Z292" i="35"/>
  <c r="Y292" i="35"/>
  <c r="Z310" i="35"/>
  <c r="Y310" i="35"/>
  <c r="Z328" i="35"/>
  <c r="Y328" i="35"/>
  <c r="Z343" i="35"/>
  <c r="Y343" i="35"/>
  <c r="Z352" i="35"/>
  <c r="Y352" i="35"/>
  <c r="Z379" i="35"/>
  <c r="Y379" i="35"/>
  <c r="Z388" i="35"/>
  <c r="Y388" i="35"/>
  <c r="Z432" i="35"/>
  <c r="Y432" i="35"/>
  <c r="Z523" i="35"/>
  <c r="Y523" i="35"/>
  <c r="Z532" i="35"/>
  <c r="Y532" i="35"/>
  <c r="Z557" i="35"/>
  <c r="Y557" i="35"/>
  <c r="Y11" i="35"/>
  <c r="Y35" i="35"/>
  <c r="Y9" i="35"/>
  <c r="Y14" i="35"/>
  <c r="Y21" i="35"/>
  <c r="Y26" i="35"/>
  <c r="Y33" i="35"/>
  <c r="Y38" i="35"/>
  <c r="Y45" i="35"/>
  <c r="Y50" i="35"/>
  <c r="Y57" i="35"/>
  <c r="Y62" i="35"/>
  <c r="Y69" i="35"/>
  <c r="Y74" i="35"/>
  <c r="Y81" i="35"/>
  <c r="Y86" i="35"/>
  <c r="Y93" i="35"/>
  <c r="Y98" i="35"/>
  <c r="Y105" i="35"/>
  <c r="Y110" i="35"/>
  <c r="Y117" i="35"/>
  <c r="Y122" i="35"/>
  <c r="Y129" i="35"/>
  <c r="Y134" i="35"/>
  <c r="Y141" i="35"/>
  <c r="Y146" i="35"/>
  <c r="Y153" i="35"/>
  <c r="Y158" i="35"/>
  <c r="Y165" i="35"/>
  <c r="Z341" i="35"/>
  <c r="Z348" i="35"/>
  <c r="Y348" i="35"/>
  <c r="Z360" i="35"/>
  <c r="Y360" i="35"/>
  <c r="Z367" i="35"/>
  <c r="Y367" i="35"/>
  <c r="Z383" i="35"/>
  <c r="Z413" i="35"/>
  <c r="Z424" i="35"/>
  <c r="Y424" i="35"/>
  <c r="Z451" i="35"/>
  <c r="Y451" i="35"/>
  <c r="Z460" i="35"/>
  <c r="Y460" i="35"/>
  <c r="Y464" i="35"/>
  <c r="Z468" i="35"/>
  <c r="Y468" i="35"/>
  <c r="Z491" i="35"/>
  <c r="Y491" i="35"/>
  <c r="Z504" i="35"/>
  <c r="Y504" i="35"/>
  <c r="Z511" i="35"/>
  <c r="Y511" i="35"/>
  <c r="Z527" i="35"/>
  <c r="Y544" i="35"/>
  <c r="Z544" i="35"/>
  <c r="Z548" i="35"/>
  <c r="Y550" i="35"/>
  <c r="Z550" i="35"/>
  <c r="Z569" i="35"/>
  <c r="Y569" i="35"/>
  <c r="Z583" i="35"/>
  <c r="Y583" i="35"/>
  <c r="Y590" i="35"/>
  <c r="Z590" i="35"/>
  <c r="Y600" i="35"/>
  <c r="Z600" i="35"/>
  <c r="Y614" i="35"/>
  <c r="Z614" i="35"/>
  <c r="Z202" i="35"/>
  <c r="Y202" i="35"/>
  <c r="Z220" i="35"/>
  <c r="Y220" i="35"/>
  <c r="Z244" i="35"/>
  <c r="Y244" i="35"/>
  <c r="Z268" i="35"/>
  <c r="Y268" i="35"/>
  <c r="Z286" i="35"/>
  <c r="Y286" i="35"/>
  <c r="Z304" i="35"/>
  <c r="Y304" i="35"/>
  <c r="Z322" i="35"/>
  <c r="Y322" i="35"/>
  <c r="Z334" i="35"/>
  <c r="Y334" i="35"/>
  <c r="Z419" i="35"/>
  <c r="Y419" i="35"/>
  <c r="Z439" i="35"/>
  <c r="Y439" i="35"/>
  <c r="Z820" i="35"/>
  <c r="Y820" i="35"/>
  <c r="Z833" i="35"/>
  <c r="Y833" i="35"/>
  <c r="Z857" i="35"/>
  <c r="Y857" i="35"/>
  <c r="M956" i="35"/>
  <c r="Z5" i="35"/>
  <c r="Y7" i="35"/>
  <c r="Y19" i="35"/>
  <c r="Y31" i="35"/>
  <c r="Y43" i="35"/>
  <c r="Y55" i="35"/>
  <c r="Y67" i="35"/>
  <c r="Y79" i="35"/>
  <c r="Y91" i="35"/>
  <c r="Y103" i="35"/>
  <c r="Y115" i="35"/>
  <c r="Y127" i="35"/>
  <c r="Y139" i="35"/>
  <c r="Y151" i="35"/>
  <c r="Y163" i="35"/>
  <c r="Y168" i="35"/>
  <c r="Y171" i="35"/>
  <c r="Y174" i="35"/>
  <c r="Y177" i="35"/>
  <c r="Y180" i="35"/>
  <c r="Y183" i="35"/>
  <c r="Y186" i="35"/>
  <c r="Y189" i="35"/>
  <c r="Y192" i="35"/>
  <c r="Y198" i="35"/>
  <c r="Y210" i="35"/>
  <c r="Y216" i="35"/>
  <c r="Y222" i="35"/>
  <c r="Y228" i="35"/>
  <c r="Y234" i="35"/>
  <c r="Y240" i="35"/>
  <c r="Y246" i="35"/>
  <c r="Y252" i="35"/>
  <c r="Y258" i="35"/>
  <c r="Y270" i="35"/>
  <c r="Y282" i="35"/>
  <c r="Y288" i="35"/>
  <c r="Y294" i="35"/>
  <c r="Y300" i="35"/>
  <c r="Y306" i="35"/>
  <c r="Y312" i="35"/>
  <c r="Y318" i="35"/>
  <c r="Y324" i="35"/>
  <c r="Y336" i="35"/>
  <c r="Z371" i="35"/>
  <c r="Y371" i="35"/>
  <c r="Z384" i="35"/>
  <c r="Y384" i="35"/>
  <c r="Z391" i="35"/>
  <c r="Y391" i="35"/>
  <c r="Z437" i="35"/>
  <c r="Z448" i="35"/>
  <c r="Y448" i="35"/>
  <c r="Z475" i="35"/>
  <c r="Y475" i="35"/>
  <c r="Z484" i="35"/>
  <c r="Y484" i="35"/>
  <c r="Z492" i="35"/>
  <c r="Y492" i="35"/>
  <c r="Z515" i="35"/>
  <c r="Y515" i="35"/>
  <c r="Z528" i="35"/>
  <c r="Y528" i="35"/>
  <c r="Z545" i="35"/>
  <c r="Y545" i="35"/>
  <c r="Z591" i="35"/>
  <c r="Y591" i="35"/>
  <c r="Y608" i="35"/>
  <c r="Z608" i="35"/>
  <c r="Y641" i="35"/>
  <c r="Z641" i="35"/>
  <c r="Y647" i="35"/>
  <c r="Z647" i="35"/>
  <c r="Z534" i="35"/>
  <c r="Y534" i="35"/>
  <c r="Z540" i="35"/>
  <c r="Y540" i="35"/>
  <c r="Z634" i="35"/>
  <c r="Y634" i="35"/>
  <c r="Z642" i="35"/>
  <c r="Y642" i="35"/>
  <c r="Z706" i="35"/>
  <c r="Y706" i="35"/>
  <c r="Y719" i="35"/>
  <c r="Z754" i="35"/>
  <c r="Y366" i="35"/>
  <c r="Y374" i="35"/>
  <c r="Y390" i="35"/>
  <c r="Y398" i="35"/>
  <c r="Y414" i="35"/>
  <c r="Y422" i="35"/>
  <c r="Y438" i="35"/>
  <c r="Y446" i="35"/>
  <c r="Y462" i="35"/>
  <c r="Y470" i="35"/>
  <c r="Y486" i="35"/>
  <c r="Y494" i="35"/>
  <c r="Y510" i="35"/>
  <c r="Y518" i="35"/>
  <c r="K956" i="35"/>
  <c r="Y543" i="35"/>
  <c r="Y555" i="35"/>
  <c r="Y567" i="35"/>
  <c r="Y579" i="35"/>
  <c r="Z588" i="35"/>
  <c r="Y607" i="35"/>
  <c r="Z655" i="35"/>
  <c r="Y655" i="35"/>
  <c r="Y673" i="35"/>
  <c r="Y685" i="35"/>
  <c r="Z694" i="35"/>
  <c r="Z720" i="35"/>
  <c r="Y720" i="35"/>
  <c r="Y768" i="35"/>
  <c r="Z768" i="35"/>
  <c r="Z772" i="35"/>
  <c r="Y772" i="35"/>
  <c r="Y781" i="35"/>
  <c r="Z781" i="35"/>
  <c r="Y623" i="35"/>
  <c r="Z623" i="35"/>
  <c r="Z726" i="35"/>
  <c r="Y726" i="35"/>
  <c r="Z761" i="35"/>
  <c r="Y761" i="35"/>
  <c r="Z776" i="35"/>
  <c r="Y776" i="35"/>
  <c r="Y602" i="35"/>
  <c r="Z602" i="35"/>
  <c r="Y611" i="35"/>
  <c r="Z611" i="35"/>
  <c r="Z636" i="35"/>
  <c r="Y636" i="35"/>
  <c r="Y639" i="35"/>
  <c r="Y656" i="35"/>
  <c r="Y695" i="35"/>
  <c r="Y696" i="35"/>
  <c r="Z696" i="35"/>
  <c r="Y709" i="35"/>
  <c r="Y594" i="35"/>
  <c r="Z594" i="35"/>
  <c r="Y618" i="35"/>
  <c r="Z618" i="35"/>
  <c r="Z630" i="35"/>
  <c r="Y630" i="35"/>
  <c r="X956" i="35"/>
  <c r="Z643" i="35"/>
  <c r="Z645" i="35"/>
  <c r="Y645" i="35"/>
  <c r="Y660" i="35"/>
  <c r="Y676" i="35"/>
  <c r="Y687" i="35"/>
  <c r="Y691" i="35"/>
  <c r="Y704" i="35"/>
  <c r="Y715" i="35"/>
  <c r="Z722" i="35"/>
  <c r="Z723" i="35"/>
  <c r="Y723" i="35"/>
  <c r="Y749" i="35"/>
  <c r="Y774" i="35"/>
  <c r="Z774" i="35"/>
  <c r="Z786" i="35"/>
  <c r="Z787" i="35"/>
  <c r="Y787" i="35"/>
  <c r="Z835" i="35"/>
  <c r="Y835" i="35"/>
  <c r="Y856" i="35"/>
  <c r="Y871" i="35"/>
  <c r="Y873" i="35"/>
  <c r="Z873" i="35"/>
  <c r="Y886" i="35"/>
  <c r="Z886" i="35"/>
  <c r="Z946" i="35"/>
  <c r="Y946" i="35"/>
  <c r="Z955" i="35"/>
  <c r="Y955" i="35"/>
  <c r="Z624" i="35"/>
  <c r="Y624" i="35"/>
  <c r="Z640" i="35"/>
  <c r="Y640" i="35"/>
  <c r="Y659" i="35"/>
  <c r="Y686" i="35"/>
  <c r="Y713" i="35"/>
  <c r="Z716" i="35"/>
  <c r="Y716" i="35"/>
  <c r="Y739" i="35"/>
  <c r="Z739" i="35"/>
  <c r="Z743" i="35"/>
  <c r="Z744" i="35"/>
  <c r="Y744" i="35"/>
  <c r="Z790" i="35"/>
  <c r="Z791" i="35"/>
  <c r="Y791" i="35"/>
  <c r="Y846" i="35"/>
  <c r="Z846" i="35"/>
  <c r="Z851" i="35"/>
  <c r="Y851" i="35"/>
  <c r="Z921" i="35"/>
  <c r="Y921" i="35"/>
  <c r="Z734" i="35"/>
  <c r="Y734" i="35"/>
  <c r="Z766" i="35"/>
  <c r="Y766" i="35"/>
  <c r="Z839" i="35"/>
  <c r="Y839" i="35"/>
  <c r="Y877" i="35"/>
  <c r="Z877" i="35"/>
  <c r="Y931" i="35"/>
  <c r="Z931" i="35"/>
  <c r="Y582" i="35"/>
  <c r="Z582" i="35"/>
  <c r="Y606" i="35"/>
  <c r="Z606" i="35"/>
  <c r="Z628" i="35"/>
  <c r="Y628" i="35"/>
  <c r="Z648" i="35"/>
  <c r="Y654" i="35"/>
  <c r="Y677" i="35"/>
  <c r="Z755" i="35"/>
  <c r="Y755" i="35"/>
  <c r="Y814" i="35"/>
  <c r="Z814" i="35"/>
  <c r="Y825" i="35"/>
  <c r="Z825" i="35"/>
  <c r="Z883" i="35"/>
  <c r="Y883" i="35"/>
  <c r="Y937" i="35"/>
  <c r="Z937" i="35"/>
  <c r="Y763" i="35"/>
  <c r="Z802" i="35"/>
  <c r="Y802" i="35"/>
  <c r="Z827" i="35"/>
  <c r="Y827" i="35"/>
  <c r="Z848" i="35"/>
  <c r="Y848" i="35"/>
  <c r="Y862" i="35"/>
  <c r="Z912" i="35"/>
  <c r="Y912" i="35"/>
  <c r="Y778" i="35"/>
  <c r="Y789" i="35"/>
  <c r="Z789" i="35"/>
  <c r="Z799" i="35"/>
  <c r="Y799" i="35"/>
  <c r="Z844" i="35"/>
  <c r="Y844" i="35"/>
  <c r="Z866" i="35"/>
  <c r="Y866" i="35"/>
  <c r="Y924" i="35"/>
  <c r="Z944" i="35"/>
  <c r="Y944" i="35"/>
  <c r="Y953" i="35"/>
  <c r="Z953" i="35"/>
  <c r="Z626" i="35"/>
  <c r="Y626" i="35"/>
  <c r="Z632" i="35"/>
  <c r="Y632" i="35"/>
  <c r="Z638" i="35"/>
  <c r="Y638" i="35"/>
  <c r="Y665" i="35"/>
  <c r="Y674" i="35"/>
  <c r="Y683" i="35"/>
  <c r="Y692" i="35"/>
  <c r="Y701" i="35"/>
  <c r="Y710" i="35"/>
  <c r="Z721" i="35"/>
  <c r="Y741" i="35"/>
  <c r="Y747" i="35"/>
  <c r="Y752" i="35"/>
  <c r="Y757" i="35"/>
  <c r="Z767" i="35"/>
  <c r="Z773" i="35"/>
  <c r="Y773" i="35"/>
  <c r="Z793" i="35"/>
  <c r="Y823" i="35"/>
  <c r="Y830" i="35"/>
  <c r="Z837" i="35"/>
  <c r="Z853" i="35"/>
  <c r="Y853" i="35"/>
  <c r="Y860" i="35"/>
  <c r="Z868" i="35"/>
  <c r="Z893" i="35"/>
  <c r="Y893" i="35"/>
  <c r="Y928" i="35"/>
  <c r="Z941" i="35"/>
  <c r="Y941" i="35"/>
  <c r="Y731" i="35"/>
  <c r="Y756" i="35"/>
  <c r="Z756" i="35"/>
  <c r="Y869" i="35"/>
  <c r="Y798" i="35"/>
  <c r="Y875" i="35"/>
  <c r="Y884" i="35"/>
  <c r="Z894" i="35"/>
  <c r="Y894" i="35"/>
  <c r="Y897" i="35"/>
  <c r="Y903" i="35"/>
  <c r="Y907" i="35"/>
  <c r="Y916" i="35"/>
  <c r="Z926" i="35"/>
  <c r="Y926" i="35"/>
  <c r="Y929" i="35"/>
  <c r="Z933" i="35"/>
  <c r="Y933" i="35"/>
  <c r="Y940" i="35"/>
  <c r="Y949" i="35"/>
  <c r="Y724" i="35"/>
  <c r="Y742" i="35"/>
  <c r="Y762" i="35"/>
  <c r="Y795" i="35"/>
  <c r="Y806" i="35"/>
  <c r="Y810" i="35"/>
  <c r="Y824" i="35"/>
  <c r="Y828" i="35"/>
  <c r="Z840" i="35"/>
  <c r="Z849" i="35"/>
  <c r="Z858" i="35"/>
  <c r="Z867" i="35"/>
  <c r="Y923" i="35"/>
  <c r="Z930" i="35"/>
  <c r="Y939" i="35"/>
  <c r="Y951" i="35"/>
  <c r="Z714" i="35"/>
  <c r="Y759" i="35"/>
  <c r="Y777" i="35"/>
  <c r="Y792" i="35"/>
  <c r="Z800" i="35"/>
  <c r="Y872" i="35"/>
  <c r="Y881" i="35"/>
  <c r="Z891" i="35"/>
  <c r="Y891" i="35"/>
  <c r="Y204" i="36" l="1"/>
  <c r="Y956" i="35"/>
  <c r="J11" i="34" l="1"/>
  <c r="I11" i="34"/>
  <c r="X11" i="34"/>
  <c r="L11" i="34"/>
  <c r="K11" i="34"/>
  <c r="E11" i="34"/>
  <c r="M10" i="34"/>
  <c r="Y10" i="34" s="1"/>
  <c r="M9" i="34"/>
  <c r="Z9" i="34" s="1"/>
  <c r="M8" i="34"/>
  <c r="Y8" i="34" s="1"/>
  <c r="M7" i="34"/>
  <c r="Z7" i="34" s="1"/>
  <c r="M6" i="34"/>
  <c r="Y6" i="34" s="1"/>
  <c r="M5" i="34"/>
  <c r="Z5" i="34" s="1"/>
  <c r="K2" i="34"/>
  <c r="I2" i="34"/>
  <c r="I3" i="34" s="1"/>
  <c r="M11" i="34" l="1"/>
  <c r="Z6" i="34"/>
  <c r="Z10" i="34"/>
  <c r="Z8" i="34"/>
  <c r="Y5" i="34"/>
  <c r="Y7" i="34"/>
  <c r="Y9" i="34"/>
  <c r="Y11" i="34" l="1"/>
  <c r="L772" i="33" l="1"/>
  <c r="K772" i="33"/>
  <c r="J772" i="33"/>
  <c r="M765" i="33"/>
  <c r="M764" i="33"/>
  <c r="M763" i="33"/>
  <c r="M762" i="33"/>
  <c r="M761" i="33"/>
  <c r="M760" i="33"/>
  <c r="M759" i="33"/>
  <c r="Y759" i="33" s="1"/>
  <c r="M758" i="33"/>
  <c r="M757" i="33"/>
  <c r="Y757" i="33" s="1"/>
  <c r="M756" i="33"/>
  <c r="M755" i="33"/>
  <c r="M754" i="33"/>
  <c r="M753" i="33"/>
  <c r="M752" i="33"/>
  <c r="M751" i="33"/>
  <c r="M750" i="33"/>
  <c r="M749" i="33"/>
  <c r="M748" i="33"/>
  <c r="M747" i="33"/>
  <c r="M746" i="33"/>
  <c r="Y746" i="33" s="1"/>
  <c r="M745" i="33"/>
  <c r="M744" i="33"/>
  <c r="M743" i="33"/>
  <c r="M742" i="33"/>
  <c r="Y742" i="33" s="1"/>
  <c r="M741" i="33"/>
  <c r="Y741" i="33" s="1"/>
  <c r="M740" i="33"/>
  <c r="Y740" i="33" s="1"/>
  <c r="M739" i="33"/>
  <c r="M738" i="33"/>
  <c r="Y738" i="33" s="1"/>
  <c r="M737" i="33"/>
  <c r="Y737" i="33" s="1"/>
  <c r="M736" i="33"/>
  <c r="Y736" i="33" s="1"/>
  <c r="M735" i="33"/>
  <c r="Y735" i="33" s="1"/>
  <c r="M734" i="33"/>
  <c r="Y734" i="33" s="1"/>
  <c r="M733" i="33"/>
  <c r="Y733" i="33" s="1"/>
  <c r="M732" i="33"/>
  <c r="Y732" i="33" s="1"/>
  <c r="M731" i="33"/>
  <c r="Y731" i="33" s="1"/>
  <c r="M730" i="33"/>
  <c r="Y730" i="33" s="1"/>
  <c r="M729" i="33"/>
  <c r="Y729" i="33" s="1"/>
  <c r="M728" i="33"/>
  <c r="Y728" i="33" s="1"/>
  <c r="M727" i="33"/>
  <c r="Y727" i="33" s="1"/>
  <c r="M726" i="33"/>
  <c r="Y726" i="33" s="1"/>
  <c r="M725" i="33"/>
  <c r="Y725" i="33" s="1"/>
  <c r="M724" i="33"/>
  <c r="Y724" i="33" s="1"/>
  <c r="M723" i="33"/>
  <c r="Y723" i="33" s="1"/>
  <c r="M722" i="33"/>
  <c r="Y722" i="33" s="1"/>
  <c r="M721" i="33"/>
  <c r="Y721" i="33" s="1"/>
  <c r="M720" i="33"/>
  <c r="Y720" i="33" s="1"/>
  <c r="M719" i="33"/>
  <c r="Y719" i="33" s="1"/>
  <c r="M718" i="33"/>
  <c r="Y718" i="33" s="1"/>
  <c r="M717" i="33"/>
  <c r="Y717" i="33" s="1"/>
  <c r="M716" i="33"/>
  <c r="Y716" i="33" s="1"/>
  <c r="M715" i="33"/>
  <c r="Y715" i="33" s="1"/>
  <c r="M714" i="33"/>
  <c r="M713" i="33"/>
  <c r="M712" i="33"/>
  <c r="M711" i="33"/>
  <c r="M710" i="33"/>
  <c r="M709" i="33"/>
  <c r="M708" i="33"/>
  <c r="M707" i="33"/>
  <c r="M706" i="33"/>
  <c r="M705" i="33"/>
  <c r="M704" i="33"/>
  <c r="M703" i="33"/>
  <c r="M702" i="33"/>
  <c r="M701" i="33"/>
  <c r="M700" i="33"/>
  <c r="M699" i="33"/>
  <c r="M698" i="33"/>
  <c r="M697" i="33"/>
  <c r="M696" i="33"/>
  <c r="M695" i="33"/>
  <c r="M694" i="33"/>
  <c r="M693" i="33"/>
  <c r="M692" i="33"/>
  <c r="M691" i="33"/>
  <c r="M690" i="33"/>
  <c r="M689" i="33"/>
  <c r="M688" i="33"/>
  <c r="M687" i="33"/>
  <c r="M686" i="33"/>
  <c r="M685" i="33"/>
  <c r="M684" i="33"/>
  <c r="M683" i="33"/>
  <c r="M682" i="33"/>
  <c r="M681" i="33"/>
  <c r="M680" i="33"/>
  <c r="M679" i="33"/>
  <c r="M678" i="33"/>
  <c r="M677" i="33"/>
  <c r="M676" i="33"/>
  <c r="M675" i="33"/>
  <c r="M674" i="33"/>
  <c r="M673" i="33"/>
  <c r="M672" i="33"/>
  <c r="Y672" i="33" s="1"/>
  <c r="M671" i="33"/>
  <c r="M670" i="33"/>
  <c r="M669" i="33"/>
  <c r="M668" i="33"/>
  <c r="M667" i="33"/>
  <c r="Y667" i="33" s="1"/>
  <c r="M666" i="33"/>
  <c r="M665" i="33"/>
  <c r="M664" i="33"/>
  <c r="M663" i="33"/>
  <c r="M662" i="33"/>
  <c r="M661" i="33"/>
  <c r="M660" i="33"/>
  <c r="M659" i="33"/>
  <c r="M658" i="33"/>
  <c r="M657" i="33"/>
  <c r="M656" i="33"/>
  <c r="M655" i="33"/>
  <c r="M654" i="33"/>
  <c r="M653" i="33"/>
  <c r="M652" i="33"/>
  <c r="M651" i="33"/>
  <c r="Y651" i="33" s="1"/>
  <c r="M650" i="33"/>
  <c r="M649" i="33"/>
  <c r="M648" i="33"/>
  <c r="M647" i="33"/>
  <c r="M646" i="33"/>
  <c r="M645" i="33"/>
  <c r="M644" i="33"/>
  <c r="M643" i="33"/>
  <c r="Y643" i="33" s="1"/>
  <c r="M642" i="33"/>
  <c r="Y642" i="33" s="1"/>
  <c r="M641" i="33"/>
  <c r="M640" i="33"/>
  <c r="Y640" i="33" s="1"/>
  <c r="M639" i="33"/>
  <c r="M638" i="33"/>
  <c r="M637" i="33"/>
  <c r="M636" i="33"/>
  <c r="M635" i="33"/>
  <c r="M634" i="33"/>
  <c r="M633" i="33"/>
  <c r="M632" i="33"/>
  <c r="M631" i="33"/>
  <c r="M630" i="33"/>
  <c r="M629" i="33"/>
  <c r="M628" i="33"/>
  <c r="M627" i="33"/>
  <c r="Y627" i="33" s="1"/>
  <c r="M626" i="33"/>
  <c r="M625" i="33"/>
  <c r="M624" i="33"/>
  <c r="M623" i="33"/>
  <c r="M622" i="33"/>
  <c r="Y622" i="33" s="1"/>
  <c r="M621" i="33"/>
  <c r="Y621" i="33" s="1"/>
  <c r="M620" i="33"/>
  <c r="Z620" i="33" s="1"/>
  <c r="M619" i="33"/>
  <c r="Z619" i="33" s="1"/>
  <c r="M618" i="33"/>
  <c r="Z618" i="33" s="1"/>
  <c r="M617" i="33"/>
  <c r="Z617" i="33" s="1"/>
  <c r="M616" i="33"/>
  <c r="Z616" i="33" s="1"/>
  <c r="M615" i="33"/>
  <c r="Z615" i="33" s="1"/>
  <c r="M614" i="33"/>
  <c r="Z614" i="33" s="1"/>
  <c r="M613" i="33"/>
  <c r="Z613" i="33" s="1"/>
  <c r="M612" i="33"/>
  <c r="Z612" i="33" s="1"/>
  <c r="M611" i="33"/>
  <c r="Z611" i="33" s="1"/>
  <c r="M610" i="33"/>
  <c r="Z610" i="33" s="1"/>
  <c r="M609" i="33"/>
  <c r="Z609" i="33" s="1"/>
  <c r="M608" i="33"/>
  <c r="Z608" i="33" s="1"/>
  <c r="M607" i="33"/>
  <c r="Z607" i="33" s="1"/>
  <c r="M606" i="33"/>
  <c r="Z606" i="33" s="1"/>
  <c r="M605" i="33"/>
  <c r="Z605" i="33" s="1"/>
  <c r="M604" i="33"/>
  <c r="Z604" i="33" s="1"/>
  <c r="M603" i="33"/>
  <c r="Z603" i="33" s="1"/>
  <c r="M602" i="33"/>
  <c r="Z602" i="33" s="1"/>
  <c r="M601" i="33"/>
  <c r="Z601" i="33" s="1"/>
  <c r="M600" i="33"/>
  <c r="Z600" i="33" s="1"/>
  <c r="M599" i="33"/>
  <c r="Z599" i="33" s="1"/>
  <c r="M598" i="33"/>
  <c r="Z598" i="33" s="1"/>
  <c r="M597" i="33"/>
  <c r="Z597" i="33" s="1"/>
  <c r="M596" i="33"/>
  <c r="Z596" i="33" s="1"/>
  <c r="M595" i="33"/>
  <c r="Z595" i="33" s="1"/>
  <c r="M594" i="33"/>
  <c r="Z594" i="33" s="1"/>
  <c r="M593" i="33"/>
  <c r="Z593" i="33" s="1"/>
  <c r="M592" i="33"/>
  <c r="Z592" i="33" s="1"/>
  <c r="M591" i="33"/>
  <c r="Z591" i="33" s="1"/>
  <c r="M590" i="33"/>
  <c r="Z590" i="33" s="1"/>
  <c r="M589" i="33"/>
  <c r="Z589" i="33" s="1"/>
  <c r="M588" i="33"/>
  <c r="Z588" i="33" s="1"/>
  <c r="M587" i="33"/>
  <c r="Z587" i="33" s="1"/>
  <c r="M586" i="33"/>
  <c r="Z586" i="33" s="1"/>
  <c r="M585" i="33"/>
  <c r="Z585" i="33" s="1"/>
  <c r="M584" i="33"/>
  <c r="Z584" i="33" s="1"/>
  <c r="M583" i="33"/>
  <c r="Z583" i="33" s="1"/>
  <c r="M582" i="33"/>
  <c r="M581" i="33"/>
  <c r="Z581" i="33" s="1"/>
  <c r="M580" i="33"/>
  <c r="Z580" i="33" s="1"/>
  <c r="M579" i="33"/>
  <c r="Z579" i="33" s="1"/>
  <c r="M578" i="33"/>
  <c r="Z578" i="33" s="1"/>
  <c r="M577" i="33"/>
  <c r="Z577" i="33" s="1"/>
  <c r="M576" i="33"/>
  <c r="Z576" i="33" s="1"/>
  <c r="M575" i="33"/>
  <c r="Z575" i="33" s="1"/>
  <c r="M574" i="33"/>
  <c r="Z574" i="33" s="1"/>
  <c r="M573" i="33"/>
  <c r="Z573" i="33" s="1"/>
  <c r="M572" i="33"/>
  <c r="Y572" i="33" s="1"/>
  <c r="M571" i="33"/>
  <c r="Z571" i="33" s="1"/>
  <c r="M570" i="33"/>
  <c r="Z570" i="33" s="1"/>
  <c r="M569" i="33"/>
  <c r="Z569" i="33" s="1"/>
  <c r="M568" i="33"/>
  <c r="Z568" i="33" s="1"/>
  <c r="M567" i="33"/>
  <c r="Z567" i="33" s="1"/>
  <c r="M566" i="33"/>
  <c r="Y566" i="33" s="1"/>
  <c r="M565" i="33"/>
  <c r="Z565" i="33" s="1"/>
  <c r="M564" i="33"/>
  <c r="Z564" i="33" s="1"/>
  <c r="M563" i="33"/>
  <c r="Z563" i="33" s="1"/>
  <c r="M562" i="33"/>
  <c r="Z562" i="33" s="1"/>
  <c r="M561" i="33"/>
  <c r="Z561" i="33" s="1"/>
  <c r="M560" i="33"/>
  <c r="Z560" i="33" s="1"/>
  <c r="M559" i="33"/>
  <c r="Z559" i="33" s="1"/>
  <c r="M558" i="33"/>
  <c r="Z558" i="33" s="1"/>
  <c r="M557" i="33"/>
  <c r="Z557" i="33" s="1"/>
  <c r="M556" i="33"/>
  <c r="Z556" i="33" s="1"/>
  <c r="M555" i="33"/>
  <c r="Y555" i="33" s="1"/>
  <c r="M554" i="33"/>
  <c r="Z554" i="33" s="1"/>
  <c r="M553" i="33"/>
  <c r="Z553" i="33" s="1"/>
  <c r="M552" i="33"/>
  <c r="Z552" i="33" s="1"/>
  <c r="M551" i="33"/>
  <c r="Z551" i="33" s="1"/>
  <c r="M550" i="33"/>
  <c r="M549" i="33"/>
  <c r="Z549" i="33" s="1"/>
  <c r="M548" i="33"/>
  <c r="Z548" i="33" s="1"/>
  <c r="M547" i="33"/>
  <c r="Z547" i="33" s="1"/>
  <c r="M546" i="33"/>
  <c r="Z546" i="33" s="1"/>
  <c r="M545" i="33"/>
  <c r="Z545" i="33" s="1"/>
  <c r="M544" i="33"/>
  <c r="Z544" i="33" s="1"/>
  <c r="M543" i="33"/>
  <c r="Z543" i="33" s="1"/>
  <c r="M542" i="33"/>
  <c r="Z542" i="33" s="1"/>
  <c r="M541" i="33"/>
  <c r="Z541" i="33" s="1"/>
  <c r="M540" i="33"/>
  <c r="Z540" i="33" s="1"/>
  <c r="M539" i="33"/>
  <c r="Z539" i="33" s="1"/>
  <c r="M538" i="33"/>
  <c r="Z538" i="33" s="1"/>
  <c r="M537" i="33"/>
  <c r="Z537" i="33" s="1"/>
  <c r="M536" i="33"/>
  <c r="Z536" i="33" s="1"/>
  <c r="M535" i="33"/>
  <c r="Z535" i="33" s="1"/>
  <c r="M534" i="33"/>
  <c r="Z534" i="33" s="1"/>
  <c r="M533" i="33"/>
  <c r="Z533" i="33" s="1"/>
  <c r="M532" i="33"/>
  <c r="Z532" i="33" s="1"/>
  <c r="M531" i="33"/>
  <c r="Z531" i="33" s="1"/>
  <c r="M530" i="33"/>
  <c r="Z530" i="33" s="1"/>
  <c r="M529" i="33"/>
  <c r="Z529" i="33" s="1"/>
  <c r="M528" i="33"/>
  <c r="Z528" i="33" s="1"/>
  <c r="M527" i="33"/>
  <c r="Z527" i="33" s="1"/>
  <c r="M526" i="33"/>
  <c r="Z526" i="33" s="1"/>
  <c r="M525" i="33"/>
  <c r="Z525" i="33" s="1"/>
  <c r="M524" i="33"/>
  <c r="Z524" i="33" s="1"/>
  <c r="M523" i="33"/>
  <c r="Z523" i="33" s="1"/>
  <c r="M522" i="33"/>
  <c r="Z522" i="33" s="1"/>
  <c r="M521" i="33"/>
  <c r="Z521" i="33" s="1"/>
  <c r="M520" i="33"/>
  <c r="Z520" i="33" s="1"/>
  <c r="M519" i="33"/>
  <c r="Z519" i="33" s="1"/>
  <c r="M518" i="33"/>
  <c r="Z518" i="33" s="1"/>
  <c r="M517" i="33"/>
  <c r="Z517" i="33" s="1"/>
  <c r="M516" i="33"/>
  <c r="Z516" i="33" s="1"/>
  <c r="M515" i="33"/>
  <c r="Z515" i="33" s="1"/>
  <c r="M514" i="33"/>
  <c r="Z514" i="33" s="1"/>
  <c r="M513" i="33"/>
  <c r="M512" i="33"/>
  <c r="Z512" i="33" s="1"/>
  <c r="M511" i="33"/>
  <c r="Z511" i="33" s="1"/>
  <c r="M510" i="33"/>
  <c r="Z510" i="33" s="1"/>
  <c r="M509" i="33"/>
  <c r="Z509" i="33" s="1"/>
  <c r="M508" i="33"/>
  <c r="Z508" i="33" s="1"/>
  <c r="M507" i="33"/>
  <c r="Z507" i="33" s="1"/>
  <c r="M506" i="33"/>
  <c r="Z506" i="33" s="1"/>
  <c r="M505" i="33"/>
  <c r="Z505" i="33" s="1"/>
  <c r="M504" i="33"/>
  <c r="Z504" i="33" s="1"/>
  <c r="M503" i="33"/>
  <c r="Z503" i="33" s="1"/>
  <c r="M502" i="33"/>
  <c r="Z502" i="33" s="1"/>
  <c r="M501" i="33"/>
  <c r="Z501" i="33" s="1"/>
  <c r="M500" i="33"/>
  <c r="Z500" i="33" s="1"/>
  <c r="M499" i="33"/>
  <c r="Z499" i="33" s="1"/>
  <c r="M498" i="33"/>
  <c r="Z498" i="33" s="1"/>
  <c r="M497" i="33"/>
  <c r="Z497" i="33" s="1"/>
  <c r="M496" i="33"/>
  <c r="Z496" i="33" s="1"/>
  <c r="M495" i="33"/>
  <c r="Z495" i="33" s="1"/>
  <c r="M494" i="33"/>
  <c r="Z494" i="33" s="1"/>
  <c r="M493" i="33"/>
  <c r="Z493" i="33" s="1"/>
  <c r="M492" i="33"/>
  <c r="Z492" i="33" s="1"/>
  <c r="M491" i="33"/>
  <c r="Z491" i="33" s="1"/>
  <c r="M490" i="33"/>
  <c r="Z490" i="33" s="1"/>
  <c r="M489" i="33"/>
  <c r="Z489" i="33" s="1"/>
  <c r="M488" i="33"/>
  <c r="Z488" i="33" s="1"/>
  <c r="M487" i="33"/>
  <c r="Z487" i="33" s="1"/>
  <c r="M486" i="33"/>
  <c r="Z486" i="33" s="1"/>
  <c r="M485" i="33"/>
  <c r="Z485" i="33" s="1"/>
  <c r="M484" i="33"/>
  <c r="Z484" i="33" s="1"/>
  <c r="M483" i="33"/>
  <c r="Z483" i="33" s="1"/>
  <c r="M482" i="33"/>
  <c r="Z482" i="33" s="1"/>
  <c r="M481" i="33"/>
  <c r="Z481" i="33" s="1"/>
  <c r="M480" i="33"/>
  <c r="Z480" i="33" s="1"/>
  <c r="M479" i="33"/>
  <c r="Z479" i="33" s="1"/>
  <c r="M478" i="33"/>
  <c r="Z478" i="33" s="1"/>
  <c r="M477" i="33"/>
  <c r="Z477" i="33" s="1"/>
  <c r="M476" i="33"/>
  <c r="Z476" i="33" s="1"/>
  <c r="M475" i="33"/>
  <c r="Z475" i="33" s="1"/>
  <c r="M474" i="33"/>
  <c r="Z474" i="33" s="1"/>
  <c r="M473" i="33"/>
  <c r="Z473" i="33" s="1"/>
  <c r="M472" i="33"/>
  <c r="Z472" i="33" s="1"/>
  <c r="M471" i="33"/>
  <c r="Z471" i="33" s="1"/>
  <c r="M470" i="33"/>
  <c r="Z470" i="33" s="1"/>
  <c r="M469" i="33"/>
  <c r="Z469" i="33" s="1"/>
  <c r="M468" i="33"/>
  <c r="Z468" i="33" s="1"/>
  <c r="M467" i="33"/>
  <c r="Z467" i="33" s="1"/>
  <c r="M466" i="33"/>
  <c r="Z466" i="33" s="1"/>
  <c r="M465" i="33"/>
  <c r="Z465" i="33" s="1"/>
  <c r="M464" i="33"/>
  <c r="Z464" i="33" s="1"/>
  <c r="M463" i="33"/>
  <c r="Z463" i="33" s="1"/>
  <c r="M462" i="33"/>
  <c r="Z462" i="33" s="1"/>
  <c r="M461" i="33"/>
  <c r="Z461" i="33" s="1"/>
  <c r="M460" i="33"/>
  <c r="Z460" i="33" s="1"/>
  <c r="M459" i="33"/>
  <c r="Z459" i="33" s="1"/>
  <c r="M458" i="33"/>
  <c r="Z458" i="33" s="1"/>
  <c r="M457" i="33"/>
  <c r="Z457" i="33" s="1"/>
  <c r="M456" i="33"/>
  <c r="Z456" i="33" s="1"/>
  <c r="M455" i="33"/>
  <c r="Z455" i="33" s="1"/>
  <c r="M454" i="33"/>
  <c r="Z454" i="33" s="1"/>
  <c r="M453" i="33"/>
  <c r="Z453" i="33" s="1"/>
  <c r="M452" i="33"/>
  <c r="Z452" i="33" s="1"/>
  <c r="M451" i="33"/>
  <c r="Z451" i="33" s="1"/>
  <c r="M450" i="33"/>
  <c r="Z450" i="33" s="1"/>
  <c r="M449" i="33"/>
  <c r="Z449" i="33" s="1"/>
  <c r="M448" i="33"/>
  <c r="Z448" i="33" s="1"/>
  <c r="M447" i="33"/>
  <c r="Z447" i="33" s="1"/>
  <c r="M446" i="33"/>
  <c r="Y446" i="33" s="1"/>
  <c r="M445" i="33"/>
  <c r="Z445" i="33" s="1"/>
  <c r="M444" i="33"/>
  <c r="Z444" i="33" s="1"/>
  <c r="M443" i="33"/>
  <c r="Z443" i="33" s="1"/>
  <c r="M442" i="33"/>
  <c r="Z442" i="33" s="1"/>
  <c r="M441" i="33"/>
  <c r="Z441" i="33" s="1"/>
  <c r="M440" i="33"/>
  <c r="Z440" i="33" s="1"/>
  <c r="M439" i="33"/>
  <c r="Z439" i="33" s="1"/>
  <c r="M438" i="33"/>
  <c r="Z438" i="33" s="1"/>
  <c r="M437" i="33"/>
  <c r="Z437" i="33" s="1"/>
  <c r="M436" i="33"/>
  <c r="Z436" i="33" s="1"/>
  <c r="M435" i="33"/>
  <c r="Z435" i="33" s="1"/>
  <c r="M434" i="33"/>
  <c r="Z434" i="33" s="1"/>
  <c r="M433" i="33"/>
  <c r="Z433" i="33" s="1"/>
  <c r="M432" i="33"/>
  <c r="M431" i="33"/>
  <c r="Z431" i="33" s="1"/>
  <c r="M430" i="33"/>
  <c r="Z430" i="33" s="1"/>
  <c r="M429" i="33"/>
  <c r="Z429" i="33" s="1"/>
  <c r="M428" i="33"/>
  <c r="Z428" i="33" s="1"/>
  <c r="M427" i="33"/>
  <c r="Z427" i="33" s="1"/>
  <c r="M426" i="33"/>
  <c r="Z426" i="33" s="1"/>
  <c r="M425" i="33"/>
  <c r="Z425" i="33" s="1"/>
  <c r="M424" i="33"/>
  <c r="Z424" i="33" s="1"/>
  <c r="M423" i="33"/>
  <c r="Z423" i="33" s="1"/>
  <c r="M422" i="33"/>
  <c r="Z422" i="33" s="1"/>
  <c r="M421" i="33"/>
  <c r="Z421" i="33" s="1"/>
  <c r="M420" i="33"/>
  <c r="Z420" i="33" s="1"/>
  <c r="M419" i="33"/>
  <c r="Z419" i="33" s="1"/>
  <c r="M418" i="33"/>
  <c r="Z418" i="33" s="1"/>
  <c r="M417" i="33"/>
  <c r="Z417" i="33" s="1"/>
  <c r="M416" i="33"/>
  <c r="Z416" i="33" s="1"/>
  <c r="M415" i="33"/>
  <c r="Z415" i="33" s="1"/>
  <c r="M414" i="33"/>
  <c r="Z414" i="33" s="1"/>
  <c r="M413" i="33"/>
  <c r="Z413" i="33" s="1"/>
  <c r="M412" i="33"/>
  <c r="Z412" i="33" s="1"/>
  <c r="M411" i="33"/>
  <c r="Z411" i="33" s="1"/>
  <c r="M410" i="33"/>
  <c r="Z410" i="33" s="1"/>
  <c r="M409" i="33"/>
  <c r="Z409" i="33" s="1"/>
  <c r="M408" i="33"/>
  <c r="Z408" i="33" s="1"/>
  <c r="M407" i="33"/>
  <c r="Z407" i="33" s="1"/>
  <c r="M406" i="33"/>
  <c r="Z406" i="33" s="1"/>
  <c r="M405" i="33"/>
  <c r="Z405" i="33" s="1"/>
  <c r="M404" i="33"/>
  <c r="Z404" i="33" s="1"/>
  <c r="M403" i="33"/>
  <c r="Z403" i="33" s="1"/>
  <c r="M402" i="33"/>
  <c r="Z402" i="33" s="1"/>
  <c r="M401" i="33"/>
  <c r="Z401" i="33" s="1"/>
  <c r="M400" i="33"/>
  <c r="Z400" i="33" s="1"/>
  <c r="M399" i="33"/>
  <c r="Z399" i="33" s="1"/>
  <c r="M398" i="33"/>
  <c r="Z398" i="33" s="1"/>
  <c r="M397" i="33"/>
  <c r="Z397" i="33" s="1"/>
  <c r="M396" i="33"/>
  <c r="Z396" i="33" s="1"/>
  <c r="M395" i="33"/>
  <c r="Z395" i="33" s="1"/>
  <c r="M394" i="33"/>
  <c r="Z394" i="33" s="1"/>
  <c r="M393" i="33"/>
  <c r="Z393" i="33" s="1"/>
  <c r="M392" i="33"/>
  <c r="Z392" i="33" s="1"/>
  <c r="M391" i="33"/>
  <c r="Z391" i="33" s="1"/>
  <c r="M390" i="33"/>
  <c r="Z390" i="33" s="1"/>
  <c r="M389" i="33"/>
  <c r="Z389" i="33" s="1"/>
  <c r="M388" i="33"/>
  <c r="Z388" i="33" s="1"/>
  <c r="M387" i="33"/>
  <c r="Z387" i="33" s="1"/>
  <c r="M386" i="33"/>
  <c r="Z386" i="33" s="1"/>
  <c r="M385" i="33"/>
  <c r="Z385" i="33" s="1"/>
  <c r="M384" i="33"/>
  <c r="Z384" i="33" s="1"/>
  <c r="M383" i="33"/>
  <c r="Z383" i="33" s="1"/>
  <c r="M382" i="33"/>
  <c r="Z382" i="33" s="1"/>
  <c r="M381" i="33"/>
  <c r="Z381" i="33" s="1"/>
  <c r="M380" i="33"/>
  <c r="Z380" i="33" s="1"/>
  <c r="M379" i="33"/>
  <c r="Z379" i="33" s="1"/>
  <c r="M378" i="33"/>
  <c r="Z378" i="33" s="1"/>
  <c r="M377" i="33"/>
  <c r="Z377" i="33" s="1"/>
  <c r="M376" i="33"/>
  <c r="Z376" i="33" s="1"/>
  <c r="M375" i="33"/>
  <c r="Z375" i="33" s="1"/>
  <c r="M374" i="33"/>
  <c r="Z374" i="33" s="1"/>
  <c r="M373" i="33"/>
  <c r="Z373" i="33" s="1"/>
  <c r="M372" i="33"/>
  <c r="Z372" i="33" s="1"/>
  <c r="M371" i="33"/>
  <c r="Z371" i="33" s="1"/>
  <c r="M370" i="33"/>
  <c r="Z370" i="33" s="1"/>
  <c r="M369" i="33"/>
  <c r="Z369" i="33" s="1"/>
  <c r="M368" i="33"/>
  <c r="Z368" i="33" s="1"/>
  <c r="M367" i="33"/>
  <c r="Z367" i="33" s="1"/>
  <c r="M366" i="33"/>
  <c r="Z366" i="33" s="1"/>
  <c r="M365" i="33"/>
  <c r="Z365" i="33" s="1"/>
  <c r="M364" i="33"/>
  <c r="Z364" i="33" s="1"/>
  <c r="M363" i="33"/>
  <c r="Z363" i="33" s="1"/>
  <c r="M362" i="33"/>
  <c r="Z362" i="33" s="1"/>
  <c r="M361" i="33"/>
  <c r="Z361" i="33" s="1"/>
  <c r="M360" i="33"/>
  <c r="Z360" i="33" s="1"/>
  <c r="M359" i="33"/>
  <c r="Z359" i="33" s="1"/>
  <c r="M358" i="33"/>
  <c r="Z358" i="33" s="1"/>
  <c r="M357" i="33"/>
  <c r="Z357" i="33" s="1"/>
  <c r="M356" i="33"/>
  <c r="Z356" i="33" s="1"/>
  <c r="M355" i="33"/>
  <c r="Z355" i="33" s="1"/>
  <c r="M354" i="33"/>
  <c r="Z354" i="33" s="1"/>
  <c r="M353" i="33"/>
  <c r="Z353" i="33" s="1"/>
  <c r="M352" i="33"/>
  <c r="Z352" i="33" s="1"/>
  <c r="M351" i="33"/>
  <c r="Z351" i="33" s="1"/>
  <c r="M350" i="33"/>
  <c r="Z350" i="33" s="1"/>
  <c r="M349" i="33"/>
  <c r="Z349" i="33" s="1"/>
  <c r="M348" i="33"/>
  <c r="Z348" i="33" s="1"/>
  <c r="M347" i="33"/>
  <c r="Z347" i="33" s="1"/>
  <c r="M346" i="33"/>
  <c r="Z346" i="33" s="1"/>
  <c r="M345" i="33"/>
  <c r="Z345" i="33" s="1"/>
  <c r="M344" i="33"/>
  <c r="Z344" i="33" s="1"/>
  <c r="M343" i="33"/>
  <c r="Z343" i="33" s="1"/>
  <c r="M342" i="33"/>
  <c r="Z342" i="33" s="1"/>
  <c r="M341" i="33"/>
  <c r="Z341" i="33" s="1"/>
  <c r="M340" i="33"/>
  <c r="Z340" i="33" s="1"/>
  <c r="M339" i="33"/>
  <c r="Z339" i="33" s="1"/>
  <c r="M338" i="33"/>
  <c r="Z338" i="33" s="1"/>
  <c r="M337" i="33"/>
  <c r="Z337" i="33" s="1"/>
  <c r="M336" i="33"/>
  <c r="Z336" i="33" s="1"/>
  <c r="M335" i="33"/>
  <c r="Z335" i="33" s="1"/>
  <c r="M334" i="33"/>
  <c r="Z334" i="33" s="1"/>
  <c r="M333" i="33"/>
  <c r="Z333" i="33" s="1"/>
  <c r="M332" i="33"/>
  <c r="Z332" i="33" s="1"/>
  <c r="M331" i="33"/>
  <c r="Z331" i="33" s="1"/>
  <c r="M330" i="33"/>
  <c r="Z330" i="33" s="1"/>
  <c r="M329" i="33"/>
  <c r="Z329" i="33" s="1"/>
  <c r="M328" i="33"/>
  <c r="Z328" i="33" s="1"/>
  <c r="M327" i="33"/>
  <c r="Z327" i="33" s="1"/>
  <c r="M326" i="33"/>
  <c r="Z326" i="33" s="1"/>
  <c r="M325" i="33"/>
  <c r="Z325" i="33" s="1"/>
  <c r="M324" i="33"/>
  <c r="Z324" i="33" s="1"/>
  <c r="M323" i="33"/>
  <c r="Z323" i="33" s="1"/>
  <c r="M322" i="33"/>
  <c r="Z322" i="33" s="1"/>
  <c r="M321" i="33"/>
  <c r="Z321" i="33" s="1"/>
  <c r="M320" i="33"/>
  <c r="Z320" i="33" s="1"/>
  <c r="M319" i="33"/>
  <c r="Z319" i="33" s="1"/>
  <c r="M318" i="33"/>
  <c r="Z318" i="33" s="1"/>
  <c r="M317" i="33"/>
  <c r="Z317" i="33" s="1"/>
  <c r="M316" i="33"/>
  <c r="Z316" i="33" s="1"/>
  <c r="M315" i="33"/>
  <c r="Z315" i="33" s="1"/>
  <c r="M314" i="33"/>
  <c r="Z314" i="33" s="1"/>
  <c r="M313" i="33"/>
  <c r="Z313" i="33" s="1"/>
  <c r="M312" i="33"/>
  <c r="Z312" i="33" s="1"/>
  <c r="M311" i="33"/>
  <c r="Z311" i="33" s="1"/>
  <c r="M310" i="33"/>
  <c r="Z310" i="33" s="1"/>
  <c r="M309" i="33"/>
  <c r="Z309" i="33" s="1"/>
  <c r="M308" i="33"/>
  <c r="Z308" i="33" s="1"/>
  <c r="M307" i="33"/>
  <c r="Z307" i="33" s="1"/>
  <c r="M306" i="33"/>
  <c r="Z306" i="33" s="1"/>
  <c r="M305" i="33"/>
  <c r="Z305" i="33" s="1"/>
  <c r="M304" i="33"/>
  <c r="Z304" i="33" s="1"/>
  <c r="M303" i="33"/>
  <c r="Z303" i="33" s="1"/>
  <c r="M302" i="33"/>
  <c r="Z302" i="33" s="1"/>
  <c r="M301" i="33"/>
  <c r="Z301" i="33" s="1"/>
  <c r="M300" i="33"/>
  <c r="Z300" i="33" s="1"/>
  <c r="M299" i="33"/>
  <c r="Z299" i="33" s="1"/>
  <c r="M298" i="33"/>
  <c r="Z298" i="33" s="1"/>
  <c r="M297" i="33"/>
  <c r="Z297" i="33" s="1"/>
  <c r="M296" i="33"/>
  <c r="Z296" i="33" s="1"/>
  <c r="M295" i="33"/>
  <c r="Z295" i="33" s="1"/>
  <c r="M294" i="33"/>
  <c r="Z294" i="33" s="1"/>
  <c r="M293" i="33"/>
  <c r="Z293" i="33" s="1"/>
  <c r="M292" i="33"/>
  <c r="Z292" i="33" s="1"/>
  <c r="M291" i="33"/>
  <c r="Z291" i="33" s="1"/>
  <c r="M290" i="33"/>
  <c r="Z290" i="33" s="1"/>
  <c r="M289" i="33"/>
  <c r="Z289" i="33" s="1"/>
  <c r="M288" i="33"/>
  <c r="Z288" i="33" s="1"/>
  <c r="M287" i="33"/>
  <c r="Z287" i="33" s="1"/>
  <c r="M286" i="33"/>
  <c r="Z286" i="33" s="1"/>
  <c r="M285" i="33"/>
  <c r="Z285" i="33" s="1"/>
  <c r="M284" i="33"/>
  <c r="Z284" i="33" s="1"/>
  <c r="M283" i="33"/>
  <c r="Z283" i="33" s="1"/>
  <c r="M282" i="33"/>
  <c r="Z282" i="33" s="1"/>
  <c r="M281" i="33"/>
  <c r="Z281" i="33" s="1"/>
  <c r="M280" i="33"/>
  <c r="Z280" i="33" s="1"/>
  <c r="M279" i="33"/>
  <c r="Z279" i="33" s="1"/>
  <c r="M278" i="33"/>
  <c r="Z278" i="33" s="1"/>
  <c r="M277" i="33"/>
  <c r="Z277" i="33" s="1"/>
  <c r="M276" i="33"/>
  <c r="Z276" i="33" s="1"/>
  <c r="M275" i="33"/>
  <c r="Z275" i="33" s="1"/>
  <c r="M274" i="33"/>
  <c r="Z274" i="33" s="1"/>
  <c r="M273" i="33"/>
  <c r="Z273" i="33" s="1"/>
  <c r="M272" i="33"/>
  <c r="Z272" i="33" s="1"/>
  <c r="M271" i="33"/>
  <c r="Z271" i="33" s="1"/>
  <c r="M270" i="33"/>
  <c r="Z270" i="33" s="1"/>
  <c r="M269" i="33"/>
  <c r="Y269" i="33" s="1"/>
  <c r="M268" i="33"/>
  <c r="Z268" i="33" s="1"/>
  <c r="M267" i="33"/>
  <c r="Z267" i="33" s="1"/>
  <c r="M266" i="33"/>
  <c r="Z266" i="33" s="1"/>
  <c r="M265" i="33"/>
  <c r="Z265" i="33" s="1"/>
  <c r="M264" i="33"/>
  <c r="Z264" i="33" s="1"/>
  <c r="M263" i="33"/>
  <c r="Z263" i="33" s="1"/>
  <c r="M262" i="33"/>
  <c r="Z262" i="33" s="1"/>
  <c r="M261" i="33"/>
  <c r="Z261" i="33" s="1"/>
  <c r="M260" i="33"/>
  <c r="Z260" i="33" s="1"/>
  <c r="M259" i="33"/>
  <c r="Z259" i="33" s="1"/>
  <c r="M258" i="33"/>
  <c r="Z258" i="33" s="1"/>
  <c r="M257" i="33"/>
  <c r="Z257" i="33" s="1"/>
  <c r="M256" i="33"/>
  <c r="Z256" i="33" s="1"/>
  <c r="M255" i="33"/>
  <c r="Z255" i="33" s="1"/>
  <c r="M254" i="33"/>
  <c r="Z254" i="33" s="1"/>
  <c r="M253" i="33"/>
  <c r="Z253" i="33" s="1"/>
  <c r="M252" i="33"/>
  <c r="Z252" i="33" s="1"/>
  <c r="M251" i="33"/>
  <c r="Z251" i="33" s="1"/>
  <c r="M250" i="33"/>
  <c r="Z250" i="33" s="1"/>
  <c r="M249" i="33"/>
  <c r="Z249" i="33" s="1"/>
  <c r="M248" i="33"/>
  <c r="Z248" i="33" s="1"/>
  <c r="M247" i="33"/>
  <c r="Z247" i="33" s="1"/>
  <c r="M246" i="33"/>
  <c r="Z246" i="33" s="1"/>
  <c r="M245" i="33"/>
  <c r="Z245" i="33" s="1"/>
  <c r="M244" i="33"/>
  <c r="Z244" i="33" s="1"/>
  <c r="M243" i="33"/>
  <c r="Z243" i="33" s="1"/>
  <c r="M242" i="33"/>
  <c r="Z242" i="33" s="1"/>
  <c r="M241" i="33"/>
  <c r="Z241" i="33" s="1"/>
  <c r="M240" i="33"/>
  <c r="Z240" i="33" s="1"/>
  <c r="M239" i="33"/>
  <c r="Z239" i="33" s="1"/>
  <c r="M238" i="33"/>
  <c r="Z238" i="33" s="1"/>
  <c r="M237" i="33"/>
  <c r="Z237" i="33" s="1"/>
  <c r="M236" i="33"/>
  <c r="Z236" i="33" s="1"/>
  <c r="M235" i="33"/>
  <c r="Z235" i="33" s="1"/>
  <c r="M234" i="33"/>
  <c r="Z234" i="33" s="1"/>
  <c r="M233" i="33"/>
  <c r="Z233" i="33" s="1"/>
  <c r="M232" i="33"/>
  <c r="Z232" i="33" s="1"/>
  <c r="M231" i="33"/>
  <c r="Z231" i="33" s="1"/>
  <c r="M230" i="33"/>
  <c r="Z230" i="33" s="1"/>
  <c r="M229" i="33"/>
  <c r="Z229" i="33" s="1"/>
  <c r="M228" i="33"/>
  <c r="Z228" i="33" s="1"/>
  <c r="M227" i="33"/>
  <c r="Z227" i="33" s="1"/>
  <c r="M226" i="33"/>
  <c r="Z226" i="33" s="1"/>
  <c r="M225" i="33"/>
  <c r="Z225" i="33" s="1"/>
  <c r="M224" i="33"/>
  <c r="Z224" i="33" s="1"/>
  <c r="M223" i="33"/>
  <c r="Z223" i="33" s="1"/>
  <c r="M222" i="33"/>
  <c r="Z222" i="33" s="1"/>
  <c r="M221" i="33"/>
  <c r="Z221" i="33" s="1"/>
  <c r="M220" i="33"/>
  <c r="Z220" i="33" s="1"/>
  <c r="M219" i="33"/>
  <c r="Z219" i="33" s="1"/>
  <c r="M218" i="33"/>
  <c r="Z218" i="33" s="1"/>
  <c r="M217" i="33"/>
  <c r="Z217" i="33" s="1"/>
  <c r="M216" i="33"/>
  <c r="Z216" i="33" s="1"/>
  <c r="M215" i="33"/>
  <c r="Z215" i="33" s="1"/>
  <c r="M214" i="33"/>
  <c r="Z214" i="33" s="1"/>
  <c r="M213" i="33"/>
  <c r="Z213" i="33" s="1"/>
  <c r="M212" i="33"/>
  <c r="Z212" i="33" s="1"/>
  <c r="M211" i="33"/>
  <c r="Z211" i="33" s="1"/>
  <c r="M210" i="33"/>
  <c r="Z210" i="33" s="1"/>
  <c r="M209" i="33"/>
  <c r="Z209" i="33" s="1"/>
  <c r="M208" i="33"/>
  <c r="Z208" i="33" s="1"/>
  <c r="M207" i="33"/>
  <c r="Z207" i="33" s="1"/>
  <c r="M206" i="33"/>
  <c r="Z206" i="33" s="1"/>
  <c r="M205" i="33"/>
  <c r="Z205" i="33" s="1"/>
  <c r="M204" i="33"/>
  <c r="Z204" i="33" s="1"/>
  <c r="M203" i="33"/>
  <c r="Z203" i="33" s="1"/>
  <c r="M202" i="33"/>
  <c r="Z202" i="33" s="1"/>
  <c r="M201" i="33"/>
  <c r="Z201" i="33" s="1"/>
  <c r="M200" i="33"/>
  <c r="Z200" i="33" s="1"/>
  <c r="M199" i="33"/>
  <c r="Z199" i="33" s="1"/>
  <c r="M198" i="33"/>
  <c r="Z198" i="33" s="1"/>
  <c r="M197" i="33"/>
  <c r="Z197" i="33" s="1"/>
  <c r="M196" i="33"/>
  <c r="Z196" i="33" s="1"/>
  <c r="M195" i="33"/>
  <c r="Z195" i="33" s="1"/>
  <c r="M194" i="33"/>
  <c r="Z194" i="33" s="1"/>
  <c r="M193" i="33"/>
  <c r="Z193" i="33" s="1"/>
  <c r="M192" i="33"/>
  <c r="Z192" i="33" s="1"/>
  <c r="M191" i="33"/>
  <c r="Z191" i="33" s="1"/>
  <c r="M190" i="33"/>
  <c r="Z190" i="33" s="1"/>
  <c r="M189" i="33"/>
  <c r="Z189" i="33" s="1"/>
  <c r="M188" i="33"/>
  <c r="Z188" i="33" s="1"/>
  <c r="M187" i="33"/>
  <c r="Z187" i="33" s="1"/>
  <c r="M186" i="33"/>
  <c r="Z186" i="33" s="1"/>
  <c r="M185" i="33"/>
  <c r="Z185" i="33" s="1"/>
  <c r="M184" i="33"/>
  <c r="Z184" i="33" s="1"/>
  <c r="M183" i="33"/>
  <c r="Z183" i="33" s="1"/>
  <c r="M182" i="33"/>
  <c r="Z182" i="33" s="1"/>
  <c r="M181" i="33"/>
  <c r="Z181" i="33" s="1"/>
  <c r="M180" i="33"/>
  <c r="Z180" i="33" s="1"/>
  <c r="M179" i="33"/>
  <c r="Z179" i="33" s="1"/>
  <c r="M178" i="33"/>
  <c r="Z178" i="33" s="1"/>
  <c r="M177" i="33"/>
  <c r="Z177" i="33" s="1"/>
  <c r="M176" i="33"/>
  <c r="Z176" i="33" s="1"/>
  <c r="M175" i="33"/>
  <c r="Z175" i="33" s="1"/>
  <c r="M174" i="33"/>
  <c r="Z174" i="33" s="1"/>
  <c r="M173" i="33"/>
  <c r="Z173" i="33" s="1"/>
  <c r="M172" i="33"/>
  <c r="Z172" i="33" s="1"/>
  <c r="M171" i="33"/>
  <c r="Z171" i="33" s="1"/>
  <c r="M170" i="33"/>
  <c r="Z170" i="33" s="1"/>
  <c r="M169" i="33"/>
  <c r="Z169" i="33" s="1"/>
  <c r="M168" i="33"/>
  <c r="Z168" i="33" s="1"/>
  <c r="M167" i="33"/>
  <c r="Z167" i="33" s="1"/>
  <c r="M166" i="33"/>
  <c r="Z166" i="33" s="1"/>
  <c r="M165" i="33"/>
  <c r="Z165" i="33" s="1"/>
  <c r="M164" i="33"/>
  <c r="Z164" i="33" s="1"/>
  <c r="M163" i="33"/>
  <c r="Z163" i="33" s="1"/>
  <c r="M162" i="33"/>
  <c r="Z162" i="33" s="1"/>
  <c r="M161" i="33"/>
  <c r="Z161" i="33" s="1"/>
  <c r="M160" i="33"/>
  <c r="Z160" i="33" s="1"/>
  <c r="M159" i="33"/>
  <c r="Z159" i="33" s="1"/>
  <c r="M158" i="33"/>
  <c r="Z158" i="33" s="1"/>
  <c r="M157" i="33"/>
  <c r="Z157" i="33" s="1"/>
  <c r="M156" i="33"/>
  <c r="Z156" i="33" s="1"/>
  <c r="M155" i="33"/>
  <c r="Z155" i="33" s="1"/>
  <c r="M154" i="33"/>
  <c r="Z154" i="33" s="1"/>
  <c r="M153" i="33"/>
  <c r="Z153" i="33" s="1"/>
  <c r="M152" i="33"/>
  <c r="Z152" i="33" s="1"/>
  <c r="M151" i="33"/>
  <c r="Z151" i="33" s="1"/>
  <c r="M150" i="33"/>
  <c r="Z150" i="33" s="1"/>
  <c r="M149" i="33"/>
  <c r="Z149" i="33" s="1"/>
  <c r="M148" i="33"/>
  <c r="Z148" i="33" s="1"/>
  <c r="M147" i="33"/>
  <c r="Z147" i="33" s="1"/>
  <c r="M146" i="33"/>
  <c r="Z146" i="33" s="1"/>
  <c r="M145" i="33"/>
  <c r="Z145" i="33" s="1"/>
  <c r="M144" i="33"/>
  <c r="Z144" i="33" s="1"/>
  <c r="M143" i="33"/>
  <c r="Z143" i="33" s="1"/>
  <c r="M142" i="33"/>
  <c r="Z142" i="33" s="1"/>
  <c r="M141" i="33"/>
  <c r="Z141" i="33" s="1"/>
  <c r="M140" i="33"/>
  <c r="Z140" i="33" s="1"/>
  <c r="M139" i="33"/>
  <c r="Z139" i="33" s="1"/>
  <c r="M138" i="33"/>
  <c r="Z138" i="33" s="1"/>
  <c r="M137" i="33"/>
  <c r="Z137" i="33" s="1"/>
  <c r="M136" i="33"/>
  <c r="Z136" i="33" s="1"/>
  <c r="M135" i="33"/>
  <c r="Z135" i="33" s="1"/>
  <c r="M134" i="33"/>
  <c r="Z134" i="33" s="1"/>
  <c r="M133" i="33"/>
  <c r="Z133" i="33" s="1"/>
  <c r="M132" i="33"/>
  <c r="Z132" i="33" s="1"/>
  <c r="M131" i="33"/>
  <c r="Z131" i="33" s="1"/>
  <c r="M130" i="33"/>
  <c r="Z130" i="33" s="1"/>
  <c r="M129" i="33"/>
  <c r="Z129" i="33" s="1"/>
  <c r="M128" i="33"/>
  <c r="Z128" i="33" s="1"/>
  <c r="M127" i="33"/>
  <c r="Z127" i="33" s="1"/>
  <c r="M126" i="33"/>
  <c r="Z126" i="33" s="1"/>
  <c r="M125" i="33"/>
  <c r="Z125" i="33" s="1"/>
  <c r="M124" i="33"/>
  <c r="Z124" i="33" s="1"/>
  <c r="M123" i="33"/>
  <c r="Z123" i="33" s="1"/>
  <c r="M122" i="33"/>
  <c r="Z122" i="33" s="1"/>
  <c r="M121" i="33"/>
  <c r="Z121" i="33" s="1"/>
  <c r="M120" i="33"/>
  <c r="Z120" i="33" s="1"/>
  <c r="M119" i="33"/>
  <c r="Z119" i="33" s="1"/>
  <c r="M118" i="33"/>
  <c r="Z118" i="33" s="1"/>
  <c r="M117" i="33"/>
  <c r="Z117" i="33" s="1"/>
  <c r="M116" i="33"/>
  <c r="Z116" i="33" s="1"/>
  <c r="M115" i="33"/>
  <c r="Z115" i="33" s="1"/>
  <c r="M114" i="33"/>
  <c r="Z114" i="33" s="1"/>
  <c r="M113" i="33"/>
  <c r="Z113" i="33" s="1"/>
  <c r="M112" i="33"/>
  <c r="Z112" i="33" s="1"/>
  <c r="M111" i="33"/>
  <c r="Z111" i="33" s="1"/>
  <c r="M110" i="33"/>
  <c r="Z110" i="33" s="1"/>
  <c r="M109" i="33"/>
  <c r="Z109" i="33" s="1"/>
  <c r="M108" i="33"/>
  <c r="Z108" i="33" s="1"/>
  <c r="M107" i="33"/>
  <c r="Y107" i="33" s="1"/>
  <c r="M106" i="33"/>
  <c r="Z106" i="33" s="1"/>
  <c r="M105" i="33"/>
  <c r="Y105" i="33" s="1"/>
  <c r="M104" i="33"/>
  <c r="Z104" i="33" s="1"/>
  <c r="M103" i="33"/>
  <c r="Y103" i="33" s="1"/>
  <c r="M102" i="33"/>
  <c r="Y102" i="33" s="1"/>
  <c r="M101" i="33"/>
  <c r="M100" i="33"/>
  <c r="Z100" i="33" s="1"/>
  <c r="M99" i="33"/>
  <c r="Y99" i="33" s="1"/>
  <c r="M98" i="33"/>
  <c r="Z98" i="33" s="1"/>
  <c r="M97" i="33"/>
  <c r="Y97" i="33" s="1"/>
  <c r="M96" i="33"/>
  <c r="Z96" i="33" s="1"/>
  <c r="M95" i="33"/>
  <c r="Y95" i="33" s="1"/>
  <c r="M94" i="33"/>
  <c r="Z94" i="33" s="1"/>
  <c r="M93" i="33"/>
  <c r="Y93" i="33" s="1"/>
  <c r="M92" i="33"/>
  <c r="Z92" i="33" s="1"/>
  <c r="M91" i="33"/>
  <c r="Y91" i="33" s="1"/>
  <c r="M90" i="33"/>
  <c r="Z90" i="33" s="1"/>
  <c r="M89" i="33"/>
  <c r="M88" i="33"/>
  <c r="Z88" i="33" s="1"/>
  <c r="M87" i="33"/>
  <c r="Y87" i="33" s="1"/>
  <c r="M86" i="33"/>
  <c r="Z86" i="33" s="1"/>
  <c r="M85" i="33"/>
  <c r="Y85" i="33" s="1"/>
  <c r="M84" i="33"/>
  <c r="Z84" i="33" s="1"/>
  <c r="M83" i="33"/>
  <c r="Y83" i="33" s="1"/>
  <c r="M82" i="33"/>
  <c r="Z82" i="33" s="1"/>
  <c r="M81" i="33"/>
  <c r="Y81" i="33" s="1"/>
  <c r="M80" i="33"/>
  <c r="Z80" i="33" s="1"/>
  <c r="M79" i="33"/>
  <c r="Y79" i="33" s="1"/>
  <c r="M78" i="33"/>
  <c r="Y78" i="33" s="1"/>
  <c r="M77" i="33"/>
  <c r="M76" i="33"/>
  <c r="Z76" i="33" s="1"/>
  <c r="M75" i="33"/>
  <c r="Y75" i="33" s="1"/>
  <c r="M74" i="33"/>
  <c r="Z74" i="33" s="1"/>
  <c r="M73" i="33"/>
  <c r="Y73" i="33" s="1"/>
  <c r="M72" i="33"/>
  <c r="Z72" i="33" s="1"/>
  <c r="M71" i="33"/>
  <c r="Y71" i="33" s="1"/>
  <c r="M70" i="33"/>
  <c r="Z70" i="33" s="1"/>
  <c r="M69" i="33"/>
  <c r="Y69" i="33" s="1"/>
  <c r="M68" i="33"/>
  <c r="Z68" i="33" s="1"/>
  <c r="M67" i="33"/>
  <c r="Y67" i="33" s="1"/>
  <c r="M66" i="33"/>
  <c r="Y66" i="33" s="1"/>
  <c r="M65" i="33"/>
  <c r="M64" i="33"/>
  <c r="Z64" i="33" s="1"/>
  <c r="M63" i="33"/>
  <c r="Y63" i="33" s="1"/>
  <c r="M62" i="33"/>
  <c r="Z62" i="33" s="1"/>
  <c r="M61" i="33"/>
  <c r="Y61" i="33" s="1"/>
  <c r="M60" i="33"/>
  <c r="Z60" i="33" s="1"/>
  <c r="M59" i="33"/>
  <c r="Y59" i="33" s="1"/>
  <c r="M58" i="33"/>
  <c r="Z58" i="33" s="1"/>
  <c r="M57" i="33"/>
  <c r="Y57" i="33" s="1"/>
  <c r="M56" i="33"/>
  <c r="Z56" i="33" s="1"/>
  <c r="M55" i="33"/>
  <c r="Y55" i="33" s="1"/>
  <c r="M54" i="33"/>
  <c r="Y54" i="33" s="1"/>
  <c r="M53" i="33"/>
  <c r="M52" i="33"/>
  <c r="Z52" i="33" s="1"/>
  <c r="M51" i="33"/>
  <c r="Y51" i="33" s="1"/>
  <c r="M50" i="33"/>
  <c r="Z50" i="33" s="1"/>
  <c r="M49" i="33"/>
  <c r="Y49" i="33" s="1"/>
  <c r="M48" i="33"/>
  <c r="Z48" i="33" s="1"/>
  <c r="I47" i="33"/>
  <c r="M47" i="33" s="1"/>
  <c r="M46" i="33"/>
  <c r="M45" i="33"/>
  <c r="Z45" i="33" s="1"/>
  <c r="M44" i="33"/>
  <c r="Z44" i="33" s="1"/>
  <c r="M43" i="33"/>
  <c r="Z43" i="33" s="1"/>
  <c r="M42" i="33"/>
  <c r="Z42" i="33" s="1"/>
  <c r="M41" i="33"/>
  <c r="Z41" i="33" s="1"/>
  <c r="M40" i="33"/>
  <c r="Y40" i="33" s="1"/>
  <c r="M39" i="33"/>
  <c r="Z39" i="33" s="1"/>
  <c r="M38" i="33"/>
  <c r="Z38" i="33" s="1"/>
  <c r="M37" i="33"/>
  <c r="Z37" i="33" s="1"/>
  <c r="M36" i="33"/>
  <c r="Z36" i="33" s="1"/>
  <c r="M35" i="33"/>
  <c r="Z35" i="33" s="1"/>
  <c r="M34" i="33"/>
  <c r="M33" i="33"/>
  <c r="Z33" i="33" s="1"/>
  <c r="M32" i="33"/>
  <c r="Z32" i="33" s="1"/>
  <c r="M31" i="33"/>
  <c r="Z31" i="33" s="1"/>
  <c r="AH30" i="33"/>
  <c r="AG30" i="33"/>
  <c r="AF30" i="33"/>
  <c r="P30" i="33"/>
  <c r="O30" i="33"/>
  <c r="I30" i="33"/>
  <c r="M30" i="33" s="1"/>
  <c r="H30" i="33"/>
  <c r="E30" i="33"/>
  <c r="C30" i="33"/>
  <c r="AG29" i="33"/>
  <c r="AF29" i="33"/>
  <c r="P29" i="33"/>
  <c r="O29" i="33"/>
  <c r="I29" i="33"/>
  <c r="M29" i="33" s="1"/>
  <c r="H29" i="33"/>
  <c r="E29" i="33"/>
  <c r="C29" i="33"/>
  <c r="AH28" i="33"/>
  <c r="AG28" i="33"/>
  <c r="AF28" i="33"/>
  <c r="P28" i="33"/>
  <c r="O28" i="33"/>
  <c r="I28" i="33"/>
  <c r="M28" i="33" s="1"/>
  <c r="Y28" i="33" s="1"/>
  <c r="H28" i="33"/>
  <c r="E28" i="33"/>
  <c r="C28" i="33"/>
  <c r="AG27" i="33"/>
  <c r="AF27" i="33"/>
  <c r="P27" i="33"/>
  <c r="O27" i="33"/>
  <c r="I27" i="33"/>
  <c r="M27" i="33" s="1"/>
  <c r="Z27" i="33" s="1"/>
  <c r="H27" i="33"/>
  <c r="E27" i="33"/>
  <c r="C27" i="33"/>
  <c r="AF26" i="33"/>
  <c r="P26" i="33"/>
  <c r="O26" i="33"/>
  <c r="I26" i="33"/>
  <c r="M26" i="33" s="1"/>
  <c r="Y26" i="33" s="1"/>
  <c r="H26" i="33"/>
  <c r="E26" i="33"/>
  <c r="C26" i="33"/>
  <c r="AF25" i="33"/>
  <c r="P25" i="33"/>
  <c r="O25" i="33"/>
  <c r="I25" i="33"/>
  <c r="M25" i="33" s="1"/>
  <c r="Z25" i="33" s="1"/>
  <c r="H25" i="33"/>
  <c r="E25" i="33"/>
  <c r="C25" i="33"/>
  <c r="AH24" i="33"/>
  <c r="AG24" i="33"/>
  <c r="AF24" i="33"/>
  <c r="P24" i="33"/>
  <c r="O24" i="33"/>
  <c r="I24" i="33"/>
  <c r="M24" i="33" s="1"/>
  <c r="H24" i="33"/>
  <c r="E24" i="33"/>
  <c r="C24" i="33"/>
  <c r="AG23" i="33"/>
  <c r="AF23" i="33"/>
  <c r="P23" i="33"/>
  <c r="O23" i="33"/>
  <c r="I23" i="33"/>
  <c r="M23" i="33" s="1"/>
  <c r="H23" i="33"/>
  <c r="E23" i="33"/>
  <c r="C23" i="33"/>
  <c r="AH22" i="33"/>
  <c r="AG22" i="33"/>
  <c r="AF22" i="33"/>
  <c r="P22" i="33"/>
  <c r="O22" i="33"/>
  <c r="I22" i="33"/>
  <c r="M22" i="33" s="1"/>
  <c r="H22" i="33"/>
  <c r="E22" i="33"/>
  <c r="C22" i="33"/>
  <c r="AH21" i="33"/>
  <c r="AG21" i="33"/>
  <c r="AF21" i="33"/>
  <c r="X21" i="33"/>
  <c r="P21" i="33"/>
  <c r="O21" i="33"/>
  <c r="I21" i="33"/>
  <c r="M21" i="33" s="1"/>
  <c r="H21" i="33"/>
  <c r="E21" i="33"/>
  <c r="C21" i="33"/>
  <c r="AH20" i="33"/>
  <c r="AG20" i="33"/>
  <c r="AF20" i="33"/>
  <c r="P20" i="33"/>
  <c r="O20" i="33"/>
  <c r="I20" i="33"/>
  <c r="M20" i="33" s="1"/>
  <c r="Z20" i="33" s="1"/>
  <c r="H20" i="33"/>
  <c r="E20" i="33"/>
  <c r="C20" i="33"/>
  <c r="AH19" i="33"/>
  <c r="AG19" i="33"/>
  <c r="AF19" i="33"/>
  <c r="P19" i="33"/>
  <c r="O19" i="33"/>
  <c r="I19" i="33"/>
  <c r="M19" i="33" s="1"/>
  <c r="Z19" i="33" s="1"/>
  <c r="H19" i="33"/>
  <c r="E19" i="33"/>
  <c r="C19" i="33"/>
  <c r="AH18" i="33"/>
  <c r="AG18" i="33"/>
  <c r="AF18" i="33"/>
  <c r="P18" i="33"/>
  <c r="O18" i="33"/>
  <c r="I18" i="33"/>
  <c r="M18" i="33" s="1"/>
  <c r="H18" i="33"/>
  <c r="E18" i="33"/>
  <c r="C18" i="33"/>
  <c r="AH17" i="33"/>
  <c r="AG17" i="33"/>
  <c r="AF17" i="33"/>
  <c r="X17" i="33"/>
  <c r="P17" i="33"/>
  <c r="O17" i="33"/>
  <c r="I17" i="33"/>
  <c r="M17" i="33" s="1"/>
  <c r="Y17" i="33" s="1"/>
  <c r="H17" i="33"/>
  <c r="E17" i="33"/>
  <c r="C17" i="33"/>
  <c r="AH16" i="33"/>
  <c r="AG16" i="33"/>
  <c r="AF16" i="33"/>
  <c r="X16" i="33"/>
  <c r="P16" i="33"/>
  <c r="O16" i="33"/>
  <c r="I16" i="33"/>
  <c r="M16" i="33" s="1"/>
  <c r="H16" i="33"/>
  <c r="E16" i="33"/>
  <c r="C16" i="33"/>
  <c r="AH15" i="33"/>
  <c r="AG15" i="33"/>
  <c r="AF15" i="33"/>
  <c r="P15" i="33"/>
  <c r="O15" i="33"/>
  <c r="I15" i="33"/>
  <c r="M15" i="33" s="1"/>
  <c r="Z15" i="33" s="1"/>
  <c r="H15" i="33"/>
  <c r="E15" i="33"/>
  <c r="C15" i="33"/>
  <c r="AH14" i="33"/>
  <c r="AG14" i="33"/>
  <c r="AF14" i="33"/>
  <c r="X14" i="33"/>
  <c r="P14" i="33"/>
  <c r="O14" i="33"/>
  <c r="I14" i="33"/>
  <c r="M14" i="33" s="1"/>
  <c r="H14" i="33"/>
  <c r="E14" i="33"/>
  <c r="C14" i="33"/>
  <c r="AH13" i="33"/>
  <c r="AG13" i="33"/>
  <c r="AF13" i="33"/>
  <c r="X13" i="33"/>
  <c r="P13" i="33"/>
  <c r="O13" i="33"/>
  <c r="I13" i="33"/>
  <c r="M13" i="33" s="1"/>
  <c r="H13" i="33"/>
  <c r="E13" i="33"/>
  <c r="C13" i="33"/>
  <c r="AH12" i="33"/>
  <c r="AG12" i="33"/>
  <c r="AF12" i="33"/>
  <c r="X12" i="33"/>
  <c r="P12" i="33"/>
  <c r="O12" i="33"/>
  <c r="I12" i="33"/>
  <c r="M12" i="33" s="1"/>
  <c r="H12" i="33"/>
  <c r="E12" i="33"/>
  <c r="C12" i="33"/>
  <c r="AH11" i="33"/>
  <c r="AG11" i="33"/>
  <c r="AF11" i="33"/>
  <c r="X11" i="33"/>
  <c r="P11" i="33"/>
  <c r="O11" i="33"/>
  <c r="I11" i="33"/>
  <c r="M11" i="33" s="1"/>
  <c r="H11" i="33"/>
  <c r="E11" i="33"/>
  <c r="C11" i="33"/>
  <c r="AH10" i="33"/>
  <c r="AG10" i="33"/>
  <c r="AF10" i="33"/>
  <c r="X10" i="33"/>
  <c r="P10" i="33"/>
  <c r="O10" i="33"/>
  <c r="I10" i="33"/>
  <c r="M10" i="33" s="1"/>
  <c r="H10" i="33"/>
  <c r="E10" i="33"/>
  <c r="C10" i="33"/>
  <c r="AH9" i="33"/>
  <c r="AG9" i="33"/>
  <c r="AF9" i="33"/>
  <c r="X9" i="33"/>
  <c r="P9" i="33"/>
  <c r="O9" i="33"/>
  <c r="I9" i="33"/>
  <c r="M9" i="33" s="1"/>
  <c r="H9" i="33"/>
  <c r="E9" i="33"/>
  <c r="C9" i="33"/>
  <c r="AH8" i="33"/>
  <c r="AG8" i="33"/>
  <c r="AF8" i="33"/>
  <c r="X8" i="33"/>
  <c r="P8" i="33"/>
  <c r="O8" i="33"/>
  <c r="I8" i="33"/>
  <c r="M8" i="33" s="1"/>
  <c r="H8" i="33"/>
  <c r="E8" i="33"/>
  <c r="C8" i="33"/>
  <c r="AH7" i="33"/>
  <c r="AG7" i="33"/>
  <c r="AF7" i="33"/>
  <c r="X7" i="33"/>
  <c r="P7" i="33"/>
  <c r="O7" i="33"/>
  <c r="I7" i="33"/>
  <c r="M7" i="33" s="1"/>
  <c r="H7" i="33"/>
  <c r="E7" i="33"/>
  <c r="C7" i="33"/>
  <c r="AH6" i="33"/>
  <c r="AG6" i="33"/>
  <c r="AF6" i="33"/>
  <c r="X6" i="33"/>
  <c r="P6" i="33"/>
  <c r="O6" i="33"/>
  <c r="I6" i="33"/>
  <c r="M6" i="33" s="1"/>
  <c r="H6" i="33"/>
  <c r="E6" i="33"/>
  <c r="C6" i="33"/>
  <c r="AH5" i="33"/>
  <c r="AG5" i="33"/>
  <c r="AF5" i="33"/>
  <c r="X5" i="33"/>
  <c r="P5" i="33"/>
  <c r="O5" i="33"/>
  <c r="I5" i="33"/>
  <c r="M5" i="33" s="1"/>
  <c r="H5" i="33"/>
  <c r="E5" i="33"/>
  <c r="C5" i="33"/>
  <c r="K2" i="33"/>
  <c r="I2" i="33"/>
  <c r="I3" i="33" s="1"/>
  <c r="Y13" i="33" l="1"/>
  <c r="Y16" i="33"/>
  <c r="Y8" i="33"/>
  <c r="Y21" i="33"/>
  <c r="Y7" i="33"/>
  <c r="E772" i="33"/>
  <c r="X772" i="33"/>
  <c r="Y568" i="33"/>
  <c r="Z16" i="33"/>
  <c r="Z8" i="33"/>
  <c r="Z555" i="33"/>
  <c r="Z103" i="33"/>
  <c r="Z566" i="33"/>
  <c r="Z572" i="33"/>
  <c r="Y32" i="33"/>
  <c r="Z79" i="33"/>
  <c r="Y564" i="33"/>
  <c r="Y570" i="33"/>
  <c r="Z9" i="33"/>
  <c r="Y20" i="33"/>
  <c r="Z26" i="33"/>
  <c r="Z28" i="33"/>
  <c r="Z91" i="33"/>
  <c r="Y39" i="33"/>
  <c r="Y44" i="33"/>
  <c r="Y380" i="33"/>
  <c r="Z55" i="33"/>
  <c r="Y115" i="33"/>
  <c r="Z67" i="33"/>
  <c r="Y65" i="33"/>
  <c r="Z65" i="33"/>
  <c r="Y101" i="33"/>
  <c r="Z101" i="33"/>
  <c r="Y41" i="33"/>
  <c r="Y60" i="33"/>
  <c r="Y573" i="33"/>
  <c r="Y96" i="33"/>
  <c r="Z12" i="33"/>
  <c r="Y12" i="33"/>
  <c r="Z46" i="33"/>
  <c r="Y46" i="33"/>
  <c r="Y77" i="33"/>
  <c r="Z77" i="33"/>
  <c r="Y571" i="33"/>
  <c r="Y72" i="33"/>
  <c r="Y556" i="33"/>
  <c r="Y569" i="33"/>
  <c r="Z13" i="33"/>
  <c r="Z34" i="33"/>
  <c r="Y34" i="33"/>
  <c r="Y53" i="33"/>
  <c r="Z53" i="33"/>
  <c r="Y89" i="33"/>
  <c r="Z89" i="33"/>
  <c r="Z432" i="33"/>
  <c r="Y432" i="33"/>
  <c r="Y567" i="33"/>
  <c r="Y48" i="33"/>
  <c r="Y84" i="33"/>
  <c r="Z550" i="33"/>
  <c r="Y550" i="33"/>
  <c r="Y565" i="33"/>
  <c r="Y585" i="33"/>
  <c r="Z11" i="33"/>
  <c r="Y58" i="33"/>
  <c r="Y70" i="33"/>
  <c r="Y82" i="33"/>
  <c r="Y94" i="33"/>
  <c r="Y106" i="33"/>
  <c r="Y135" i="33"/>
  <c r="Y557" i="33"/>
  <c r="Y560" i="33"/>
  <c r="Z10" i="33"/>
  <c r="Y22" i="33"/>
  <c r="Z22" i="33"/>
  <c r="Y47" i="33"/>
  <c r="Z47" i="33"/>
  <c r="Z18" i="33"/>
  <c r="Y18" i="33"/>
  <c r="Y29" i="33"/>
  <c r="Z29" i="33"/>
  <c r="Z6" i="33"/>
  <c r="Y6" i="33"/>
  <c r="Z7" i="33"/>
  <c r="Y14" i="33"/>
  <c r="Z14" i="33"/>
  <c r="Z30" i="33"/>
  <c r="Y30" i="33"/>
  <c r="Y23" i="33"/>
  <c r="Z23" i="33"/>
  <c r="Y5" i="33"/>
  <c r="Z5" i="33"/>
  <c r="Z21" i="33"/>
  <c r="Z24" i="33"/>
  <c r="Y24" i="33"/>
  <c r="Y56" i="33"/>
  <c r="Z75" i="33"/>
  <c r="Z87" i="33"/>
  <c r="Y92" i="33"/>
  <c r="Y104" i="33"/>
  <c r="Y109" i="33"/>
  <c r="Y548" i="33"/>
  <c r="Y576" i="33"/>
  <c r="Y9" i="33"/>
  <c r="Z61" i="33"/>
  <c r="Y90" i="33"/>
  <c r="Y113" i="33"/>
  <c r="Z513" i="33"/>
  <c r="Y513" i="33"/>
  <c r="Y10" i="33"/>
  <c r="Y19" i="33"/>
  <c r="Y25" i="33"/>
  <c r="Y27" i="33"/>
  <c r="Y33" i="33"/>
  <c r="Y38" i="33"/>
  <c r="Z40" i="33"/>
  <c r="Y45" i="33"/>
  <c r="Y52" i="33"/>
  <c r="Z54" i="33"/>
  <c r="Z59" i="33"/>
  <c r="Y64" i="33"/>
  <c r="Z66" i="33"/>
  <c r="Z71" i="33"/>
  <c r="Y76" i="33"/>
  <c r="Z78" i="33"/>
  <c r="Z83" i="33"/>
  <c r="Y88" i="33"/>
  <c r="Z95" i="33"/>
  <c r="Y100" i="33"/>
  <c r="Z102" i="33"/>
  <c r="Z107" i="33"/>
  <c r="Y448" i="33"/>
  <c r="Y15" i="33"/>
  <c r="Z17" i="33"/>
  <c r="Y31" i="33"/>
  <c r="Y36" i="33"/>
  <c r="Y43" i="33"/>
  <c r="Y50" i="33"/>
  <c r="Z57" i="33"/>
  <c r="Y62" i="33"/>
  <c r="Z69" i="33"/>
  <c r="Y74" i="33"/>
  <c r="Z81" i="33"/>
  <c r="Y86" i="33"/>
  <c r="Z93" i="33"/>
  <c r="Y98" i="33"/>
  <c r="Z105" i="33"/>
  <c r="Y116" i="33"/>
  <c r="Z269" i="33"/>
  <c r="Y553" i="33"/>
  <c r="Y558" i="33"/>
  <c r="I772" i="33"/>
  <c r="M772" i="33" s="1"/>
  <c r="Z772" i="33" s="1"/>
  <c r="Y37" i="33"/>
  <c r="Y42" i="33"/>
  <c r="Z51" i="33"/>
  <c r="Z63" i="33"/>
  <c r="Y68" i="33"/>
  <c r="Y80" i="33"/>
  <c r="Z99" i="33"/>
  <c r="Y35" i="33"/>
  <c r="Z49" i="33"/>
  <c r="Z73" i="33"/>
  <c r="Z85" i="33"/>
  <c r="Z97" i="33"/>
  <c r="Y11" i="33"/>
  <c r="Z446" i="33"/>
  <c r="Z582" i="33"/>
  <c r="Y582" i="33"/>
  <c r="Y772" i="33" l="1"/>
  <c r="W24" i="32" l="1"/>
  <c r="V24" i="32"/>
  <c r="U24" i="32"/>
  <c r="L24" i="32"/>
  <c r="K24" i="32"/>
  <c r="J24" i="32"/>
  <c r="I24" i="32"/>
  <c r="E24" i="32"/>
  <c r="M23" i="32"/>
  <c r="M22" i="32"/>
  <c r="M21" i="32"/>
  <c r="M20" i="32"/>
  <c r="M19" i="32"/>
  <c r="M18" i="32"/>
  <c r="M17" i="32"/>
  <c r="M16" i="32"/>
  <c r="M15" i="32"/>
  <c r="M14" i="32"/>
  <c r="M13" i="32"/>
  <c r="M12" i="32"/>
  <c r="M11" i="32"/>
  <c r="M10" i="32"/>
  <c r="M9" i="32"/>
  <c r="M8" i="32"/>
  <c r="M7" i="32"/>
  <c r="M6" i="32"/>
  <c r="M5" i="32"/>
  <c r="K2" i="32"/>
  <c r="I2" i="32"/>
  <c r="I3" i="32" s="1"/>
  <c r="M24" i="32" l="1"/>
  <c r="Y85" i="29" l="1"/>
  <c r="X85" i="29"/>
  <c r="L85" i="29"/>
  <c r="K85" i="29"/>
  <c r="J85" i="29"/>
  <c r="I85" i="29"/>
  <c r="E85" i="29"/>
  <c r="M84" i="29"/>
  <c r="Z84" i="29" s="1"/>
  <c r="M83" i="29"/>
  <c r="Z83" i="29" s="1"/>
  <c r="M82" i="29"/>
  <c r="Z82" i="29" s="1"/>
  <c r="M81" i="29"/>
  <c r="Z81" i="29" s="1"/>
  <c r="M80" i="29"/>
  <c r="Z80" i="29" s="1"/>
  <c r="M79" i="29"/>
  <c r="Z79" i="29" s="1"/>
  <c r="M78" i="29"/>
  <c r="Z78" i="29" s="1"/>
  <c r="M75" i="29"/>
  <c r="M74" i="29"/>
  <c r="Z74" i="29" s="1"/>
  <c r="M73" i="29"/>
  <c r="Z73" i="29" s="1"/>
  <c r="M72" i="29"/>
  <c r="Z72" i="29" s="1"/>
  <c r="M71" i="29"/>
  <c r="Z71" i="29" s="1"/>
  <c r="M70" i="29"/>
  <c r="Z70" i="29" s="1"/>
  <c r="M69" i="29"/>
  <c r="Z69" i="29" s="1"/>
  <c r="M68" i="29"/>
  <c r="Z68" i="29" s="1"/>
  <c r="M67" i="29"/>
  <c r="Z67" i="29" s="1"/>
  <c r="M66" i="29"/>
  <c r="Z66" i="29" s="1"/>
  <c r="M65" i="29"/>
  <c r="Z65" i="29" s="1"/>
  <c r="M64" i="29"/>
  <c r="Z64" i="29" s="1"/>
  <c r="M63" i="29"/>
  <c r="Z63" i="29" s="1"/>
  <c r="Z62" i="29"/>
  <c r="M62" i="29"/>
  <c r="M61" i="29"/>
  <c r="Z61" i="29" s="1"/>
  <c r="M60" i="29"/>
  <c r="Z60" i="29" s="1"/>
  <c r="M59" i="29"/>
  <c r="Z59" i="29" s="1"/>
  <c r="M58" i="29"/>
  <c r="Z58" i="29" s="1"/>
  <c r="M57" i="29"/>
  <c r="M56" i="29"/>
  <c r="M55" i="29"/>
  <c r="M54" i="29"/>
  <c r="M53" i="29"/>
  <c r="M52" i="29"/>
  <c r="M51" i="29"/>
  <c r="M50" i="29"/>
  <c r="M49" i="29"/>
  <c r="M43" i="29"/>
  <c r="M42" i="29"/>
  <c r="M41" i="29"/>
  <c r="Z41" i="29" s="1"/>
  <c r="M40" i="29"/>
  <c r="Z40" i="29" s="1"/>
  <c r="M39" i="29"/>
  <c r="Z39" i="29" s="1"/>
  <c r="M38" i="29"/>
  <c r="Z38" i="29" s="1"/>
  <c r="M37" i="29"/>
  <c r="Z37" i="29" s="1"/>
  <c r="M36" i="29"/>
  <c r="Z36" i="29" s="1"/>
  <c r="M34" i="29"/>
  <c r="Z34" i="29" s="1"/>
  <c r="M33" i="29"/>
  <c r="Z33" i="29" s="1"/>
  <c r="M32" i="29"/>
  <c r="Z32" i="29" s="1"/>
  <c r="M31" i="29"/>
  <c r="M30" i="29"/>
  <c r="Z30" i="29" s="1"/>
  <c r="M26" i="29"/>
  <c r="Z26" i="29" s="1"/>
  <c r="M25" i="29"/>
  <c r="Z25" i="29" s="1"/>
  <c r="M24" i="29"/>
  <c r="Z24" i="29" s="1"/>
  <c r="M23" i="29"/>
  <c r="Z23" i="29" s="1"/>
  <c r="M22" i="29"/>
  <c r="Z22" i="29" s="1"/>
  <c r="M18" i="29"/>
  <c r="M17" i="29"/>
  <c r="M16" i="29"/>
  <c r="Z16" i="29" s="1"/>
  <c r="M15" i="29"/>
  <c r="Z15" i="29" s="1"/>
  <c r="M14" i="29"/>
  <c r="Z14" i="29" s="1"/>
  <c r="M13" i="29"/>
  <c r="Z13" i="29" s="1"/>
  <c r="M12" i="29"/>
  <c r="Z12" i="29" s="1"/>
  <c r="M11" i="29"/>
  <c r="M10" i="29"/>
  <c r="Z10" i="29" s="1"/>
  <c r="M9" i="29"/>
  <c r="Z9" i="29" s="1"/>
  <c r="M8" i="29"/>
  <c r="Z8" i="29" s="1"/>
  <c r="M7" i="29"/>
  <c r="M6" i="29"/>
  <c r="M5" i="29"/>
  <c r="Z5" i="29" s="1"/>
  <c r="K2" i="29"/>
  <c r="I3" i="29"/>
  <c r="M85" i="29" l="1"/>
  <c r="L55" i="21"/>
  <c r="X21" i="27" l="1"/>
  <c r="L21" i="27"/>
  <c r="K21" i="27"/>
  <c r="I21" i="27"/>
  <c r="E21" i="27"/>
  <c r="M20" i="27"/>
  <c r="Y20" i="27" s="1"/>
  <c r="M19" i="27"/>
  <c r="Y19" i="27" s="1"/>
  <c r="M18" i="27"/>
  <c r="Z18" i="27" s="1"/>
  <c r="M17" i="27"/>
  <c r="Y17" i="27" s="1"/>
  <c r="M16" i="27"/>
  <c r="Z16" i="27" s="1"/>
  <c r="M15" i="27"/>
  <c r="Y15" i="27" s="1"/>
  <c r="M14" i="27"/>
  <c r="Z14" i="27" s="1"/>
  <c r="M13" i="27"/>
  <c r="Y13" i="27" s="1"/>
  <c r="M12" i="27"/>
  <c r="Z12" i="27" s="1"/>
  <c r="M11" i="27"/>
  <c r="Y11" i="27" s="1"/>
  <c r="M10" i="27"/>
  <c r="Z10" i="27" s="1"/>
  <c r="M9" i="27"/>
  <c r="Y9" i="27" s="1"/>
  <c r="M8" i="27"/>
  <c r="Z8" i="27" s="1"/>
  <c r="M7" i="27"/>
  <c r="Y7" i="27" s="1"/>
  <c r="M6" i="27"/>
  <c r="M5" i="27"/>
  <c r="Y5" i="27" s="1"/>
  <c r="K2" i="27"/>
  <c r="I2" i="27"/>
  <c r="I3" i="27" s="1"/>
  <c r="M21" i="27" l="1"/>
  <c r="Z5" i="27"/>
  <c r="Z9" i="27"/>
  <c r="Z13" i="27"/>
  <c r="Z17" i="27"/>
  <c r="Z7" i="27"/>
  <c r="Z11" i="27"/>
  <c r="Z15" i="27"/>
  <c r="Z19" i="27"/>
  <c r="Z20" i="27"/>
  <c r="Y6" i="27"/>
  <c r="Y8" i="27"/>
  <c r="Y10" i="27"/>
  <c r="Y12" i="27"/>
  <c r="Y14" i="27"/>
  <c r="Y16" i="27"/>
  <c r="Y18" i="27"/>
  <c r="Z6" i="27"/>
  <c r="Y21" i="27" l="1"/>
  <c r="I14" i="26"/>
  <c r="Z164" i="20"/>
  <c r="M6" i="20"/>
  <c r="M7" i="20"/>
  <c r="M8" i="20"/>
  <c r="M9" i="20"/>
  <c r="M10" i="20"/>
  <c r="M11" i="20"/>
  <c r="M12" i="20"/>
  <c r="M13" i="20"/>
  <c r="M14" i="20"/>
  <c r="M15" i="20"/>
  <c r="M16" i="20"/>
  <c r="M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7" i="20"/>
  <c r="M98" i="20"/>
  <c r="M99" i="20"/>
  <c r="M100" i="20"/>
  <c r="M102" i="20"/>
  <c r="M103" i="20"/>
  <c r="M104" i="20"/>
  <c r="M105" i="20"/>
  <c r="M106" i="20"/>
  <c r="M107" i="20"/>
  <c r="M108" i="20"/>
  <c r="M109" i="20"/>
  <c r="M110" i="20"/>
  <c r="M111" i="20"/>
  <c r="M112" i="20"/>
  <c r="M113" i="20"/>
  <c r="M114" i="20"/>
  <c r="M115" i="20"/>
  <c r="M116" i="20"/>
  <c r="M117" i="20"/>
  <c r="M118" i="20"/>
  <c r="M119" i="20"/>
  <c r="M120" i="20"/>
  <c r="M121" i="20"/>
  <c r="M122" i="20"/>
  <c r="M124" i="20"/>
  <c r="M125" i="20"/>
  <c r="M126" i="20"/>
  <c r="M127" i="20"/>
  <c r="M128" i="20"/>
  <c r="M129" i="20"/>
  <c r="M130" i="20"/>
  <c r="M131" i="20"/>
  <c r="M132" i="20"/>
  <c r="M133" i="20"/>
  <c r="M134" i="20"/>
  <c r="M135" i="20"/>
  <c r="M136" i="20"/>
  <c r="M137" i="20"/>
  <c r="M138" i="20"/>
  <c r="M139" i="20"/>
  <c r="M140" i="20"/>
  <c r="M141" i="20"/>
  <c r="M142" i="20"/>
  <c r="M143" i="20"/>
  <c r="M144" i="20"/>
  <c r="M145" i="20"/>
  <c r="M146" i="20"/>
  <c r="M147" i="20"/>
  <c r="M148" i="20"/>
  <c r="M149" i="20"/>
  <c r="M150" i="20"/>
  <c r="M151" i="20"/>
  <c r="M152" i="20"/>
  <c r="M153" i="20"/>
  <c r="M154" i="20"/>
  <c r="M155" i="20"/>
  <c r="M156" i="20"/>
  <c r="M157" i="20"/>
  <c r="M158" i="20"/>
  <c r="M159" i="20"/>
  <c r="M160" i="20"/>
  <c r="M161" i="20"/>
  <c r="M162" i="20"/>
  <c r="M163" i="20"/>
  <c r="M164" i="20"/>
  <c r="M165" i="20"/>
  <c r="M166" i="20"/>
  <c r="M167" i="20"/>
  <c r="M168" i="20"/>
  <c r="M169" i="20"/>
  <c r="M170" i="20"/>
  <c r="M171" i="20"/>
  <c r="M172" i="20"/>
  <c r="M173" i="20"/>
  <c r="M174" i="20"/>
  <c r="M175" i="20"/>
  <c r="M176" i="20"/>
  <c r="M177" i="20"/>
  <c r="M178" i="20"/>
  <c r="M179" i="20"/>
  <c r="M180" i="20"/>
  <c r="M181" i="20"/>
  <c r="M182" i="20"/>
  <c r="M183" i="20"/>
  <c r="M184" i="20"/>
  <c r="M185" i="20"/>
  <c r="M186" i="20"/>
  <c r="M187" i="20"/>
  <c r="M188" i="20"/>
  <c r="M189" i="20"/>
  <c r="M190" i="20"/>
  <c r="M191" i="20"/>
  <c r="M192" i="20"/>
  <c r="M193" i="20"/>
  <c r="M194" i="20"/>
  <c r="M195" i="20"/>
  <c r="M196" i="20"/>
  <c r="M197" i="20"/>
  <c r="M198" i="20"/>
  <c r="M199" i="20"/>
  <c r="M200" i="20"/>
  <c r="M201" i="20"/>
  <c r="M202" i="20"/>
  <c r="M203" i="20"/>
  <c r="M204" i="20"/>
  <c r="M205" i="20"/>
  <c r="M206" i="20"/>
  <c r="M207" i="20"/>
  <c r="M208" i="20"/>
  <c r="M209" i="20"/>
  <c r="M210" i="20"/>
  <c r="M211" i="20"/>
  <c r="M212" i="20"/>
  <c r="M213" i="20"/>
  <c r="M214" i="20"/>
  <c r="M215" i="20"/>
  <c r="M216" i="20"/>
  <c r="M217" i="20"/>
  <c r="M218" i="20"/>
  <c r="M219" i="20"/>
  <c r="M220" i="20"/>
  <c r="M221" i="20"/>
  <c r="M222" i="20"/>
  <c r="M223" i="20"/>
  <c r="M224" i="20"/>
  <c r="M225" i="20"/>
  <c r="M226" i="20"/>
  <c r="M227" i="20"/>
  <c r="M228" i="20"/>
  <c r="M229" i="20"/>
  <c r="M230" i="20"/>
  <c r="M231" i="20"/>
  <c r="M232" i="20"/>
  <c r="M233" i="20"/>
  <c r="M234" i="20"/>
  <c r="M235" i="20"/>
  <c r="M236" i="20"/>
  <c r="M237" i="20"/>
  <c r="M238" i="20"/>
  <c r="M239" i="20"/>
  <c r="M240" i="20"/>
  <c r="M241" i="20"/>
  <c r="M242" i="20"/>
  <c r="M243" i="20"/>
  <c r="M244" i="20"/>
  <c r="M245" i="20"/>
  <c r="M246" i="20"/>
  <c r="M247" i="20"/>
  <c r="M248" i="20"/>
  <c r="M249" i="20"/>
  <c r="M250" i="20"/>
  <c r="M251" i="20"/>
  <c r="M252" i="20"/>
  <c r="M253" i="20"/>
  <c r="M254" i="20"/>
  <c r="M255" i="20"/>
  <c r="M256" i="20"/>
  <c r="M257" i="20"/>
  <c r="M258" i="20"/>
  <c r="M259" i="20"/>
  <c r="M260" i="20"/>
  <c r="M261" i="20"/>
  <c r="M262" i="20"/>
  <c r="M263" i="20"/>
  <c r="M264" i="20"/>
  <c r="M265" i="20"/>
  <c r="M266" i="20"/>
  <c r="M267" i="20"/>
  <c r="M268" i="20"/>
  <c r="M269" i="20"/>
  <c r="M270" i="20"/>
  <c r="M271" i="20"/>
  <c r="M272" i="20"/>
  <c r="M273" i="20"/>
  <c r="M274" i="20"/>
  <c r="M275" i="20"/>
  <c r="M276" i="20"/>
  <c r="M277" i="20"/>
  <c r="M278" i="20"/>
  <c r="M279" i="20"/>
  <c r="M280" i="20"/>
  <c r="M281" i="20"/>
  <c r="M282" i="20"/>
  <c r="M283" i="20"/>
  <c r="M284" i="20"/>
  <c r="M285" i="20"/>
  <c r="M286" i="20"/>
  <c r="M287" i="20"/>
  <c r="M288" i="20"/>
  <c r="M289" i="20"/>
  <c r="M290" i="20"/>
  <c r="M291" i="20"/>
  <c r="M292" i="20"/>
  <c r="M293" i="20"/>
  <c r="M294" i="20"/>
  <c r="M295" i="20"/>
  <c r="M296" i="20"/>
  <c r="M297" i="20"/>
  <c r="M298" i="20"/>
  <c r="M299" i="20"/>
  <c r="M300" i="20"/>
  <c r="M301" i="20"/>
  <c r="M302" i="20"/>
  <c r="M303" i="20"/>
  <c r="M304" i="20"/>
  <c r="M305" i="20"/>
  <c r="M306" i="20"/>
  <c r="M308" i="20"/>
  <c r="M311" i="20"/>
  <c r="M312" i="20"/>
  <c r="M313" i="20"/>
  <c r="M314" i="20"/>
  <c r="M316" i="20"/>
  <c r="M317" i="20"/>
  <c r="M321" i="20"/>
  <c r="M322" i="20"/>
  <c r="M324" i="20"/>
  <c r="M325" i="20"/>
  <c r="M326" i="20"/>
  <c r="M327" i="20"/>
  <c r="M329" i="20"/>
  <c r="M330" i="20"/>
  <c r="M331" i="20"/>
  <c r="M332" i="20"/>
  <c r="M333" i="20"/>
  <c r="M334" i="20"/>
  <c r="M335" i="20"/>
  <c r="M336" i="20"/>
  <c r="M337" i="20"/>
  <c r="M338" i="20"/>
  <c r="M339" i="20"/>
  <c r="M340" i="20"/>
  <c r="M341" i="20"/>
  <c r="M342" i="20"/>
  <c r="M343" i="20"/>
  <c r="M344" i="20"/>
  <c r="M345" i="20"/>
  <c r="M346" i="20"/>
  <c r="M347" i="20"/>
  <c r="M348" i="20"/>
  <c r="M349" i="20"/>
  <c r="M350" i="20"/>
  <c r="M351" i="20"/>
  <c r="M352" i="20"/>
  <c r="M353" i="20"/>
  <c r="M354" i="20"/>
  <c r="M355" i="20"/>
  <c r="M356" i="20"/>
  <c r="M357" i="20"/>
  <c r="M358" i="20"/>
  <c r="M359" i="20"/>
  <c r="Y360" i="20"/>
  <c r="Z360" i="20"/>
  <c r="I55" i="21"/>
  <c r="Y76"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5" i="19"/>
  <c r="X45" i="19"/>
  <c r="X76" i="19" s="1"/>
  <c r="V14" i="26"/>
  <c r="U14" i="26"/>
  <c r="L14" i="26"/>
  <c r="K14" i="26"/>
  <c r="M14" i="26" s="1"/>
  <c r="J14" i="26"/>
  <c r="E14" i="26"/>
  <c r="M13" i="26"/>
  <c r="X13" i="26" s="1"/>
  <c r="M12" i="26"/>
  <c r="X12" i="26" s="1"/>
  <c r="M11" i="26"/>
  <c r="X11" i="26" s="1"/>
  <c r="M10" i="26"/>
  <c r="X10" i="26" s="1"/>
  <c r="M9" i="26"/>
  <c r="W9" i="26" s="1"/>
  <c r="M8" i="26"/>
  <c r="X8" i="26" s="1"/>
  <c r="M7" i="26"/>
  <c r="X7" i="26" s="1"/>
  <c r="M6" i="26"/>
  <c r="X6" i="26" s="1"/>
  <c r="M5" i="26"/>
  <c r="X5" i="26" s="1"/>
  <c r="K2" i="26"/>
  <c r="I2" i="26"/>
  <c r="I3" i="26" s="1"/>
  <c r="W7" i="26" l="1"/>
  <c r="X9" i="26"/>
  <c r="W5" i="26"/>
  <c r="M76" i="19"/>
  <c r="W12" i="26"/>
  <c r="W6" i="26"/>
  <c r="W8" i="26"/>
  <c r="W13" i="26"/>
  <c r="W14" i="26" l="1"/>
  <c r="E21" i="24"/>
  <c r="X21" i="24" l="1"/>
  <c r="L21" i="24"/>
  <c r="K21" i="24"/>
  <c r="J21" i="24"/>
  <c r="I21" i="24"/>
  <c r="M20" i="24"/>
  <c r="Z20" i="24" s="1"/>
  <c r="M19" i="24"/>
  <c r="Z19" i="24" s="1"/>
  <c r="M18" i="24"/>
  <c r="Y18" i="24" s="1"/>
  <c r="M17" i="24"/>
  <c r="Z17" i="24" s="1"/>
  <c r="M16" i="24"/>
  <c r="Z16" i="24" s="1"/>
  <c r="M15" i="24"/>
  <c r="Z15" i="24" s="1"/>
  <c r="M14" i="24"/>
  <c r="Z14" i="24" s="1"/>
  <c r="M13" i="24"/>
  <c r="Z13" i="24" s="1"/>
  <c r="M12" i="24"/>
  <c r="Y12" i="24" s="1"/>
  <c r="M11" i="24"/>
  <c r="Z11" i="24" s="1"/>
  <c r="M10" i="24"/>
  <c r="Z10" i="24" s="1"/>
  <c r="M9" i="24"/>
  <c r="Z9" i="24" s="1"/>
  <c r="M8" i="24"/>
  <c r="Z8" i="24" s="1"/>
  <c r="M7" i="24"/>
  <c r="Z7" i="24" s="1"/>
  <c r="M6" i="24"/>
  <c r="Y6" i="24" s="1"/>
  <c r="M5" i="24"/>
  <c r="K2" i="24"/>
  <c r="I2" i="24"/>
  <c r="I3" i="24" s="1"/>
  <c r="Z6" i="24" l="1"/>
  <c r="Z12" i="24"/>
  <c r="Z18" i="24"/>
  <c r="Y10" i="24"/>
  <c r="M21" i="24"/>
  <c r="Y8" i="24"/>
  <c r="Y14" i="24"/>
  <c r="Y20" i="24"/>
  <c r="Y16" i="24"/>
  <c r="Y5" i="24"/>
  <c r="Y7" i="24"/>
  <c r="Y9" i="24"/>
  <c r="Y11" i="24"/>
  <c r="Y13" i="24"/>
  <c r="Y15" i="24"/>
  <c r="Y17" i="24"/>
  <c r="Y19" i="24"/>
  <c r="Z5" i="24"/>
  <c r="Y21" i="24" l="1"/>
  <c r="E28" i="17" l="1"/>
  <c r="I28" i="17"/>
  <c r="X55" i="21" l="1"/>
  <c r="K55" i="21"/>
  <c r="J55" i="21"/>
  <c r="E55" i="21"/>
  <c r="M54" i="21"/>
  <c r="Z54" i="21" s="1"/>
  <c r="Z53" i="21"/>
  <c r="M53" i="21"/>
  <c r="Y53" i="21" s="1"/>
  <c r="M52" i="21"/>
  <c r="Z52" i="21" s="1"/>
  <c r="M51" i="21"/>
  <c r="Y51" i="21" s="1"/>
  <c r="M50" i="21"/>
  <c r="Z50" i="21" s="1"/>
  <c r="M49" i="21"/>
  <c r="Y49" i="21" s="1"/>
  <c r="M48" i="21"/>
  <c r="Z48" i="21" s="1"/>
  <c r="M47" i="21"/>
  <c r="Y47" i="21" s="1"/>
  <c r="M46" i="21"/>
  <c r="Z46" i="21" s="1"/>
  <c r="M45" i="21"/>
  <c r="Y45" i="21" s="1"/>
  <c r="M44" i="21"/>
  <c r="Z44" i="21" s="1"/>
  <c r="M43" i="21"/>
  <c r="Y43" i="21" s="1"/>
  <c r="M42" i="21"/>
  <c r="Z42" i="21" s="1"/>
  <c r="M41" i="21"/>
  <c r="Y41" i="21" s="1"/>
  <c r="M40" i="21"/>
  <c r="Z40" i="21" s="1"/>
  <c r="M39" i="21"/>
  <c r="Y39" i="21" s="1"/>
  <c r="M38" i="21"/>
  <c r="Z38" i="21" s="1"/>
  <c r="M37" i="21"/>
  <c r="Y37" i="21" s="1"/>
  <c r="M36" i="21"/>
  <c r="Z36" i="21" s="1"/>
  <c r="M35" i="21"/>
  <c r="Y35" i="21" s="1"/>
  <c r="M34" i="21"/>
  <c r="Z34" i="21" s="1"/>
  <c r="M33" i="21"/>
  <c r="Y33" i="21" s="1"/>
  <c r="M32" i="21"/>
  <c r="Z32" i="21" s="1"/>
  <c r="M31" i="21"/>
  <c r="Y31" i="21" s="1"/>
  <c r="M30" i="21"/>
  <c r="Z30" i="21" s="1"/>
  <c r="Z29" i="21"/>
  <c r="M29" i="21"/>
  <c r="Y29" i="21" s="1"/>
  <c r="M28" i="21"/>
  <c r="Z28" i="21" s="1"/>
  <c r="M27" i="21"/>
  <c r="Y27" i="21" s="1"/>
  <c r="M26" i="21"/>
  <c r="Z26" i="21" s="1"/>
  <c r="M25" i="21"/>
  <c r="Y25" i="21" s="1"/>
  <c r="M24" i="21"/>
  <c r="Z24" i="21" s="1"/>
  <c r="M23" i="21"/>
  <c r="Y23" i="21" s="1"/>
  <c r="M22" i="21"/>
  <c r="Z22" i="21" s="1"/>
  <c r="M21" i="21"/>
  <c r="Y21" i="21" s="1"/>
  <c r="M20" i="21"/>
  <c r="Y20" i="21" s="1"/>
  <c r="M19" i="21"/>
  <c r="Y19" i="21" s="1"/>
  <c r="M18" i="21"/>
  <c r="Z18" i="21" s="1"/>
  <c r="M17" i="21"/>
  <c r="Y17" i="21" s="1"/>
  <c r="M16" i="21"/>
  <c r="Y16" i="21" s="1"/>
  <c r="M15" i="21"/>
  <c r="Y15" i="21" s="1"/>
  <c r="M14" i="21"/>
  <c r="Z14" i="21" s="1"/>
  <c r="M13" i="21"/>
  <c r="Y13" i="21" s="1"/>
  <c r="M12" i="21"/>
  <c r="Z12" i="21" s="1"/>
  <c r="M11" i="21"/>
  <c r="Y11" i="21" s="1"/>
  <c r="M10" i="21"/>
  <c r="Z10" i="21" s="1"/>
  <c r="M9" i="21"/>
  <c r="Y9" i="21" s="1"/>
  <c r="M8" i="21"/>
  <c r="Z8" i="21" s="1"/>
  <c r="M7" i="21"/>
  <c r="Y7" i="21" s="1"/>
  <c r="M6" i="21"/>
  <c r="Z5" i="21"/>
  <c r="M5" i="21"/>
  <c r="Y5" i="21" s="1"/>
  <c r="I3" i="21"/>
  <c r="Z25" i="21" l="1"/>
  <c r="Z21" i="21"/>
  <c r="Z17" i="21"/>
  <c r="Z41" i="21"/>
  <c r="Z13" i="21"/>
  <c r="Z37" i="21"/>
  <c r="Z49" i="21"/>
  <c r="Z45" i="21"/>
  <c r="Z9" i="21"/>
  <c r="Z33" i="21"/>
  <c r="Z31" i="21"/>
  <c r="Z7" i="21"/>
  <c r="Z11" i="21"/>
  <c r="Z15" i="21"/>
  <c r="Z19" i="21"/>
  <c r="Z23" i="21"/>
  <c r="Z27" i="21"/>
  <c r="Z35" i="21"/>
  <c r="Z39" i="21"/>
  <c r="Z43" i="21"/>
  <c r="Z47" i="21"/>
  <c r="Z51" i="21"/>
  <c r="M55" i="21"/>
  <c r="Y8" i="21"/>
  <c r="Y12" i="21"/>
  <c r="Y18" i="21"/>
  <c r="Y22" i="21"/>
  <c r="Y26" i="21"/>
  <c r="Y30" i="21"/>
  <c r="Y34" i="21"/>
  <c r="Y38" i="21"/>
  <c r="Y42" i="21"/>
  <c r="Y44" i="21"/>
  <c r="Y48" i="21"/>
  <c r="Y50" i="21"/>
  <c r="Y52" i="21"/>
  <c r="Y54" i="21"/>
  <c r="Z16" i="21"/>
  <c r="Z20" i="21"/>
  <c r="Y6" i="21"/>
  <c r="Y10" i="21"/>
  <c r="Y14" i="21"/>
  <c r="Y24" i="21"/>
  <c r="Y28" i="21"/>
  <c r="Y32" i="21"/>
  <c r="Y36" i="21"/>
  <c r="Y40" i="21"/>
  <c r="Y46" i="21"/>
  <c r="Z6" i="21"/>
  <c r="Y55" i="21" l="1"/>
  <c r="X360" i="20"/>
  <c r="L360" i="20"/>
  <c r="K360" i="20"/>
  <c r="J360" i="20"/>
  <c r="E360" i="20"/>
  <c r="I328" i="20"/>
  <c r="M328" i="20" s="1"/>
  <c r="I323" i="20"/>
  <c r="M323" i="20" s="1"/>
  <c r="I320" i="20"/>
  <c r="M320" i="20" s="1"/>
  <c r="I319" i="20"/>
  <c r="M319" i="20" s="1"/>
  <c r="I318" i="20"/>
  <c r="M318" i="20" s="1"/>
  <c r="I315" i="20"/>
  <c r="M315" i="20" s="1"/>
  <c r="I310" i="20"/>
  <c r="M310" i="20" s="1"/>
  <c r="I309" i="20"/>
  <c r="M309" i="20" s="1"/>
  <c r="I307" i="20"/>
  <c r="M307" i="20" s="1"/>
  <c r="I123" i="20"/>
  <c r="M123" i="20" s="1"/>
  <c r="I101" i="20"/>
  <c r="M101" i="20" s="1"/>
  <c r="I96" i="20"/>
  <c r="M96" i="20" s="1"/>
  <c r="M5" i="20"/>
  <c r="I3" i="20"/>
  <c r="I360" i="20" l="1"/>
  <c r="M360" i="20" s="1"/>
  <c r="I3" i="19" l="1"/>
  <c r="L28" i="17" l="1"/>
  <c r="K28" i="17"/>
  <c r="J28" i="17"/>
  <c r="M27" i="17"/>
  <c r="Z27" i="17" s="1"/>
  <c r="M26" i="17"/>
  <c r="Y26" i="17" s="1"/>
  <c r="M25" i="17"/>
  <c r="Z25" i="17" s="1"/>
  <c r="M24" i="17"/>
  <c r="Y24" i="17" s="1"/>
  <c r="M23" i="17"/>
  <c r="Z23" i="17" s="1"/>
  <c r="M22" i="17"/>
  <c r="Y22" i="17" s="1"/>
  <c r="M21" i="17"/>
  <c r="Z21" i="17" s="1"/>
  <c r="M20" i="17"/>
  <c r="Y20" i="17" s="1"/>
  <c r="M19" i="17"/>
  <c r="Z19" i="17" s="1"/>
  <c r="M18" i="17"/>
  <c r="Y18" i="17" s="1"/>
  <c r="M17" i="17"/>
  <c r="Z17" i="17" s="1"/>
  <c r="M16" i="17"/>
  <c r="Y16" i="17" s="1"/>
  <c r="M15" i="17"/>
  <c r="Z15" i="17" s="1"/>
  <c r="M14" i="17"/>
  <c r="Y14" i="17" s="1"/>
  <c r="M13" i="17"/>
  <c r="Z13" i="17" s="1"/>
  <c r="M12" i="17"/>
  <c r="Y12" i="17" s="1"/>
  <c r="M11" i="17"/>
  <c r="Z11" i="17" s="1"/>
  <c r="M10" i="17"/>
  <c r="Y10" i="17" s="1"/>
  <c r="M9" i="17"/>
  <c r="Z9" i="17" s="1"/>
  <c r="M8" i="17"/>
  <c r="Y8" i="17" s="1"/>
  <c r="M7" i="17"/>
  <c r="Z7" i="17" s="1"/>
  <c r="M6" i="17"/>
  <c r="Y6" i="17" s="1"/>
  <c r="M5" i="17"/>
  <c r="Y5" i="17" s="1"/>
  <c r="I3" i="17"/>
  <c r="Z6" i="17" l="1"/>
  <c r="Z22" i="17"/>
  <c r="Z18" i="17"/>
  <c r="Z14" i="17"/>
  <c r="Z10" i="17"/>
  <c r="Z8" i="17"/>
  <c r="Z12" i="17"/>
  <c r="Z16" i="17"/>
  <c r="Z20" i="17"/>
  <c r="Z24" i="17"/>
  <c r="Z26" i="17"/>
  <c r="Y7" i="17"/>
  <c r="Y28" i="17" s="1"/>
  <c r="Y9" i="17"/>
  <c r="Y11" i="17"/>
  <c r="Y13" i="17"/>
  <c r="Y15" i="17"/>
  <c r="Y17" i="17"/>
  <c r="Y19" i="17"/>
  <c r="Y21" i="17"/>
  <c r="Y23" i="17"/>
  <c r="Y25" i="17"/>
  <c r="Y27" i="17"/>
  <c r="Z5" i="17"/>
  <c r="M28" i="17"/>
  <c r="M25" i="1" l="1"/>
  <c r="Z25" i="1" s="1"/>
  <c r="M21" i="1" l="1"/>
  <c r="Z21" i="1" s="1"/>
  <c r="M20" i="1"/>
  <c r="Z20" i="1" s="1"/>
  <c r="M19" i="1"/>
  <c r="Z19" i="1" s="1"/>
  <c r="M18" i="1"/>
  <c r="Z18" i="1" s="1"/>
  <c r="M17" i="1"/>
  <c r="Y17" i="1" l="1"/>
  <c r="Z17" i="1"/>
  <c r="M16" i="1"/>
  <c r="Y16" i="1" s="1"/>
  <c r="Z16" i="1" l="1"/>
  <c r="M27" i="1"/>
  <c r="Y27" i="1" s="1"/>
  <c r="M28" i="1"/>
  <c r="Y28" i="1" s="1"/>
  <c r="Z28" i="1" l="1"/>
  <c r="Z27" i="1"/>
  <c r="M5" i="1"/>
  <c r="M6" i="1"/>
  <c r="M7" i="1"/>
  <c r="M8" i="1"/>
  <c r="M9" i="1"/>
  <c r="M10" i="1"/>
  <c r="M11" i="1"/>
  <c r="M12" i="1"/>
  <c r="M13" i="1"/>
  <c r="M14" i="1"/>
  <c r="M15" i="1"/>
  <c r="M22" i="1"/>
  <c r="M23" i="1"/>
  <c r="M24" i="1"/>
  <c r="M26" i="1"/>
  <c r="Y24" i="1" l="1"/>
  <c r="Z24" i="1"/>
  <c r="Y14" i="1"/>
  <c r="Z14" i="1"/>
  <c r="Y10" i="1"/>
  <c r="Z10" i="1"/>
  <c r="Y6" i="1"/>
  <c r="Z6" i="1"/>
  <c r="Y23" i="1"/>
  <c r="Z23" i="1"/>
  <c r="Y13" i="1"/>
  <c r="Z13" i="1"/>
  <c r="Z9" i="1"/>
  <c r="Y9" i="1"/>
  <c r="M29" i="1"/>
  <c r="Z22" i="1"/>
  <c r="Y22" i="1"/>
  <c r="Z12" i="1"/>
  <c r="Y12" i="1"/>
  <c r="Z8" i="1"/>
  <c r="Y8" i="1"/>
  <c r="Z26" i="1"/>
  <c r="Y26" i="1"/>
  <c r="Z15" i="1"/>
  <c r="Y15" i="1"/>
  <c r="Z11" i="1"/>
  <c r="Y11" i="1"/>
  <c r="Z7" i="1"/>
  <c r="Y7" i="1"/>
  <c r="Z5" i="1"/>
  <c r="Y5" i="1"/>
  <c r="E29" i="1"/>
  <c r="K2" i="1" l="1"/>
  <c r="I2" i="1"/>
  <c r="I3" i="1" s="1"/>
  <c r="Y29" i="1" l="1"/>
  <c r="X29" i="1"/>
  <c r="K29" i="1"/>
  <c r="J29" i="1"/>
  <c r="L29" i="1"/>
  <c r="I29" i="1"/>
</calcChain>
</file>

<file path=xl/sharedStrings.xml><?xml version="1.0" encoding="utf-8"?>
<sst xmlns="http://schemas.openxmlformats.org/spreadsheetml/2006/main" count="37774" uniqueCount="9505">
  <si>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</si>
  <si>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</si>
  <si>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</si>
  <si>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</si>
  <si>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</si>
  <si>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</si>
  <si>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</si>
  <si>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</si>
  <si>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</si>
  <si>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</si>
  <si>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</si>
  <si>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</si>
  <si>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</si>
  <si>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</si>
  <si>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</si>
  <si>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</si>
  <si>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</si>
  <si>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</si>
  <si>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</si>
  <si>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</si>
  <si>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</si>
  <si>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</si>
  <si>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</si>
  <si>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</si>
  <si>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</si>
  <si>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</si>
  <si>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</si>
  <si>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</si>
  <si>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</si>
  <si>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</si>
  <si>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</si>
  <si>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</si>
  <si>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</si>
  <si>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</si>
  <si>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</si>
  <si>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</si>
  <si>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</si>
  <si>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</si>
  <si>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</si>
  <si>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</si>
  <si>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</si>
  <si>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</si>
  <si>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</si>
  <si>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</si>
  <si>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</si>
  <si>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</si>
  <si>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</si>
  <si>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</si>
  <si>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</si>
  <si>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</si>
  <si>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</si>
  <si>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</si>
  <si>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</si>
  <si>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</si>
  <si>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</si>
  <si>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</si>
  <si>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</si>
  <si>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</si>
  <si>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</si>
  <si>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</si>
  <si>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</si>
  <si>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</si>
  <si>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</si>
  <si>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</si>
  <si>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</si>
  <si>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</si>
  <si>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</si>
  <si>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</si>
  <si>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</si>
  <si>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</si>
  <si>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</si>
  <si>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</si>
  <si>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</si>
  <si>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</si>
  <si>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</si>
  <si>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</si>
  <si>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</si>
  <si>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</si>
  <si>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</si>
  <si>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</si>
  <si>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</si>
  <si>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</si>
  <si>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</si>
  <si>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</si>
  <si>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</si>
  <si>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</si>
  <si>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</si>
  <si>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</si>
  <si>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</si>
  <si>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</si>
  <si>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</si>
  <si>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</si>
  <si>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</si>
  <si>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</si>
  <si>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</si>
  <si>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</si>
  <si>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</si>
  <si>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</si>
  <si>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</si>
  <si>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</si>
  <si>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</si>
  <si>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</si>
  <si>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</si>
  <si>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</si>
  <si>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(N) Valor Final Del Contrato</t>
  </si>
  <si>
    <t>No Aplica</t>
  </si>
  <si>
    <t>Periodo en listado contrato ascendente</t>
  </si>
  <si>
    <t>Periodo en Austeridad</t>
  </si>
  <si>
    <t>Selecciones Periodo en pestaña LISTADO DE CONTRATOS</t>
  </si>
  <si>
    <t>Enero - Marzo (1er Trimestre)</t>
  </si>
  <si>
    <t>Julio - Septiembre (3er Trimestre)</t>
  </si>
  <si>
    <r>
      <t xml:space="preserve">Valor Salario Minimo en pesos </t>
    </r>
    <r>
      <rPr>
        <b/>
        <sz val="8"/>
        <color rgb="FFFF0000"/>
        <rFont val="Calibri"/>
        <family val="2"/>
        <scheme val="minor"/>
      </rPr>
      <t>(2023)</t>
    </r>
  </si>
  <si>
    <t>(F) Fecha De Suspensión (SI Aplica)  (yyyy/mm/dd)</t>
  </si>
  <si>
    <t>(F) Fecha De Reinicio (SI Aplica)  (yyyy/mm/dd)</t>
  </si>
  <si>
    <t>(C) Aplica Suspención o Reinicio</t>
  </si>
  <si>
    <t>(F) Fecha Final Pactada en OTRO SI de Adición, Disminución en Plazo y/o Reinicios
(yyyy/mm/dd)</t>
  </si>
  <si>
    <t>OPSP-FEE-0001-2023</t>
  </si>
  <si>
    <t>OPSP-FEE-0002-2023</t>
  </si>
  <si>
    <t>OPSP-FEE-0003-2023</t>
  </si>
  <si>
    <t>OPSP-FEE-0004-2023</t>
  </si>
  <si>
    <t>OPSP-FEE-0005-2023</t>
  </si>
  <si>
    <t>OPSP-FEE-0006-2023</t>
  </si>
  <si>
    <t>OPSP-FEE-0007-2023</t>
  </si>
  <si>
    <t>OPSP-FEE-0008-2023</t>
  </si>
  <si>
    <t>OPSP-FEE-0009-2023</t>
  </si>
  <si>
    <t>OPSP-FEE-0010-2023</t>
  </si>
  <si>
    <t>OPSP-FEE-0011-2023</t>
  </si>
  <si>
    <t xml:space="preserve">OAG-FEE-0001-2023 </t>
  </si>
  <si>
    <t xml:space="preserve">OAG-FEE-0002-2023 </t>
  </si>
  <si>
    <t>OAG-FEE-0003-2023</t>
  </si>
  <si>
    <t>OSM-FEE-0001-2023</t>
  </si>
  <si>
    <t>OPS-FEE-0001-2023</t>
  </si>
  <si>
    <t>OPS-FEE-0002-2023</t>
  </si>
  <si>
    <t>800164453-9</t>
  </si>
  <si>
    <t>819001433-1</t>
  </si>
  <si>
    <t>900929739-7</t>
  </si>
  <si>
    <t>DIANA MARCELA GRANADOS MARIN</t>
  </si>
  <si>
    <t>LIYIMIT MARBET PALMA SOCARRÁS</t>
  </si>
  <si>
    <t>ANA ELIETH TARAZONA DE LA ROSA</t>
  </si>
  <si>
    <t>SANDRA MILENA CHAPARRO HOREJARENA</t>
  </si>
  <si>
    <t>DIANA PATRICIA MALDONADO CÁRDENAS</t>
  </si>
  <si>
    <t>MADELEIN NATALIA CARREÑO CALDERON</t>
  </si>
  <si>
    <t>ANGIE GREYCI RAMIREZ MENDOZA</t>
  </si>
  <si>
    <t>ISABEL MARIA OSORIO CASADIEGO</t>
  </si>
  <si>
    <t>SARAY PATRICIA COTES CALA</t>
  </si>
  <si>
    <t>YELEINIS DANESSA RODRIGUEZ MEJIA</t>
  </si>
  <si>
    <t>ANUAR NICOLAS HERNANDEZ ANAYA</t>
  </si>
  <si>
    <t>CESAR ZEGARRA VILLALOBOS</t>
  </si>
  <si>
    <t>LEONARDO FABIO MONSALVO MARQUEZ</t>
  </si>
  <si>
    <t>ROQUE ARTURO RODRIGUEZ QUIROZ</t>
  </si>
  <si>
    <t>VIAJES Y TURISMO MUNDIALES S.A.S</t>
  </si>
  <si>
    <t>ASOCIACION COLOMBIANA DE LA INDUSTRIA GASTRONOMICA CAPITULO MAGDALENA</t>
  </si>
  <si>
    <t>STANZIA SANTA MARTA S.A.S</t>
  </si>
  <si>
    <t>REALIZAR EL CARGUE DE LA DOCUMENTACIÓN REQUERIDA PRE CONTRACTUAL, CONTRACTUAL Y POS CONTRACTUAL DE LOS ENTES DE CONTROL SECOP II, SIA OBSERVA Y SIGEP II 2) ELABORAR MENSUALMENTE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</si>
  <si>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 xml:space="preserve">REALIZAR ACTIVIDADES QUE SE ASIGNEN EN EL MARCO DE LOS PROCESOS DE CONSTRUCCIÓN DEL DOCUMENTO PARA SOLICITUD DE REGISTRO CALIFICADO DEL PROGRAMA DE PREGRADO PROFESIONAL EN GASTRONOMÍA, PROCESO DE RENOVACIÓN DE LAS CERTIFICACIONES INTERNACIONALES TEDQUAL Y EQUAA, PARA LOS PROGRAMAS DE TECNOLOGÍA EN GESTIÓN HOTELERA Y TURÍSTICA Y ADMINISTRACIÓN DE EMPRESAS TURÍSTICAS Y HOTELERAS – POR CICLOS PROPEDÉUTICOS PROCESOS QUE DEBEN SER ENTREGADOS EN 2023 ANTE LOS ENTES CORRESPONDIENTES
</t>
  </si>
  <si>
    <t>APOYAR LA CONSTRUCCIÓN DE INFORME DEL SEGUIMIENTO DEL PLAN DE MEJORAMIENTO CON FINES DE LA RENOVACIÓN DE LA ACREDITACIÓN POR ALTA CALIDAD DEL PROGRAMA DE ECONOMÍA 2) APOYAR LA RECOLECCIÓN, ORGANIZACIÓN Y ANÁLISIS DE ESTADÍSTICA DOCUMENTAL PARA EL INFORME DE AUTOEVALUACIÓN DEL PROGRAMA CON FINES DE LA RENOVACIÓN DE LA ACREDITACIÓN POR ALTA CALIDAD DEL PROGRAMA DE ECONOMÍA 3) APOYAR EL ANÁLISIS Y VALORACIÓN DEL PLAN DE MEJORAMIENTO DEL PROGRAMA EN EL MARCO DEL PROCESO DE RENOVACIÓN DE LA ACREDITACIÓN DEL PROGRAMA DE ECONOMÍA</t>
  </si>
  <si>
    <t xml:space="preserve">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t>
  </si>
  <si>
    <t xml:space="preserve">REALIZAR PROYECCIONES FINANCIERAS DEL PRESUPUESTO DE EJECUCIÓN DE LOS DIPLOMADOS OFERTADOS POR LA FACULTAD DE CIENCIAS EMPRESARIALES Y ECONOMICAS DURANTE EL PERIODO 2022-1 2)PRESENTAR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</si>
  <si>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 xml:space="preserve">APOYAR Y EJECUTAR ACTIVIDADES DE PROMOCIÓN, DIFUSIÓN Y MERCADEO PARA EL POSICIONAMIENTO DEL PROGRAMA MAESTRÍA EN DESARROLLO TERRITORIAL SOSTENIBLE 2) ASESORAR Y HACER SEGUIMIENTO A LOS PROCESOS DE INSCRIPCIÓN Y MATRÍCULA DE LOS ESTUDIANTES PARA LA APERTURA DE NUEVAS COHORTES 3) APOYAR EN LA FORMULACIÓN LA ELABORACIÓN PROGRAMACIÓN ACADÉMICA ANUAL Y LA ESTIMACIÓN DEL PRESUPUESTO 
</t>
  </si>
  <si>
    <t xml:space="preserve">APOYAR Y EJECUTAR ACTIVIDADES DE PROMOCIÓN, DIFUSIÓN Y MERCADEO PARA EL POSICIONAMIENTO DEL PROGRAMA MAESTRÍA EN ADMINISTRACIÓN 2)ASESORAR Y HACER SEGUIMIENTO A LOS PROCESOS DE INSCRIPCIÓN Y MATRÍCULA DE LOS ESTUDIANTES PARA LA APERTURA DE NUEVAS COHORTES 3) APOYAR EN LA FORMULACIÓN LA ELABORACIÓN PROGRAMACIÓN ACADÉMICA ANUAL Y LA ESTIMACIÓN DEL PRESUPUESTO
</t>
  </si>
  <si>
    <t xml:space="preserve">APOYAR Y EJECUTAR ACTIVIDADES DE PROMOCIÓN, DIFUSIÓN Y MERCADEO PARA EL POSICIONAMIENTO DE LOS PROGRAMAS ESPECIALIZACIÓN EN FINANZAS Y ESPECIALIZACIÓN EN GESTIÓN ESTRATÉGICA DEL TALENTO HUMANO 2) ASESORAR Y HACER SEGUIMIENTO A LOS PROCESOS DE INSCRIPCIÓN Y MATRÍCULA DE LOS ESTUDIANTES PARA LA APERTURA DE NUEVAS COHORTES 3) APOYAR EN LA FORMULACIÓN LA ELABORACIÓN PROGRAMACIÓN ACADÉMICA ANUAL Y LA ESTIMACIÓN DEL PRESUPUESTO
</t>
  </si>
  <si>
    <t xml:space="preserve">APOYAR EN EL PROCESO DE ADMISIÓN A LOS PROGRAMAS DE ESPECIALIZACIÓN EN GESTIÓN ESTRATÉGICA DEL TALENTO HUMANO Y ESPECIALIZACIÓN EN GERENCIA DE MERCADEO 2) REALIZAR LA PROGRAMACIÓN DE ACTIVIDADES ACADÉMICAS 3) APOYAR EN LA PROYECCIÓN Y ELABORACIÓN DEL PRESUPUESTO DE INGRESOS Y GASTOS 4) VERIFICAR LA ORGANIZACIÓN Y MARCHA DE LOS PROGRAMAS
</t>
  </si>
  <si>
    <t xml:space="preserve">APOYAR EN EL PROCESO DE ADMISIÓN A LOS PROGRAMAS ESPECIALIZACIÓN EN GESTIÓN PARA EL DESARROLLO TERRITORIAL Y MAESTRÍA EN DESARROLLO TERRITORIAL SOSTENIBLE 2) REALIZAR LA PROGRAMACIÓN DE ACTIVIDADES ACADÉMICA 3) APOYAR EN LA PROYECCIÓN Y ELABORACIÓN DEL PRESUPUESTO DE INGRESOS Y GASTO  4) VERIFICAR LA ORGANIZACIÓN Y MARCHA DE LOS PROGRAMAS 5) RENDIR INFORMES REQUERIDOS EN LOS QUE SE PLANTEEN LOS BALANCES SOBRE LA SITUACIÓN ACADÉMICA Y FINANCIERA DE LOS ESTUDIANTES DE LOS PROGRAMAS
</t>
  </si>
  <si>
    <t xml:space="preserve">RECIBIR, ALISTAR, ALMACENAR Y CONTROLAR LA MATERIA PRIMA PARA CADA CLASE, HACIENDO ENTREGA AL DOCENTE Y CONTROLANDO EL BUEN USO DE LA MISMA 2) APOYAR EN EL DESARROLLO DE LAS SESIONES DE CLASE DE ALIMENTOS Y BEBIDAS III Y EN EL DESARROLLO DE EVENTOS INSTITUCIONALES, PARA LA PRODUCCIÓN DE ALIMENTOS Y EL MONTAJE DE EVENTOS 3) APOYAR EN LA SUPERVISIÓN DEL ASEO PERIÓDICO DE NEVERAS, EQUIPOS, HORNOS, ALACENAS, VAJILLAS, MENAJE Y CUBERTERÍA PARA EL BUEN FUNCIONAMIENTO DEL LABORATORIO
</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</si>
  <si>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Y DECANATURA DE LA FACULTAD
</t>
  </si>
  <si>
    <t xml:space="preserve">APOYAR EN LA ACTUALIZACIÓN DE LA REGLAMENTACIÓN INTERNA DE LOS DIPLOMADOS OFERTADOS POR LA FACULTAD DE CIENCIAS EMPRESARIALES Y ECONOMICAS 2) ORGANIZAR EL PRESUPUESTO DE EJECUCIÓN DEL DIPLOMADO EN GESTION FINANCIERA PÚBLICA, PERIODO 2023-1 3) ACOMPAÑAR A LA DIRECCIÓN DEL PROGRAMA CONTADURIA PÚBLICA EN LOS PROCESO CONTRACTUALES Y POS-CONTRACTUALES DE LOS DOCENTES PARTICIPANTES EN EL DIPLOMADO EN G.F.P. PARA LOS TRAMITES DE VINCULACIÓN Y PAGOS 
</t>
  </si>
  <si>
    <t>EL SUMINISTRO DE TIQUETES AÉREOS NACIONALES E INTERNACIONALES PARA DOCENTES DE PLANTA, CATEDRÁTICOS, ADMINISTRATIVOS, Y DOCENTES INVITADOS A DESARROLLAR ACTIVIDADES ACADÉMICAS PLANIFICADAS POR LA FACULTAD DE CIENCIAS EMPRESARIALES Y ECONÓMICAS</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</si>
  <si>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76 ESTUDIANTES DEL PROGRAMA DE TECNOLOGÍA EN GESTIÓN HOTELERA Y TURÍSTICA POR CICLOS PROPEDÉUTICOS DE FACULTAD DE CIENCIAS EMPRESARIALES Y ECONÓMICAS, CHEF Y COORDINADOR , EN PRO DE FORTALECER EL PROCESO DE ENSEÑANZA-APRENDIZAJE DE LOS CONTENIDOS PROGRAMÁTICOS DE LA ASIGNATURA Y FACILITAR LA PERMANENCIA DE LOS ESTUDIANTES. LA PROPUESTA HACE PARTE INTEGRAL DE LA PRESENTE ORDEN.</t>
  </si>
  <si>
    <t>EL SERVICIO DE ALOJAMIENTO PARA DOCENTES INVITADOS A DESARROLLAR ACTIVIDADES ACADÉMICAS PLANIFICADAS POR LA FACULTAD DE CIENCIAS EMPRESARIALES Y ECONÓMICAS,  ACOMODACIÓN SENCILLA CON ALIMENTACIÓN INCLUIDA. LA PROPUESTA HACE PARTE INTEGRAL DE LA PRESENTE ORDEN.</t>
  </si>
  <si>
    <t>ANDREA CAROLINA MONTERO RODRIGUEZ</t>
  </si>
  <si>
    <t>HUMBERTO CALABRIA ARRIETA</t>
  </si>
  <si>
    <t>JAIRO DE LEON ACOSTA</t>
  </si>
  <si>
    <t>ALEXANDER MALDONADO ATENCIO</t>
  </si>
  <si>
    <t>ROSMERY HERRERA MESA</t>
  </si>
  <si>
    <t>GILBERTO MONTOYA BERBEN</t>
  </si>
  <si>
    <t>CARLOS ANDRES ACOSTA MAIGUEL</t>
  </si>
  <si>
    <t>HUMBERTO NICOLAS CALABRIA ARRIETA</t>
  </si>
  <si>
    <t>https://community.secop.gov.co/Public/Tendering/OpportunityDetail/Index?noticeUID=CO1.NTC.3909544&amp;isFromPublicArea=True&amp;isModal=False</t>
  </si>
  <si>
    <t>https://community.secop.gov.co/Public/Tendering/OpportunityDetail/Index?noticeUID=CO1.NTC.3928333&amp;isFromPublicArea=True&amp;isModal=False</t>
  </si>
  <si>
    <t>https://community.secop.gov.co/Public/Tendering/OpportunityDetail/Index?noticeUID=CO1.NTC.3972340&amp;isFromPublicArea=True&amp;isModal=False</t>
  </si>
  <si>
    <t>https://community.secop.gov.co/Public/Tendering/OpportunityDetail/Index?noticeUID=CO1.NTC.3971491&amp;isFromPublicArea=True&amp;isModal=False</t>
  </si>
  <si>
    <t>https://community.secop.gov.co/Public/Tendering/OpportunityDetail/Index?noticeUID=CO1.NTC.3976242&amp;isFromPublicArea=True&amp;isModal=False</t>
  </si>
  <si>
    <t>https://community.secop.gov.co/Public/Tendering/OpportunityDetail/Index?noticeUID=CO1.NTC.3994373&amp;isFromPublicArea=True&amp;isModal=False</t>
  </si>
  <si>
    <t>https://community.secop.gov.co/Public/Tendering/OpportunityDetail/Index?noticeUID=CO1.NTC.4003801&amp;isFromPublicArea=True&amp;isModal=False</t>
  </si>
  <si>
    <t>https://community.secop.gov.co/Public/Tendering/OpportunityDetail/Index?noticeUID=CO1.NTC.4004005&amp;isFromPublicArea=True&amp;isModal=False</t>
  </si>
  <si>
    <t>https://community.secop.gov.co/Public/Tendering/OpportunityDetail/Index?noticeUID=CO1.NTC.4003779&amp;isFromPublicArea=True&amp;isModal=False</t>
  </si>
  <si>
    <t>https://community.secop.gov.co/Public/Tendering/OpportunityDetail/Index?noticeUID=CO1.NTC.4052612&amp;isFromPublicArea=True&amp;isModal=False</t>
  </si>
  <si>
    <t>https://community.secop.gov.co/Public/Tendering/OpportunityDetail/Index?noticeUID=CO1.NTC.4068358&amp;isFromPublicArea=True&amp;isModal=False</t>
  </si>
  <si>
    <t>https://community.secop.gov.co/Public/Tendering/OpportunityDetail/Index?noticeUID=CO1.NTC.3976960&amp;isFromPublicArea=True&amp;isModal=False</t>
  </si>
  <si>
    <t>https://community.secop.gov.co/Public/Tendering/OpportunityDetail/Index?noticeUID=CO1.NTC.3994424&amp;isFromPublicArea=True&amp;isModal=False</t>
  </si>
  <si>
    <t>https://community.secop.gov.co/Public/Tendering/OpportunityDetail/Index?noticeUID=CO1.NTC.4075863&amp;isFromPublicArea=True&amp;isModal=False</t>
  </si>
  <si>
    <t>NA por TIPO Contrato</t>
  </si>
  <si>
    <t>SI</t>
  </si>
  <si>
    <t>https://community.secop.gov.co/Public/Tendering/OpportunityDetail/Index?noticeUID=CO1.NTC.4112811&amp;isFromPublicArea=True&amp;isModal=False</t>
  </si>
  <si>
    <t>https://community.secop.gov.co/Public/Tendering/OpportunityDetail/Index?noticeUID=CO1.NTC.4138543&amp;isFromPublicArea=True&amp;isModal=False</t>
  </si>
  <si>
    <t>https://community.secop.gov.co/Public/Tendering/OpportunityDetail/Index?noticeUID=CO1.NTC.4222850&amp;isFromPublicArea=True&amp;isModal=False</t>
  </si>
  <si>
    <t>NO</t>
  </si>
  <si>
    <t>OPSP-FEE-0012-2023</t>
  </si>
  <si>
    <t>LUZ DARY RODRIGUEZ</t>
  </si>
  <si>
    <t>https://community.secop.gov.co/Public/Tendering/OpportunityDetail/Index?noticeUID=CO1.NTC.4676197&amp;isFromPublicArea=True&amp;isModal=False</t>
  </si>
  <si>
    <t>APOYAR Y EJECUTAR ACTIVIDADES DE PROMOCIÓN DIFUSIÓN Y MERCADEO PARA EL POSICIONAMIENTO DEL PROGRAMA ESPECIALIZACIÓN EN FORMULACIÓN Y GESTIÓN INTEGRAL DE PROYECTOS 2 ) ASESORAR Y HACER SEGUIMIENTO A LOS PROCESOS DE INSCRIPCIÓN Y MATRÍCULA DE LOS ESTUDIANTES PARA LA APERTURA DE NUEVAS COHORTES.</t>
  </si>
  <si>
    <t>OPSP-FEE-0013-2023</t>
  </si>
  <si>
    <t>OPSP-FEE-0014-2023</t>
  </si>
  <si>
    <t>OPSP-FEE-0015-2023</t>
  </si>
  <si>
    <t>OPSP-FEE-0016-2023</t>
  </si>
  <si>
    <t>OPSP-FEE-0017-2023</t>
  </si>
  <si>
    <t>DIANA PATRICIA MALDONADO CARDENAS</t>
  </si>
  <si>
    <t>LIYIMIT MARBET PALMA SOCARRAS</t>
  </si>
  <si>
    <t>APOYAR Y EJECUTAR ACTIVIDADES DE PROMOCIÓN, DIFUSIÓN Y MERCADEO PARA EL POSICIONAMIENTO DEL PROGRAMA MAESTRÍA EN ADMINISTRACIÓN. 2. ASESORAR Y HACER SEGUIMIENTO A LOS PROCESOS DE INSCRIPCIÓN Y MATRÍCULA DE LOS ESTUDIANTES PARA LA APERTURA DE NUEVAS COHORTES. 3. APOYAR EN LA FORMULACIÓN LA ELABORACIÓN PROGRAMACIÓN ACADÉMICA ANUAL Y LA ESTIMACIÓN DEL PRESUPUESTO</t>
  </si>
  <si>
    <t>REALIZAR EL CARGUE DE LA DOCUMENTACIÓN REQUERIDA PRE CONTRACTUAL, CONTRACTUAL Y POS CONTRACTUAL DE LOS ENTES DE CONTROL SECOP II, SIA OBSERVA Y SIGEP II. 2. ELABORAR Y EVALUAR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</si>
  <si>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t>
  </si>
  <si>
    <t xml:space="preserve">REALIZAR PROYECCIONES FINANCIERAS DEL PRESUPUESTO DE EJECUCIÓN DE LOS DIPLOMADOS OFERTADOS POR LA FACULTAD DE CIENCIAS EMPRESARIALES Y ECONOMICAS DURANTE EL PERIODO 2023-2. 2. PRESENTAR A LA DECANATURA LA PROGRAMACIÓN DE LAS ACTIVIDADES ACADÉMICAS Y EL PERFIL DE LOS DOCENTES POSTULADOS POR LAS DIRECCIONES DE PROGRAMA PARA EL DESARROLLO DE ESTOS DIPLOMADOS. </t>
  </si>
  <si>
    <t>REDACTAR CARTAS DE PRESENTACIÓN A EMPRESAS DE ESTUDIANTES, SOLICITAR Y REVISAR DOCUMENTOS A EMPRESAS PARA LA LEGALIZACIÓN DEL PROCESO DE PRÁCTICAS, ENVIAR A LA DIRECCIÓN DE PRÁCTICAS PROFESIONALES DIPRO LA DOCUMENTACIÓN DEL PROCESO, NOTIFICAR A LOS ESTUDIANTES LA LEGALIZACIÓN Y APROBACIÓN, REALIZAR SEGUIMIENTO AL DESARROLLO DE LAS ACTIVIDADES DE LOS TUTORES DE PRÁCTICAS PROFESIONALES, RECIBIR Y TRAMITAR LAS SOLICITUDES DE PRACTICANTES HECHAS POR EL SECTOR EMPRESARIAL Y ELABORAR COMUNICACIONES, DOCUMENTOS E INFORMES DE GESTIÓN SOBRE EL PROCESO DE PRÁCTICAS PROFESIONALES</t>
  </si>
  <si>
    <t>ANDREA CAROLINA MONTERO</t>
  </si>
  <si>
    <t>OAG-FEE-0004-2023</t>
  </si>
  <si>
    <t>CARLOS ALBERTO BARRIOS GALLO</t>
  </si>
  <si>
    <t>RECIBIR, ALISTAR, ALMACENAR Y CONTROLAR LA MATERIA PRIMA PARA CADA CLASE, HACIENDO ENTREGA AL DOCENTE Y CONTROLANDO EL BUEN USO DE LA MISMA. 2. APOYAR EN LA SUPERVISIÓN A LOS PROVEEDORES, DURANTE LA ENTREGA DE LA MATERIA PRIMA, MINIMIZANDO LOS INCIDENTES QUE PUEDAN SURGIR CON LOS PROVEEDORES DE LA MATERIA PRIMA.</t>
  </si>
  <si>
    <t>https://community.secop.gov.co/Public/Tendering/OpportunityDetail/Index?noticeUID=CO1.NTC.4757521&amp;isFromPublicArea=True&amp;isModal=False</t>
  </si>
  <si>
    <t>https://community.secop.gov.co/Public/Tendering/OpportunityDetail/Index?noticeUID=CO1.NTC.4759664&amp;isFromPublicArea=True&amp;isModal=False</t>
  </si>
  <si>
    <t>https://community.secop.gov.co/Public/Tendering/OpportunityDetail/Index?noticeUID=CO1.NTC.4759765&amp;isFromPublicArea=True&amp;isModal=False</t>
  </si>
  <si>
    <t>https://community.secop.gov.co/Public/Tendering/OpportunityDetail/Index?noticeUID=CO1.NTC.4760404&amp;isFromPublicArea=True&amp;isModal=False</t>
  </si>
  <si>
    <t>https://community.secop.gov.co/Public/Tendering/OpportunityDetail/Index?noticeUID=CO1.NTC.4770866&amp;isFromPublicArea=True&amp;isModal=False</t>
  </si>
  <si>
    <t>https://community.secop.gov.co/Public/Tendering/OpportunityDetail/Index?noticeUID=CO1.NTC.4770921&amp;isFromPublicArea=True&amp;isModal=False</t>
  </si>
  <si>
    <t>OPSP-FCE-001-2023</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</si>
  <si>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</si>
  <si>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</si>
  <si>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HENRY SANCHEZ</t>
  </si>
  <si>
    <t>https://community.secop.gov.co/Public/Tendering/OpportunityDetail/Index?noticeUID=CO1.NTC.3971412&amp;isFromPublicArea=True&amp;isModal=true&amp;asPopupView=true</t>
  </si>
  <si>
    <t>OPSP-FCE-002-2023</t>
  </si>
  <si>
    <t>VIRGINIA ISABEL BARRERO TONCEL</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</si>
  <si>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</si>
  <si>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https://community.secop.gov.co/Public/Tendering/OpportunityDetail/Index?noticeUID=CO1.NTC.3908474&amp;isFromPublicArea=True&amp;isModal=true&amp;asPopupView=true</t>
  </si>
  <si>
    <t>OPSP-FCE-003-2023</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</si>
  <si>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</si>
  <si>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</si>
  <si>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</si>
  <si>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https://community.secop.gov.co/Public/Tendering/OpportunityDetail/Index?noticeUID=CO1.NTC.3909615&amp;isFromPublicArea=True&amp;isModal=true&amp;asPopupView=true</t>
  </si>
  <si>
    <t>OPSP-FCE-004-2023</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</si>
  <si>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</si>
  <si>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</si>
  <si>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https://community.secop.gov.co/Public/Tendering/OpportunityDetail/Index?noticeUID=CO1.NTC.3912601&amp;isFromPublicArea=True&amp;isModal=true&amp;asPopupView=true</t>
  </si>
  <si>
    <t>OPSP-FCE-005-2023</t>
  </si>
  <si>
    <t>MARGARITA ROSA BARRAZA HERAS</t>
  </si>
  <si>
    <t>APOYAR EN EL CUMPLIMIENTO DE LOS PROCEDIMIENTOS, PROTOCOLOS, GUÍAS Y AGENDAS DISEÑADOS PARA EL ÓPTIMO FUNCIONAMIENTO DEL PROGRAMA DE LICENCIATURA EN LENGUAS EXTRANJERAS CON ÉNFASIS EN INGLÉS.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</si>
  <si>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https://community.secop.gov.co/Public/Tendering/OpportunityDetail/Index?noticeUID=CO1.NTC.3918710&amp;isFromPublicArea=True&amp;isModal=true&amp;asPopupView=true</t>
  </si>
  <si>
    <t>OPSP-FCE-006-2023</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</si>
  <si>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</si>
  <si>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</si>
  <si>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https://community.secop.gov.co/Public/Tendering/OpportunityDetail/Index?noticeUID=CO1.NTC.3918715&amp;isFromPublicArea=True&amp;isModal=true&amp;asPopupView=true</t>
  </si>
  <si>
    <t>OPSP-FCE-007-2023</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</si>
  <si>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</si>
  <si>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</si>
  <si>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https://community.secop.gov.co/Public/Tendering/OpportunityDetail/Index?noticeUID=CO1.NTC.3918782&amp;isFromPublicArea=True&amp;isModal=true&amp;asPopupView=true</t>
  </si>
  <si>
    <t>OPSP-FCE-008-2023</t>
  </si>
  <si>
    <t>DAMAR EDUARDO FONTALVO SANCHEZ</t>
  </si>
  <si>
    <t>EN EL MARCO DEL DOCTORADO EN CIENCIAS DE LA EDUCACIÓN – RUDECOLOMBIA EL CONTRATISTA DESARROLLARÁ LAS SIGUIENTES ACTIVIDADES: 1) COORDINAR LA CONSTRUCCIÓN, SISTEMATIZACIÓN Y ENVÍO DE COMPLETITUDES REQUERIDAS POR LOS PARES ACADÉMICOS DEL CONSEJO NACIONAL DE ACREDITACIÓN - CNA COMO PARTE DE LA VISITA DESARROLLADA EN DICIEMBRE DEL 2022 EN MIRAS A LA ACREDITACIÓN EN ALTA CALIDAD DEL PROGRAMA EN RED. 2) REALIZAR LA SISTEMATIZACIÓN DE DOCUMENTOS GENERALES DEL DOCTORADO QUE ESTRUCTURAN LA ORGANIZACIÓN PREVIA EN EL PROCESO DE RENOVACIÓN DEL REGISTRO CALIFICADO DEL PROGRAMA. 3) DIVULGAR DE LAS ACTIVIDADES ACADÉMICAS E INVESTIGATIVAS DEL DOCTORADO A TRAVÉS DE REDES SOCIALES Y CORREOS ELECTRÓNICOS DE LOS ACTORES QUE HACE PARTE DE LA COMUNIDAD DEL PROGRAMA</t>
  </si>
  <si>
    <t>IVAN SANCHEZ</t>
  </si>
  <si>
    <t>https://community.secop.gov.co/Public/Tendering/OpportunityDetail/Index?noticeUID=CO1.NTC.3969944&amp;isFromPublicArea=True&amp;isModal=true&amp;asPopupView=true</t>
  </si>
  <si>
    <t>OPSP-FCE-009-2023</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</si>
  <si>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</si>
  <si>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</si>
  <si>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OPSP-FCE-010-2023</t>
  </si>
  <si>
    <t>ANA KAROLINA MELENDEZ VARELA</t>
  </si>
  <si>
    <t>EN EL MARCO DEL DOCTORADO EN CIENCIAS DE LA EDUCACIÓN EL CONTRATISTA DESARROLLARÁ LAS SIGUIENTES ACTIVIDADES: 1) RESPONDER LAS SOLICITUDES DE DEPENDENCIAS, DOCENTES Y ESTUDIANTES RECEPCIONADAS EN EL PERÍODO DE VACACIONES COLECTIVAS. 2) GESTIONAR EL ARCHIVO DEL CADE PARA ORGANIZAR LA PRIMERA SESIÓN ORDINARIA VIRTUAL, NECESARIA PARA DAR RESPUESTA A SOLICITUDES ENVIADAS EN PERÍODO DE VACACIONES. 3) CARGAR EN EL SISTEMA DE ADMISIONES LAS NOTAS NECESARIAS PARA INICIAR TRÁMITE DE GRADO A ESTUDIANTES Y GENERAR PAZ Y SALVO. 4) ORGANIZAR LOS SOPORTES Y EVIDENCIAS CORRESPONDIENTES A LAS SUFICIENCIAS Y DEFENSAS DE TESIS REALIZADAS EN EL CIERRE DEL 2022-2.</t>
  </si>
  <si>
    <t>https://community.secop.gov.co/Public/Tendering/OpportunityDetail/Index?noticeUID=CO1.NTC.3971951&amp;isFromPublicArea=True&amp;isModal=true&amp;asPopupView=true</t>
  </si>
  <si>
    <t>OPSP-FCE-011-2023</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</si>
  <si>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</si>
  <si>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</si>
  <si>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https://community.secop.gov.co/Public/Tendering/OpportunityDetail/Index?noticeUID=CO1.NTC.3971969&amp;isFromPublicArea=True&amp;isModal=true&amp;asPopupView=true</t>
  </si>
  <si>
    <t>OPSP-FCE-012-2023</t>
  </si>
  <si>
    <t>NATALIA VASQUEZ VILORIA</t>
  </si>
  <si>
    <t xml:space="preserve">EN EL MARCO DEL DOCTORADO EN EDUCACIÓN, INTERCULTURALIDAD Y TERRITORIO EL CONTRATISTA DESARROLLARÁ LAS SIGUIENTES ACTIVIDADES: 1) GENERAR UNA CONSOLIDACIÓN Y POSTERIOR REVISIÓN DE LAS PONENCIAS ENMARCADAS EN EL EVENTO DEL III COLOQUIO INTERNACIONAL EN EDUCACIÓN, INTERCULTURALIDAD Y TERRITORIO. 2) DISEÑAR LA PUBLICACIÓN DE LA TERCERA VERSIÓN DE LAS MEMORIAS Y COMPARTIR CON LOS PONENTES EN CALIDAD DE ACADÉMICOS, Y ESTUDIANTES DE MAESTRÍA O DOCTORADO. 3) DIVULGAR A LA COMUNIDAD ACADÉMICA NACIONAL E INTERNACIONAL LA CUARTA VERSIÓN DEL COLOQUIO INTERNACIONAL. 4) REALIZAR SEGUIMIENTO DE FORMA PERMANENTE AL DISEÑO Y REMISIÓN DE ELEMENTOS DE PUBLICIDAD, POR PARTE DE LAS DEPENDENCIAS INTERNAS DE LA UNIVERSIDAD DEL MAGDALENA. </t>
  </si>
  <si>
    <t>https://community.secop.gov.co/Public/Tendering/OpportunityDetail/Index?noticeUID=CO1.NTC.3978826&amp;isFromPublicArea=True&amp;isModal=true&amp;asPopupView=true</t>
  </si>
  <si>
    <t>OPS-FCE-001-2023</t>
  </si>
  <si>
    <t>INVESIONES FERNATH S.A.S</t>
  </si>
  <si>
    <t>SERVICIO DE HOSPEDAJE Y ALIMENTACIÓN EN LA CIUDAD DE SANTA MARTA PARA CONFERENCISTAS, VISITANTES E INVITADOS ESPECIALES EN EL MARCO DE LAS ACTIVIDADES ACADÉMICAS Y DE EXTENSIÓN QUE SE DESARROLLAN EN LA UNIVERSIDAD DEL MAGDALENA, DURANTE LA VIGENCIA 2023</t>
  </si>
  <si>
    <t>https://community.secop.gov.co/Public/Tendering/OpportunityDetail/Index?noticeUID=CO1.NTC.4056061&amp;isFromPublicArea=True&amp;isModal=true&amp;asPopupView=true</t>
  </si>
  <si>
    <t>OPSP-FCE-013-2023</t>
  </si>
  <si>
    <t>EN EL MARCO DEL DOCTORADO EN CIENCIAS DE LA EDUCACIÓN – RUDECOLOMBIA EL CONTRATISTA DESARROLLARÁ LAS SIGUIENTES ACTIVIDADES: 1) APOYAR EN LA CONSTRUCCIÓN, SISTEMATIZACIÓN Y ENVÍO DE COMPLETITUDES REQUERIDAS POR LOS PARES ACADÉMICOS DEL CNA EN MIRAS HACIA LA ACREDITACIÓN EN ALTA CALIDAD DEL DOCTORADO. 2) APOYAR EN LA COORDINACIÓN DE REUNIONES CON EL COMITÉ ACADÉMICO DEL DOCTORADO – CADE, RELACIONADAS CON LAS COMPLETITUDES REQUERIDAS POR LOS PARES ACADÉMICOS DEL CNA. 3) APOYAR EN LA DIGITALIZACIÓN Y SISTEMATIZACIÓN DE LA PRODUCCIÓN ACADÉMICA DE LOS GRUPOS DE INVESTIGACIÓN QUE SOPORTAN LAS LÍNEAS DE FORMACIÓN DOCTORAL DEL PROGRAMA. 4) PRESENTAR LOS INFORMES SOLICITADOS POR LA DIRECCIÓN ACADÉMICA DEL PROGRAMA, LA DIRECCIÓN NACIONAL DE RUDECOLOMBIA Y LA UNIVERSIDAD, RELACIONADOS CON LAS COMPLETITUDES EXIGIDAS POR LOS PARES ACADÉMICOS DEL CNA EN MIRAS HACIA LA ACREDITACIÓN EN ALTA CALIDAD DEL DOCTORADO. 5) APOYAR EN LA SISTEMATIZACIÓN Y CONSOLIDACIÓN DE DOCUMENTACIÓN REQUERIDA PARA EL INICIO DEL PROCESO DE RENOVACIÓN DEL REGISTRO CALIFICADO DEL PROGRAMA. 6) APOYAR EN LA GESTIÓN Y SEGUIMIENTO DEL PLAN DE MEJORAMIENTO DEL DOCTORADO. 7) APOYAR EN LA DIVULGACIÓN DE LAS ACTIVIDADES ACADÉMICAS E INVESTIGATIVAS DEL DOCTORADO A TRAVÉS DE REDES SOCIALES Y CORREOS ELECTRÓNICOS. 8) ASISTIR A LAS ACTIVIDADES GENERALES PROGRAMADAS POR LA FACULTAD DE CIENCIAS DE LA EDUCACIÓN Y LA DIRECCIÓN DE CENTRO DE POSTGRADOS Y FORMACIÓN CONTINUA.</t>
  </si>
  <si>
    <t>https://community.secop.gov.co/Public/Tendering/OpportunityDetail/Index?noticeUID=CO1.NTC.4077279&amp;isFromPublicArea=True&amp;isModal=true&amp;asPopupView=true</t>
  </si>
  <si>
    <t>OPSP-FCE-014-2023</t>
  </si>
  <si>
    <t xml:space="preserve">EN EL MARCO DEL DOCTORADO EN EDUCACIÓN, INTERCULTURALIDAD Y TERRITORIO EL CONTRATISTA DESARROLLARÁ LAS SIGUIENTES ACTIVIDADES: 1) APOYAR A LA GESTIÓN DE LOS RECURSOS DE APOYO TÉCNICO Y LOGÍSTICO PARA EL FUNCIONAMIENTO DEL DOCTORADO. 2) RECEPCIONAR Y ENVIAR CORRESPONDENCIA, ATENCIÓN TELEFÓNICA Y DIGITAL, SISTEMATIZACIÓN DEL ARCHIVO DOCUMENTAL (FÍSICO Y DIGITAL) DEL DOCTORADO. ATENCIÓN DE ASPIRANTES, ESTUDIANTES Y DOCENTES INVITADOS DEL PROGRAMA DE DOCTORADO. 3) APOYAR PROFESIONAL PARA LA FORMULACIÓN, SEGUIMIENTO Y EVALUACIÓN DEL PLAN DE ACCIÓN DEL DOCTORADO. 4) APOYAR EN LA ELABORACIÓN TÉCNICA DEL PRESUPUESTO ANUAL DE FUNCIONAMIENTO DEL PROGRAMA, EN EL MARCO DE LOS PROCESOS Y PROCEDIMIENTOS INSTITUCIONALES. 5) APOYAR ADMINISTRATIVO EN EL PROCESO DE MATRÍCULA Y REGISTRO ACADÉMICO DE LOS ESTUDIANTES, ASÍ COMO SEGUIMIENTO Y GESTIÓN DE LA CARTERA FINANCIERA DEL DOCTORADO. 6) ELABORAR Y ANALIZAR DE REPORTES ADMINISTRATIVOS Y FINANCIEROS DEL DOCTORADO. 7) APOYAR LA CONSTRUCCIÓN Y MANEJO DE BASES DE DATOS DEL DOCTORADO. 8) APOYAR A LA GESTIÓN DE LOS PROCESOS DE VINCULACIÓN Y EVALUACIÓN DE LOS DOCENTES INVITADOS AL DOCTORADO, COORDINAR LOS REQUERIMIENTOS PARA LA REALIZACIÓN DE SUS ACTIVIDADES, VELAR POR LA BUENA ADMINISTRACIÓN DE LOS RECURSOS DEL PROGRAMA. 9) APOYAR LA ACTUALIZACIÓN DE INFORMACIÓN EN LA PÁGINA WEB DEL PROGRAMA Y APOYAR LA VISIBILIDAD DE LA MISMA. 10) ASISTIR A LAS ACTIVIDADES GENERALES, ELABORACIÓN Y PRESENTACIÓN DE INFORMES E INFORMACIÓN SOLICITADA POR LA FACULTAD Y/O CENTRO DE POSTGRADOS Y FORMACIÓN CONTINUA. </t>
  </si>
  <si>
    <t>https://community.secop.gov.co/Public/Tendering/OpportunityDetail/Index?noticeUID=CO1.NTC.4077433&amp;isFromPublicArea=True&amp;isModal=true&amp;asPopupView=true</t>
  </si>
  <si>
    <t>OPSP-FCE-015-2023</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</si>
  <si>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</si>
  <si>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https://community.secop.gov.co/Public/Tendering/OpportunityDetail/Index?noticeUID=CO1.NTC.4078192&amp;isFromPublicArea=True&amp;isModal=true&amp;asPopupView=true</t>
  </si>
  <si>
    <t>OPSP-FCE-016-2023</t>
  </si>
  <si>
    <t xml:space="preserve">EN EL MARCO DEL DOCTORADO EN EDUCACIÓN, INTERCULTURALIDAD Y TERRITORIO EL CONTRATISTA DESARROLLARÁ LAS SIGUIENTES ACTIVIDADES: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A LA GESTIÓN Y ORGANIZACIÓN DE LAS ACTIVIDADES ACADÉMICAS DE DOCENTES INVITADOS EN LA REALIZACIÓN DE TALLERES Y SEMINARIOS, COORDINAR LOS REQUERIMIENTOS PARA SU REALIZACIÓN, VELAR POR LA BUENA ADMINISTRACIÓN DE LOS RECURSOS DEL PROGRAMA. 9) ASISTIR A LAS ACTIVIDADES GENERALES PROGRAMADAS POR LA FACULTAD DE CIENCIAS DE LA EDUCACIÓN Y LA DIRECCIÓN DE CENTRO DE POSTGRADOS Y FORMACIÓN CONTINUA. </t>
  </si>
  <si>
    <t>https://community.secop.gov.co/Public/Tendering/OpportunityDetail/Index?noticeUID=CO1.NTC.4078503&amp;isFromPublicArea=True&amp;isModal=true&amp;asPopupView=true</t>
  </si>
  <si>
    <t>OPSP-FCE-017-2023</t>
  </si>
  <si>
    <t xml:space="preserve">EN EL MARCO DEL DOCTORADO EN EDUCACIÓN, INTERCULTURALIDAD Y TERRITORIO EL CONTRATISTA DESARROLLARÁ LAS SIGUIENTES ACTIVIDADES: 1) ORGANIZAR Y PONDERAR LOS RESÚMENES DE PONENCIAS DE LOS PARTICIPANTES DEL III COLOQUIO INTERNACIONAL EN EDUCACIÓN, INTERCULTURALIDAD Y TERRITORIO. 2) ORGANIZAR LOS FORMATOS DE CESIÓN DE DERECHOS EN LAS CARPETAS RELACIONADAS. 3) REVISAR LOS FORMATOS DE CESIÓN DEBIDAMENTE DILIGENCIADO ESTABLECIENDO LAS RESPECTIVAS FIRMAS DE AUTORIZACIÓN POR CADA PONENTE. 4) ORGANIZAR Y PONDERAR LOS RESÚMENES DE PONENCIA DEL III COLOQUIO EN LA CONSTRUCCIÓN DE LAS MEMORIAS. 5) APOYAR A LA ELABORACIÓN DEL INFORME FINAL ACADÉMICO EN CALIDAD DE PONENTES ACADÉMICOS Y PONENTES ESTUDIANTES DE MAESTRÍA O DOCTORADO DEL MAGNO EVENTO. 6) APOYAR EN EL INFORME FINAL FINANCIERO DE LOS INGRESOS Y GASTOS DEL III COLOQUIO INTERNACIONAL EN EDUCACIÓN, INTERCULTURALIDAD Y TERRITORIO. 7) REALIZAR LA PRESENTACIÓN DE DIAPOSITIVAS CON RESULTADOS ACADÉMICOS Y FINANCIEROS ESTABLECIENDO UN BALANCE GENERAL. 8) SOCIALIZAR EL INFORME FINAL ACADÉMICO Y FINANCIERO DESDE LOS RESULTADOS PONDERADOS DE LOS PARTICIPANTES. 9) ACTUALIZAR LA INFORMACIÓN EN LA PÁGINA WEB DEL III COLOQUIO INTERNACIONAL EN EDUCACIÓN, INTERCULTURALIDAD Y TERRITORIO. 10) ORGANIZAR Y APOYAR EN REUNIÓN DE SOCIALIZACIÓN DE RESULTADOS PONDERADOS DE LOS PARTICIPANTES. 11) ACTUALIZAR LA INFORMACIÓN REFERENTE AL PROCESO DE PUBLICACIÓN EN LAS MEMORIAS DEL III COLOQUIO INTERNACIONAL EN EDUCACIÓN, INTERCULTURALIDAD Y TERRITORIO A LOS PARTICIPANTES. 12) ENVIAR LAS COMUNICACIONES A LAS DIFERENTES DEPENDENCIAS EN ARAS A LA ESTRUCTURACIÓN DEL INFORME FINAL. 13) SISTEMATIZAR A LOS PARTICIPANTES EN CALIDAD DE ACADÉMICOS, ESTUDIANTES DE MAESTRÍA O DOCTORADO Y ASISTENTES EN FORMATOS DE REGISTROS. 14) SISTEMATIZAR LAS INSTITUCIONES Y UNIVERSIDADES PARTICIPANTES EN EL III COLOQUIO INTERNACIONAL EN EDUCACIÓN, INTERCULTURALIDAD Y TERRITORIO. 15) ORGANIZAR Y APOYAR EN REUNIONES CON LAS DIFERENTES DEPENDENCIAS EN ARAS AL RESPECTIVO APOYO AL MAGNO EVENTO. 16) ENVIAR Y RECEPCIONAR LA CORRESPONDENCIA DOCUMENTAL PERTINENTE DEL EVENTO. </t>
  </si>
  <si>
    <t>https://community.secop.gov.co/Public/Tendering/OpportunityDetail/Index?noticeUID=CO1.NTC.4184918&amp;isFromPublicArea=True&amp;isModal=true&amp;asPopupView=true</t>
  </si>
  <si>
    <t>LIQUIDADO</t>
  </si>
  <si>
    <t>OPSP-FCE-018-2023</t>
  </si>
  <si>
    <t xml:space="preserve">NATALIA SUAREZ CORTINA </t>
  </si>
  <si>
    <t>APOYAR EN EL CUMPLIMIENTO DE LOS PROCEDIMIENTOS, PROTOCOLOS, GUÍAS Y AGENDAS DISEÑADOS PARA EL ÓPTIMO FUNCIONAMIENTO DEL PROGRAMA DE LICENCIATURA EN ARTES.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</si>
  <si>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OPS-FCE-002-2023</t>
  </si>
  <si>
    <t xml:space="preserve">JAIME ALFONSO LARGE MACHI </t>
  </si>
  <si>
    <t>SERVICIO DE LITOGRÁFICO DE 20 PENDONES DE 200X100 CON PORTA PENDÓN METÁLICO, 10 PASACALLES DE 300X100, 1000 PLEGABLES IMPRESOS A FULL COLOR EN PAPEL PROPALCOTE BRILLANTE POR TIRO Y RETIRO, 700 CERTIFICADOS IMPRESOS EN LÁSER COLOR EN PAPEL OPALINA DE 220 GRAMOS A FULL COLOR EN PAPEL DE SEGURIDAD, 50 MEDALLAS CON IMPRESIÓN RESINADA, 20 TROFEOS DE PREMIACIÓN MARCADOS EN SUBLIMACIÓN, 300 ESCARAPELAS ESTILO CONGRESO CON IMPRESIÓN Y CORDÓN, 2000 VOLANTES IMPRESOS EN PROPALCOTE A MEDIA CARTA, 300 LAPICEROS MARCADOS.</t>
  </si>
  <si>
    <t>https://community.secop.gov.co/Public/Tendering/OpportunityDetail/Index?noticeUID=CO1.NTC.4323814&amp;isFromPublicArea=True&amp;isModal=true&amp;asPopupView=true</t>
  </si>
  <si>
    <t>OPSP-FCE-019-2023</t>
  </si>
  <si>
    <t>STEPHANIE PEÑARANDA MEZA</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</si>
  <si>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“DISEÑO UNIVERSAL PARA EL APRENDIZAJE: ESTRATEGIAS Y RECURSOS PARA ATENCIÓN A LA DIVERSIDAD”: 1)  APOYAR EN LA ELEBORACIÓN DEL INFORMTE TECNICO Y FINANCIERO QUE DEBE SER PRESENTADO AL ICBF 2) APOYAR EN LA RECOLECCIÓN DE INFORMACIÓN (ASISTENCIA, EVIDENCIAS) PARA LA CONSTRUCCIÓN DE LOS INFORMES TÉCNICO Y FINANCIERO. </t>
  </si>
  <si>
    <t>https://community.secop.gov.co/Public/Tendering/OpportunityDetail/Index?noticeUID=CO1.NTC.4414759&amp;isFromPublicArea=True&amp;isModal=true&amp;asPopupView=true</t>
  </si>
  <si>
    <t>OPSP-FCE-0020-2023</t>
  </si>
  <si>
    <t>pRESTACION DE SERVICIOS</t>
  </si>
  <si>
    <t>KEGUIN JOSE GONZALEZ CASTRO</t>
  </si>
  <si>
    <t>EN EL MARCO DEL X SIMPOSIO INTERNACIONAL DE CURRÍCULO  Y POLÍTICAS EDUCATIVAS: "LA EDUCACIÓN COMO MOTOR DE CAMBIO SOCIAL: POLÍTICAS Y PRÁCTICAS PARA UNA SOCIEDAD JUSTA", EL CONTRATISTA DESARROLLARÁ LAS SIGUIENTES ACTIVIDADES: 1) APOYAR EN LA ELABORACIÓN DE LAS CARTAS DE INVITACIÓN, ACEPTACIÓN, CERTIFICADOS, 2) APOYAR EN LA ELABORACIÓN DE MATERIAL PUBLICITARIO,  3) APOYAR EN LA ELABORACIÓN DE UN ANÁLISIS DE LA INFORMACIÓN SUMINISTRADA POR LOS INVITADOS, 4) APOYAR EL PROCESO DE INSCRIPCIÓN DE LOS ASISTENTES Y PONENTES, 5) ORGANIZAR Y TABULAR LA INFORMACIÓN RECIBIDA, 6) APOYAR EN LAS LLAMADAS TELEFÓNICAS Y  CORREOS CUYA FINALIDAD SEAN SOLICITUD DE INFORMACIÓN, ORIENTACIÓN, ORGANIZACIÓN DE LA INFORMACIÓN Y TABULACIÓN DE DATOS, 7) SUMINISTRAR INFORMACIÓN PARA CREAR LA AGENDA DEL EVENTO, 8) APOYAR EN LA HERRAMIENTA QUESTION PRO EN EL PROCESO DE INSCRIPCIÓN, 9) APOYAR EN LAS SALAS (PRESENTACIÓN PONENCIAS DURANTE EL EVENTO), ORGANIZACIÓN DE LOS EXTENSOS Y DOCUMENTOS PROPIOS DEL SIMPOSIO PARA POSTERIOR CREACIÓN DE LAS MEMORIAS DEL EVENTO, 10) PRESENTAR UN INFORME DETALLADO DE LOS PAGO REALIZADOS POR PARTE DE LOS ASISTENTES EN LAS DISTINTAS MODALIDADES DE PARTICIPACIÓN, 11) ASISTIR AL COMITÉ TÉCNICO Y CIENTÍFICO EN LAS ACTIVIDADES QUE LO REQUIERAN.</t>
  </si>
  <si>
    <t>https://community.secop.gov.co/Public/Tendering/ContractNoticePhases/View?PPI=CO1.PPI.25555552&amp;isFromPublicArea=True&amp;isModal=False</t>
  </si>
  <si>
    <t>OPSP-FCE-0021-2023</t>
  </si>
  <si>
    <t>APOYAR EN EL ACOPIO, ORGANIZACIÓN Y SISTEMATIZACIÓN DE LA INFORMACIÓN RELACIONADA CON LOS PROCESOS DE AUTOEVALUACIÓN EN LOS PROGRAMAS ADSCRITOS A LA FACULTAD DE CIENCIAS DE LA EDUCACIÓN. 2.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3) ASISTIR A LAS ACTIVIDADES GENERALES PROGRAMADAS POR LA FACULTAD DE CIENCIAS DE LA EDUCACIÓN RELACIONADA CON LOS PROCESOS DE AUTOEVALUACIÓN</t>
  </si>
  <si>
    <t>TOTALES</t>
  </si>
  <si>
    <t>(F) Fecha Final Pactada en OTRO SI de Adición y/o Disminución en Plazo  
(yyyy/mm/dd)</t>
  </si>
  <si>
    <t xml:space="preserve">(N) Cantidad Total de OTROS SI (Adición y/o Disminución en Valor/Plazo, Modificatorio) </t>
  </si>
  <si>
    <t>CYNTHIA MILENA YEPEZ CAMPO</t>
  </si>
  <si>
    <t>ASESORAR Y COORDINAR  LA ORGANIZACIÓN Y LOGÍSTICA DE LAS ACTIVIDADES RELACIONADAS CON EL FUNCIONAMIENTO DE LAS COHORTES ACTIVAS DE LOS PROGRAMAS DE  LA DOCTORADO EN CIENCIA DEL MAR, CIENCIAS FÍSICAS Y MAESTRÍA EN CIENCIAS FÍSICAS.</t>
  </si>
  <si>
    <t>SAMUEL GUILLERMO NUÑEZ RICARDO</t>
  </si>
  <si>
    <t>https://community.secop.gov.co/Public/Tendering/OpportunityDetail/Index?noticeUID=CO1.NTC.3867790&amp;isFromPublicArea=True&amp;isModal=true&amp;asPopupView=true</t>
  </si>
  <si>
    <t>ALEJANDRO CELY JIMENEZ</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</si>
  <si>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</si>
  <si>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ALBERTO ANTONIO RUIZ MIER</t>
  </si>
  <si>
    <t>https://community.secop.gov.co/Public/Tendering/OpportunityDetail/Index?noticeUID=CO1.NTC.3867785&amp;isFromPublicArea=True&amp;isModal=true&amp;asPopupView=true</t>
  </si>
  <si>
    <t>OLGA MARIA CAMACHO HADAD</t>
  </si>
  <si>
    <t>ASEGURAR EL CUMPLIMIENTO DEL REGLAMENTO ACUERDO SUPERIOR 19 Y DEMÁS NORMAS UNIVERSITARIAS EN EL PROGRAMA A SU CARGO COORDINAR EL PROCESO DE ADMISIÓN AL PROGRAMA CON LA COLABORACIÓN DEL GRUPO DE ADMISIONES REGISTROS Y CONTROL ACADÉMICO MONITOREAR LA ORGANIZACIÓN Y MARCHA DEL PROGRAMA EN CONSONANCIA CON LAS DETERMINACIONES DEL CONSEJO DE PROGRAMA Y EL CONSEJO DE FACULTAD LIDERAR LOS PROCESOS DE AUTOEVALUACIÓN DE EVALUACIÓN POR PARES Y DE ACREDITACIÓN DEL RESPECTIVO PROGRAMA  PRESIDIR EL CONSEJO DE PROGRAMA EN AUSENCIA DEL DECANO Y MANTENER UN ARCHIVO CON LAS ACTAS Y DOCUMENTOS OFICIALES DEL PROGRAMA DE POSGRADO</t>
  </si>
  <si>
    <t>https://community.secop.gov.co/Public/Tendering/OpportunityDetail/Index?noticeUID=CO1.NTC.4077255&amp;isFromPublicArea=True&amp;isModal=true&amp;asPopupView=true</t>
  </si>
  <si>
    <t>HAROLD DE JESUS ARAQUE GARCIA</t>
  </si>
  <si>
    <t>ASESORAR EN LOS PROCESOS DE CREACIÓN DE NUEVOS PROGRAMAS DE LA FACULTAD DE CIENCIAS BÁSICAS, EN ARTICULACIÓN CON LA OFICINA DE ASEGURAMIENTO DE LA CALIDAD  APOYAR EN LOS PROCESO Y REVISIÓN DE LOS DOCUMENTOS NECESARIOS PARA LA SOLICITUD DE LOS REGISTROS CALIFICADOS NUEVOS REALIZAR LA REVISIÓN DE ESTILO GRAMÁTICA Y REDACCIÓN DE LAS DIFERENTES CONDICIONES DE CALIDAD PARA SOLICITUD DE REGISTRO CALIFICADO ORGANIZAR LAS EVIDENCIAS, ANEXOS TÉCNICOS Y DEMÁS DOCUMENTOS QUE REQUIERA LA PLATAFORMA PARA OBTENCIÓN DE REGISTROS CALIFICADOS APOYAR EN LA RECOPILACIÓN DE INFORMACIÓN PARA LA CREACIÓN DE NUEVOS PROGRAMAS (CONSULTA A PÁGINAS DEL GOBIERNO NACIONAL, SNIES, OBSERVATORIO LABORAL ETC</t>
  </si>
  <si>
    <t>https://community.secop.gov.co/Public/Tendering/OpportunityDetail/Index?noticeUID=CO1.NTC.4336709&amp;isFromPublicArea=True&amp;isModal=true&amp;asPopupView=true</t>
  </si>
  <si>
    <t>APOYO A LA CONSTRUCCIÓN DEL INFORME FINAL DE AUTOEVALUACIÓN DEL DOCTORADO. 2. APOYO AL DILIGENCIAMIENTO DE LOS CUADROS MAESTROS CORRESPONDIENTES AL PROCESO DE AUTOEVALUACIÓN CON FINES DE ACREDITACIÓN EN ALTA CALIDAD DEL PROGRAMA. 3. DIGITALIZACIÓN Y SISTEMATIZACIÓN DE LA PRODUCCIÓN ACADÉMICA DE LOS GRUPOS DE INVESTIGACIÓN QUE SOPORTAN EL PROGRAMA. 4. GESTIÓN DOCUMENTAL DE INSUMOS QUE SOPORTAN LA CONSTRUCCIÓN DEL INFORME FINAL DE AUTOEVALUACIÓN DEL DOCTORADO. 5. APOYO A LA SISTEMATIZACIÓN DE INFORMACIÓN RELACIONADA CON INSTRUMENTOS DILIGENCIADOS POR LOS ESTAMENTOS DEL PROGRAMA EN EL MARCO DEL PROCESO DE AUTOEVALUACIÓN CON FINES DE ACREDITACIÓN EN ALTA CALIDAD. 6. PRESENTACIÓN DE LOS INFORMES SOLICITADOS POR LA DIRECCIÓN ACADÉMICA DEL PROGRAMA, LA FACULTAD DE CIENCIAS BÁSICAS Y LA UNIVERSIDAD, RELACIONADOS CON EL PROCESO DE AUTOEVALUACIÓN CON FINES DE ACREDITACIÓN EN ALTA CALIDAD DEL PROGRAMA. 7. APOYO EN LA COORDINACIÓN DE COMITÉS DE AUTOEVALUACIÓN DEL PROGRAMA.</t>
  </si>
  <si>
    <t>https://community.secop.gov.co/Public/Tendering/OpportunityDetail/Index?noticeUID=CO1.NTC.4366106&amp;isFromPublicArea=True&amp;isModal=true&amp;asPopupView=true</t>
  </si>
  <si>
    <t>OPSP-FCB-0006-2023</t>
  </si>
  <si>
    <t>https://community.secop.gov.co/Public/Tendering/ContractNoticePhases/View?PPI=CO1.PPI.26210193&amp;isFromPublicArea=True&amp;isModal=False</t>
  </si>
  <si>
    <t>OPSP-FCB-0007-2023</t>
  </si>
  <si>
    <t>https://community.secop.gov.co/Public/Tendering/ContractNoticePhases/View?PPI=CO1.PPI.26211787&amp;isFromPublicArea=True&amp;isModal=False</t>
  </si>
  <si>
    <t>OPSP-FCB-0008-2023</t>
  </si>
  <si>
    <t>https://community.secop.gov.co/Public/Tendering/ContractNoticePhases/View?PPI=CO1.PPI.26212959&amp;isFromPublicArea=True&amp;isModal=False</t>
  </si>
  <si>
    <t>OPSP-FCB-0009-2023</t>
  </si>
  <si>
    <t>https://community.secop.gov.co/Public/Tendering/ContractNoticePhases/View?PPI=CO1.PPI.26213319&amp;isFromPublicArea=True&amp;isModal=False</t>
  </si>
  <si>
    <t>OPSP-CREO-0001-2023</t>
  </si>
  <si>
    <t>JORGE ALBERTO MOZO GALVIS</t>
  </si>
  <si>
    <t>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</si>
  <si>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RUTH ISABEL SEVERICHE MONTAGUTH</t>
  </si>
  <si>
    <t>https://community.secop.gov.co/Public/Tendering/ContractNoticePhases/View?PPI=CO1.PPI.22816019&amp;isFromPublicArea=True&amp;isModal=False</t>
  </si>
  <si>
    <t>OAG-CREO-0002-2023</t>
  </si>
  <si>
    <t>RONAL ANDRES GARCIA MIRANDA</t>
  </si>
  <si>
    <t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t>
  </si>
  <si>
    <t>BIERIS OFFIR JIMENEZ TORRES</t>
  </si>
  <si>
    <t>https://community.secop.gov.co/Public/Tendering/ContractNoticePhases/View?PPI=CO1.PPI.22818482&amp;isFromPublicArea=True&amp;isModal=False</t>
  </si>
  <si>
    <t>OAG-CREO-0003-2023</t>
  </si>
  <si>
    <t>DIANA MILEIDY FERNANDEZ VARGAS</t>
  </si>
  <si>
    <t>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</si>
  <si>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</si>
  <si>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https://community.secop.gov.co/Public/Tendering/ContractNoticePhases/View?PPI=CO1.PPI.22819863&amp;isFromPublicArea=True&amp;isModal=False</t>
  </si>
  <si>
    <t>OPSP-CREO-0004-2023</t>
  </si>
  <si>
    <t>ANGEL CUSTODIO MUÑOZ ARIAS</t>
  </si>
  <si>
    <t>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</si>
  <si>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</si>
  <si>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https://community.secop.gov.co/Public/Tendering/ContractNoticePhases/View?PPI=CO1.PPI.22821200&amp;isFromPublicArea=True&amp;isModal=False</t>
  </si>
  <si>
    <t>OAG-CREO-0005-2023</t>
  </si>
  <si>
    <t>MARISOL ACUÑA CANTILLO</t>
  </si>
  <si>
    <r>
      <t>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</si>
  <si>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https://community.secop.gov.co/Public/Tendering/ContractNoticePhases/View?PPI=CO1.PPI.22822073&amp;isFromPublicArea=True&amp;isModal=False</t>
  </si>
  <si>
    <t>OAG-CREO-0006-2023</t>
  </si>
  <si>
    <t>MILTON JOSE MANJARRES MARTINEZ</t>
  </si>
  <si>
    <t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</si>
  <si>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NELSON DAZA GOENAGA</t>
  </si>
  <si>
    <t>https://community.secop.gov.co/Public/Tendering/ContractNoticePhases/View?PPI=CO1.PPI.22850132&amp;isFromPublicArea=True&amp;isModal=False</t>
  </si>
  <si>
    <t>OPSP-CREO-0007-2023</t>
  </si>
  <si>
    <t>SILENYS ELISA ARIAS VARGAS</t>
  </si>
  <si>
    <t>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</si>
  <si>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https://community.secop.gov.co/Public/Tendering/ContractNoticePhases/View?PPI=CO1.PPI.22850578&amp;isFromPublicArea=True&amp;isModal=False</t>
  </si>
  <si>
    <t>OAG-CREO-0008-2023</t>
  </si>
  <si>
    <t>ALEJANDRO DAVID MARTINEZ JIMENEZ</t>
  </si>
  <si>
    <t>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</si>
  <si>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</si>
  <si>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https://community.secop.gov.co/Public/Tendering/ContractNoticePhases/View?PPI=CO1.PPI.22852221&amp;isFromPublicArea=True&amp;isModal=False</t>
  </si>
  <si>
    <t>OAG-CREO-0009-2023</t>
  </si>
  <si>
    <t>JOEL BISMAR DIAZ RODRIGUEZ</t>
  </si>
  <si>
    <t>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t>
  </si>
  <si>
    <t>https://community.secop.gov.co/Public/Tendering/ContractNoticePhases/View?PPI=CO1.PPI.22856939&amp;isFromPublicArea=True&amp;isModal=False</t>
  </si>
  <si>
    <t>OAG-CREO-0010-2023</t>
  </si>
  <si>
    <t>LINDA PATRICIA ALVARADO DE LA OSSA</t>
  </si>
  <si>
    <t>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</si>
  <si>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</si>
  <si>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https://community.secop.gov.co/Public/Tendering/ContractNoticePhases/View?PPI=CO1.PPI.22857813&amp;isFromPublicArea=True&amp;isModal=False</t>
  </si>
  <si>
    <t>OAG-CREO-0011-2023</t>
  </si>
  <si>
    <t>YULITZA ESTHER MARTINEZ LARA</t>
  </si>
  <si>
    <t>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</si>
  <si>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https://community.secop.gov.co/Public/Tendering/ContractNoticePhases/View?PPI=CO1.PPI.22859207&amp;isFromPublicArea=True&amp;isModal=False</t>
  </si>
  <si>
    <t>OAG-CREO-0012-2023</t>
  </si>
  <si>
    <t>JENNIFER PAOLA SALAS CALDERON</t>
  </si>
  <si>
    <r>
      <t>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Calibri"/>
        <family val="2"/>
        <scheme val="minor"/>
      </rPr>
      <t>.</t>
    </r>
    <r>
      <rPr>
        <sz val="10"/>
        <color theme="1"/>
        <rFont val="Calibri"/>
        <family val="2"/>
        <scheme val="minor"/>
      </rPr>
      <t xml:space="preserve">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DESARROLLODE LAS ACTIVIDADES OBJETO DE LA PRESENTE ORDEN, DE LO CUAL DEBERÁ DEJARSE CONSTANCIA ESCRITA.</t>
    </r>
  </si>
  <si>
    <t>RUBEN DARIO LOPEZ SEPULVEDA</t>
  </si>
  <si>
    <t>https://community.secop.gov.co/Public/Tendering/ContractNoticePhases/View?PPI=CO1.PPI.22860213&amp;isFromPublicArea=True&amp;isModal=False</t>
  </si>
  <si>
    <t>OAG-CREO-0013-2023</t>
  </si>
  <si>
    <t>MARIA TERESA GARAY PAEZ</t>
  </si>
  <si>
    <t>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</si>
  <si>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https://community.secop.gov.co/Public/Tendering/ContractNoticePhases/View?PPI=CO1.PPI.22861026&amp;isFromPublicArea=True&amp;isModal=False</t>
  </si>
  <si>
    <t>OAG-CREO-0014-2023</t>
  </si>
  <si>
    <t>MELISSA LEONOR SUAREZ DIAZ</t>
  </si>
  <si>
    <r>
      <t>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</si>
  <si>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https://community.secop.gov.co/Public/Tendering/ContractNoticePhases/View?PPI=CO1.PPI.22861978&amp;isFromPublicArea=True&amp;isModal=False</t>
  </si>
  <si>
    <t>OAG-CREO-0015-2023</t>
  </si>
  <si>
    <t>LOLIENA PAOLA ROJAS NUÑEZ</t>
  </si>
  <si>
    <r>
      <t xml:space="preserve">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</si>
  <si>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https://community.secop.gov.co/Public/Tendering/ContractNoticePhases/View?PPI=CO1.PPI.22863727&amp;isFromPublicArea=True&amp;isModal=False</t>
  </si>
  <si>
    <t>OAG-CREO-0016-2023</t>
  </si>
  <si>
    <t>LAURA CAROLINA MARMOL CARRACEDO</t>
  </si>
  <si>
    <r>
      <t xml:space="preserve">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</si>
  <si>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https://community.secop.gov.co/Public/Tendering/ContractNoticePhases/View?PPI=CO1.PPI.22865261&amp;isFromPublicArea=True&amp;isModal=False</t>
  </si>
  <si>
    <t>OAG-CREO-0017-2023</t>
  </si>
  <si>
    <t>ELEDIS ELENA CATAÑO SOSA</t>
  </si>
  <si>
    <r>
      <t xml:space="preserve">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</si>
  <si>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https://community.secop.gov.co/Public/Tendering/ContractNoticePhases/View?PPI=CO1.PPI.22866067&amp;isFromPublicArea=True&amp;isModal=False</t>
  </si>
  <si>
    <t>OAG-CREO-0018-2023</t>
  </si>
  <si>
    <t>RAFAEL EMILIO COLLANTE BALLEN</t>
  </si>
  <si>
    <r>
      <t xml:space="preserve">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</si>
  <si>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https://community.secop.gov.co/Public/Tendering/ContractNoticePhases/View?PPI=CO1.PPI.22867216&amp;isFromPublicArea=True&amp;isModal=False</t>
  </si>
  <si>
    <t>OAG-CREO-0019-2023</t>
  </si>
  <si>
    <t>MARTHA SANCHEZ GARCIA</t>
  </si>
  <si>
    <r>
      <t xml:space="preserve">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SUPERVISORDE LA PRESENTE ORDEN CRONOGRAMAS PARA EL DESARROLLO DE LAS ACTIVIDADES OBJETO DE LA PRESENTE ORDEN, DE LO CUAL DEBERÁ DEJARSE CONSTANCIA ESCRITA.</t>
    </r>
  </si>
  <si>
    <t>ANDERSON IGNACIO MARIN VIDAL</t>
  </si>
  <si>
    <t>https://community.secop.gov.co/Public/Tendering/ContractNoticePhases/View?PPI=CO1.PPI.22868005&amp;isFromPublicArea=True&amp;isModal=False</t>
  </si>
  <si>
    <t>OAG-CREO-0020-2023</t>
  </si>
  <si>
    <t>ANGELICA SANCHEZ MANGA</t>
  </si>
  <si>
    <t>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t>
  </si>
  <si>
    <t>BERNARDO JOSE SAADE MEJIA</t>
  </si>
  <si>
    <t>https://community.secop.gov.co/Public/Tendering/ContractNoticePhases/View?PPI=CO1.PPI.22867975&amp;isFromPublicArea=True&amp;isModal=False</t>
  </si>
  <si>
    <t>OAG-CREO-0021-2023</t>
  </si>
  <si>
    <t>EUGENIA MORELLI DAZA</t>
  </si>
  <si>
    <r>
      <t>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</si>
  <si>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https://community.secop.gov.co/Public/Tendering/ContractNoticePhases/View?PPI=CO1.PPI.22901539&amp;isFromPublicArea=True&amp;isModal=False</t>
  </si>
  <si>
    <t>OAG-CREO-0022-2023</t>
  </si>
  <si>
    <t>DIGNA MARIA JARABA GONZALEZ</t>
  </si>
  <si>
    <r>
      <t xml:space="preserve">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</si>
  <si>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https://community.secop.gov.co/Public/Tendering/ContractNoticePhases/View?PPI=CO1.PPI.23040574&amp;isFromPublicArea=True&amp;isModal=False</t>
  </si>
  <si>
    <t>OAG-CREO-0023-2023</t>
  </si>
  <si>
    <t>GABRIELA MERCEDES ESTRADA NIETO</t>
  </si>
  <si>
    <r>
      <t xml:space="preserve">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</si>
  <si>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https://community.secop.gov.co/Public/Tendering/ContractNoticePhases/View?PPI=CO1.PPI.23066682&amp;isFromPublicArea=True&amp;isModal=False</t>
  </si>
  <si>
    <t>OPSP-CREO-0024-2023</t>
  </si>
  <si>
    <t>GERMAN LEONARDO PEÑA MARTINEZ</t>
  </si>
  <si>
    <r>
      <t xml:space="preserve">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</si>
  <si>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DI ESTEFANO PEDERNERA BARCELO SANCHEZ</t>
  </si>
  <si>
    <t>https://community.secop.gov.co/Public/Tendering/ContractNoticePhases/View?PPI=CO1.PPI.23067427&amp;isFromPublicArea=True&amp;isModal=False</t>
  </si>
  <si>
    <t>OAG-CREO-0025-2023</t>
  </si>
  <si>
    <t>AURELIO MANUEL BONETT SOLANO</t>
  </si>
  <si>
    <r>
      <t>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t>
    </r>
    <r>
      <rPr>
        <b/>
        <sz val="10"/>
        <color theme="1"/>
        <rFont val="Calibri"/>
        <family val="2"/>
        <scheme val="minor"/>
      </rPr>
      <t xml:space="preserve">. 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</si>
  <si>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https://community.secop.gov.co/Public/Tendering/ContractNoticePhases/View?PPI=CO1.PPI.23069640&amp;isFromPublicArea=True&amp;isModal=False</t>
  </si>
  <si>
    <t>OAG-CREO-0026-2023</t>
  </si>
  <si>
    <t>CHAUNI ALEJANDRA LOPEZ PATERNINA</t>
  </si>
  <si>
    <r>
      <t xml:space="preserve">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</si>
  <si>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https://community.secop.gov.co/Public/Tendering/ContractNoticePhases/View?PPI=CO1.PPI.23070593&amp;isFromPublicArea=True&amp;isModal=False</t>
  </si>
  <si>
    <t>OAG-CREO-0027-2023</t>
  </si>
  <si>
    <t>TANIA ESTHER OLIVEROS ACOSTA</t>
  </si>
  <si>
    <r>
      <t xml:space="preserve">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</si>
  <si>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https://community.secop.gov.co/Public/Tendering/ContractNoticePhases/View?PPI=CO1.PPI.23071822&amp;isFromPublicArea=True&amp;isModal=False</t>
  </si>
  <si>
    <t>OPSP-CREO-0028-2023</t>
  </si>
  <si>
    <t>ERIKA PATRICIA FRANCO USUGA</t>
  </si>
  <si>
    <r>
      <t xml:space="preserve">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</si>
  <si>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https://community.secop.gov.co/Public/Tendering/ContractNoticePhases/View?PPI=CO1.PPI.23102184&amp;isFromPublicArea=True&amp;isModal=False</t>
  </si>
  <si>
    <t>OPSP-CREO-0029-2023</t>
  </si>
  <si>
    <t>ELIEL MOISES GUEVARA CARIAGA</t>
  </si>
  <si>
    <r>
      <t xml:space="preserve">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t>
    </r>
    <r>
      <rPr>
        <b/>
        <sz val="10"/>
        <color rgb="FF000000"/>
        <rFont val="Calibri"/>
        <family val="2"/>
        <scheme val="minor"/>
      </rPr>
      <t xml:space="preserve">PARÁGRAFO PRIMERO: </t>
    </r>
    <r>
      <rPr>
        <sz val="10"/>
        <color rgb="FF000000"/>
        <rFont val="Calibri"/>
        <family val="2"/>
        <scheme val="minor"/>
      </rPr>
      <t xml:space="preserve">EN EL CASO QUE </t>
    </r>
    <r>
      <rPr>
        <b/>
        <sz val="10"/>
        <color rgb="FF000000"/>
        <rFont val="Calibri"/>
        <family val="2"/>
        <scheme val="minor"/>
      </rPr>
      <t xml:space="preserve">EL CONTRATISTA </t>
    </r>
    <r>
      <rPr>
        <sz val="10"/>
        <color rgb="FF000000"/>
        <rFont val="Calibri"/>
        <family val="2"/>
        <scheme val="minor"/>
      </rPr>
      <t xml:space="preserve">LO REQUIERA, </t>
    </r>
    <r>
      <rPr>
        <b/>
        <sz val="10"/>
        <color rgb="FF000000"/>
        <rFont val="Calibri"/>
        <family val="2"/>
        <scheme val="minor"/>
      </rPr>
      <t xml:space="preserve">UNIMAGDALENA </t>
    </r>
    <r>
      <rPr>
        <sz val="10"/>
        <color rgb="FF000000"/>
        <rFont val="Calibri"/>
        <family val="2"/>
        <scheme val="minor"/>
      </rPr>
      <t xml:space="preserve">PODRÁ FACILITARLE LOS EQUIPOS Y ESPACIO FÍSICO NECESARIO DENTRO DEL CAMPUS PARA LA EJECUCIÓN DEL OBJETO DE LA PRESENTE ORDEN. </t>
    </r>
    <r>
      <rPr>
        <b/>
        <sz val="10"/>
        <color rgb="FF000000"/>
        <rFont val="Calibri"/>
        <family val="2"/>
        <scheme val="minor"/>
      </rPr>
      <t xml:space="preserve">PARÁGRAFO SEGUNDO: EL CONTRATISTA </t>
    </r>
    <r>
      <rPr>
        <sz val="10"/>
        <color rgb="FF000000"/>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</si>
  <si>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https://community.secop.gov.co/Public/Tendering/ContractNoticePhases/View?PPI=CO1.PPI.23125769&amp;isFromPublicArea=True&amp;isModal=False</t>
  </si>
  <si>
    <t>OPSP-CREO-0030-2023</t>
  </si>
  <si>
    <t>OSMERY DE LA LUZ REALEZ AGON</t>
  </si>
  <si>
    <r>
      <t xml:space="preserve">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t>
    </r>
    <r>
      <rPr>
        <b/>
        <sz val="10"/>
        <color rgb="FF000000"/>
        <rFont val="Calibri"/>
        <family val="2"/>
        <scheme val="minor"/>
      </rPr>
      <t xml:space="preserve">PARÁGRAFO PRIMERO: </t>
    </r>
    <r>
      <rPr>
        <sz val="10"/>
        <color rgb="FF000000"/>
        <rFont val="Calibri"/>
        <family val="2"/>
        <scheme val="minor"/>
      </rPr>
      <t xml:space="preserve">EN EL CASO QUE </t>
    </r>
    <r>
      <rPr>
        <b/>
        <sz val="10"/>
        <color rgb="FF000000"/>
        <rFont val="Calibri"/>
        <family val="2"/>
        <scheme val="minor"/>
      </rPr>
      <t xml:space="preserve">EL CONTRATISTA </t>
    </r>
    <r>
      <rPr>
        <sz val="10"/>
        <color rgb="FF000000"/>
        <rFont val="Calibri"/>
        <family val="2"/>
        <scheme val="minor"/>
      </rPr>
      <t xml:space="preserve">LO REQUIERA, </t>
    </r>
    <r>
      <rPr>
        <b/>
        <sz val="10"/>
        <color rgb="FF000000"/>
        <rFont val="Calibri"/>
        <family val="2"/>
        <scheme val="minor"/>
      </rPr>
      <t xml:space="preserve">UNIMAGDALENA </t>
    </r>
    <r>
      <rPr>
        <sz val="10"/>
        <color rgb="FF000000"/>
        <rFont val="Calibri"/>
        <family val="2"/>
        <scheme val="minor"/>
      </rPr>
      <t xml:space="preserve">PODRÁ FACILITARLE LOS EQUIPOS Y ESPACIO FÍSICO NECESARIO DENTRO DEL CAMPUS PARA LA EJECUCIÓN DEL OBJETO DE LA PRESENTE ORDEN. </t>
    </r>
    <r>
      <rPr>
        <b/>
        <sz val="10"/>
        <color rgb="FF000000"/>
        <rFont val="Calibri"/>
        <family val="2"/>
        <scheme val="minor"/>
      </rPr>
      <t>PARÁGRAFO SEGUNDO: EL</t>
    </r>
    <r>
      <rPr>
        <sz val="10"/>
        <color rgb="FF000000"/>
        <rFont val="Calibri"/>
        <family val="2"/>
        <scheme val="minor"/>
      </rPr>
      <t xml:space="preserve"> </t>
    </r>
    <r>
      <rPr>
        <b/>
        <sz val="10"/>
        <color rgb="FF000000"/>
        <rFont val="Calibri"/>
        <family val="2"/>
        <scheme val="minor"/>
      </rPr>
      <t xml:space="preserve">CONTRATISTA </t>
    </r>
    <r>
      <rPr>
        <sz val="10"/>
        <color rgb="FF000000"/>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</si>
  <si>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https://community.secop.gov.co/Public/Tendering/ContractNoticePhases/View?PPI=CO1.PPI.23199601&amp;isFromPublicArea=True&amp;isModal=False</t>
  </si>
  <si>
    <t>OPSP-CREO-0031-2023</t>
  </si>
  <si>
    <t>MARINELA JOHANNA TRUJILLO ESMERAL</t>
  </si>
  <si>
    <r>
      <t xml:space="preserve">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</si>
  <si>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https://community.secop.gov.co/Public/Tendering/ContractNoticePhases/View?PPI=CO1.PPI.23199681&amp;isFromPublicArea=True&amp;isModal=False</t>
  </si>
  <si>
    <t>OPSP-CREO-0032-2023</t>
  </si>
  <si>
    <t>MAYELIS DEL CARMEN MUÑOZ GOMEZ</t>
  </si>
  <si>
    <r>
      <t xml:space="preserve">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DISPOSICIONES QUE EN MATERIA DE GESTIÓN DOCUMENTAL SE ADOPTEN EN LA UNIVERSIDAD.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</si>
  <si>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https://community.secop.gov.co/Public/Tendering/ContractNoticePhases/View?PPI=CO1.PPI.23200608&amp;isFromPublicArea=True&amp;isModal=False</t>
  </si>
  <si>
    <t>OPSP-CREO-0033-2023</t>
  </si>
  <si>
    <t>MILTON MAURICIO CASTRO LEON</t>
  </si>
  <si>
    <r>
      <t xml:space="preserve">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</si>
  <si>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https://community.secop.gov.co/Public/Tendering/ContractNoticePhases/View?PPI=CO1.PPI.23235679&amp;isFromPublicArea=True&amp;isModal=False</t>
  </si>
  <si>
    <t>OAG-CREO-0034-2023</t>
  </si>
  <si>
    <t>ROSITA CARMEN VALENCIA NAVARRO</t>
  </si>
  <si>
    <t>DESARROLLAR LAS SIGUIENTES ACTIVIDADES DE APOYO PARA EL PERIODO 2023-I EN EL PROGRAMA DE PROFESIONAL EN ADMINISTRACIÓN DE LA SEGURIDAD Y SALUD EN EL TRABAJO POR CICLOS PROPEDÉUTICOS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8,) APOYAR EL SEGUIMIENTO A LOS CURSOS DE LA PLATAFORMA VIRTUAL DEL PROGRAMA Y HACER SEGUIMIENTO A LAS ACTIVIDADES DOCENTES Y DE ESTUDIANTES EN LA PLATAFORMA.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</si>
  <si>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https://community.secop.gov.co/Public/Tendering/ContractNoticePhases/View?PPI=CO1.PPI.23669507&amp;isFromPublicArea=True&amp;isModal=False</t>
  </si>
  <si>
    <t>OAG-CREO-0035-2023</t>
  </si>
  <si>
    <t>LORELEY VANESSA NOVOA LIZCANO</t>
  </si>
  <si>
    <t>DESARROLLAR LAS SIGUIENTES ACTIVIDADES DE APOYO ADMINISTRATIVO PARA EL PERIODO 2023-I, EN LAS DIFERENTES MODALIDADES DE GRADO DEL PROGRAMA ADMINISTRACIÓN PÚBLICA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</si>
  <si>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https://community.secop.gov.co/Public/Tendering/ContractNoticePhases/View?PPI=CO1.PPI.23692299&amp;isFromPublicArea=True&amp;isModal=False</t>
  </si>
  <si>
    <t>OAG-CREO-0036-2023</t>
  </si>
  <si>
    <t xml:space="preserve">LUIS AROLDO TURIZO </t>
  </si>
  <si>
    <r>
      <t xml:space="preserve">DESARROLLAR LAS SIGUIENTES ACTIVIDADES ADMINISTRATIVAS DURANTE EL PERIODO 2023-I,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5.CUMPLIR CON LOS PROCEDIMIENTOS DEL PROCESO DE GESTIÓN DEL SISTEMA INTEGRAL DE LA CALIDAD "COGUI +".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</si>
  <si>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https://community.secop.gov.co/Public/Tendering/ContractNoticePhases/View?PPI=CO1.PPI.23823141&amp;isFromPublicArea=True&amp;isModal=False</t>
  </si>
  <si>
    <t>OAG-CREO-0037-2023</t>
  </si>
  <si>
    <t>SILENA ALCENDRA MARTINEZ</t>
  </si>
  <si>
    <t>DESARROLLAR LAS SIGUIENTES ACTIVIDADES DE APOYO AL PROGRAMA TECNOLOGÍA EN ATENCIÓN A LA PRIMERA INFANCIA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</si>
  <si>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https://community.secop.gov.co/Public/Tendering/ContractNoticePhases/View?PPI=CO1.PPI.23896157&amp;isFromPublicArea=True&amp;isModal=False</t>
  </si>
  <si>
    <t>OAG-CREO-0038-2023</t>
  </si>
  <si>
    <t>CAMILA ANDREA GUTIERREZ MACIAS</t>
  </si>
  <si>
    <t>DESARROLLAR LAS SIGUIENTES ACTIVIDADES DE APOYO EN LA ATENCIÓN DE LOS USUARIOS DEL CREO EN EL GRUPO DE ADMISIONES, REGISTRO Y CONTROL ACADÉMICO: 1. APOYAR EN LA ATENCIÓN EN LOS DIFERENTES USUARIOS DEL CREO QUE SE PRESENTAN EN LOS DIFERENTES MEDIOS DE ATENCIÓN QUE DISPONE EL GRUPO DE ADMISIONES, REGISTRO Y CONTROL ACADÉMICO. 2. APOYAR EN LA RECEPCIÓN DE LA DOCUMENTACIÓN REQUERIDA A LOS NUEVOS ESTUDIANTES DE LOS DIFERENTES PROGRAMAS DEL CREO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</si>
  <si>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https://community.secop.gov.co/Public/Tendering/ContractNoticePhases/View?PPI=CO1.PPI.23987534&amp;isFromPublicArea=True&amp;isModal=False</t>
  </si>
  <si>
    <t>OAG-CREO-0039-2023</t>
  </si>
  <si>
    <t>MARIA JOSE LOPEZ BOLAÑO</t>
  </si>
  <si>
    <r>
      <t xml:space="preserve">DESARROLLAR LAS SIGUIENTES ACTIVIDADES DE APOYO ADMINISTRATIVO PARA EL PERIODO 2023-I,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</si>
  <si>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https://community.secop.gov.co/Public/Tendering/ContractNoticePhases/View?PPI=CO1.PPI.24848227&amp;isFromPublicArea=True&amp;isModal=False</t>
  </si>
  <si>
    <t>OAG-CREO-0040-2023</t>
  </si>
  <si>
    <t>MARIA JOSE POLO DE LA CRUZ</t>
  </si>
  <si>
    <t>DESARROLLAR LAS SIGUIENTES ACTIVIDADES DE APOYO ADMINISTRATIVO EN EL CENTRO PARA LA REGIONALIZACIÓN DE LA EDUCACIÓN Y LAS OPORTUNIDADES - CREO: 1.APOYAR EN LA BÚSQUEDA DE INFORMACIÓN CONTRACTUAL PARA LA ELABORACIÓN DE CERTIFICADOS, DERECHOS DE PETICIÓN Y PQR'S DE DOCENTES Y CONTRATISTAS DEL CREO. 2.APOYAR EN LA ORGANIZACIÓN DE LA BASE DE DATOS DE CONTRATISTAS Y DOCENTES DEL CREO PARA GENERAR CERTIFICADOS. 3. APOYAR EN LA BÚSQUEDA Y ENVÍO DE LOS ARCHIVOS CONTRACTUALES QUE SE REQUIERAN PARA LA REALIZACIÓN DE CERTIFICADOS LABORALES DE CONTRATISTAS Y DOCENTES. 4. APOYO EN LA REVISIÓN DE LOS DOCUMENTOS PRECONTRACTUALES PARA LA CONTRATACIÓN DE SUMINISTROS, COMPRAS Y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</si>
  <si>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https://community.secop.gov.co/Public/Tendering/ContractNoticePhases/View?PPI=CO1.PPI.25041927&amp;isFromPublicArea=True&amp;isModal=False</t>
  </si>
  <si>
    <t>OPSP-CREO-0041-2023</t>
  </si>
  <si>
    <t>SILVANA PATRICIA ACERO PEREZ</t>
  </si>
  <si>
    <t>DESARROLLAR LAS SIGUIENTES ACTIVIDADES DE APOYO PROFESIONAL EN LA ATENCIÓN PSICOLÓGICA DE ESTUDIANTES EN EL CENTRO PARA LA REGIONALIZACIÓN DE LA EDUCACIÓN Y LAS OPORTUNIDADES-CREO: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</si>
  <si>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https://community.secop.gov.co/Public/Tendering/ContractNoticePhases/View?PPI=CO1.PPI.25042900&amp;isFromPublicArea=True&amp;isModal=False</t>
  </si>
  <si>
    <t>CA-CREO-0001-2023</t>
  </si>
  <si>
    <t>DELMIX LOPEZ MOSCOTE</t>
  </si>
  <si>
    <t>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60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</si>
  <si>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WILSON VELASQUEZ BASTIDAS</t>
  </si>
  <si>
    <t>https://community.secop.gov.co/Public/Tendering/ContractNoticePhases/View?PPI=CO1.PPI.25937912&amp;isFromPublicArea=True&amp;isModal=False</t>
  </si>
  <si>
    <t>ODC-CREO-0001-2023</t>
  </si>
  <si>
    <t>LADYS CONFECCIONES +O47:O69SAS BIC</t>
  </si>
  <si>
    <t>COMPRADELASSIGUIENTESPRENDASYACCESORIOSDEVESTIRPARALOSCOORDINADORESDELOSDISTINTOSCENTROSTUTORIALESADEMÁSDELVESTUARIODELOSESTUDIANTESYDOCENTESQUECONFORMANELGRUPODEROCKYELGRUPODEJAZZDELPROGRAMATECNOLOGÍAEN ARTES MUSICALES DEL CENTRO PARA REGIONALIZACIÓN PARA LA EDUCACIÓN Y LAS OPORTUNIDADES - CREO:15 CAMISA MANGA LARGA CABALLERO - EN TELA LAFAYETTE CON 2 LOGOS BORDADOS DELANTERO 19 CAMISUETER TIPO POLO - EN TELA POLUX CON 2 LOGOS BORDADOS DELANTEROS 9 CAMISA MANGA LARGA DAMA - EN TELA LAFAYETTE CON 2 LOGOS BORDADOS DELANTERO 10 CAMISA MANGA CORTA CABALLERO - EN TELA LAFAYETTE CON 2 LOGOS BORDADOS DELANTERO 5 CAMISA MANGA CORTA DAMA - EN TELA LAFAYETTE CON 2 LOGOS BORDADOS DELANTERO 5 GORRA DRIL ACLIRICA - EN TELA DRILL CON 1 LOGO BORDADO DELANTERO</t>
  </si>
  <si>
    <t>https://community.secop.gov.co/Public/Tendering/ContractNoticePhases/View?PPI=CO1.PPI.26136795&amp;isFromPublicArea=True&amp;isModal=False</t>
  </si>
  <si>
    <t>OPSP-CREO-0042-2023</t>
  </si>
  <si>
    <r>
      <t xml:space="preserve">DESARROLLAR LAS SIGUIENTES ACTIVIDADES DE APOYO EN LA ASESORÍA DE LOS PROCESOS DE CONTRATACIÓN DEL CENTRO PARA LA REGIONALIZACIÓN DE LA EDUCACIÓN Y LAS OPORTUNIDADES-CREO PARA EL PERIODO 2023-II: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3.ASESORAR Y APOYAR EN LA REALIZACIÓN DE LAS LIQUIDACIONES DE VIÁTICOS, SOLICITUDES DE CDP Y RESOLUCIONES PARA LABORES ADMINISTRATIVAS DEL CREO. 4.VERIFICAR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Y SECOP II SOBRE ORDENES DE APOYO A LA GESTIÓN Y DE SERVICIOS PROFESIONALES.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</si>
  <si>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https://community.secop.gov.co/Public/Tendering/ContractNoticePhases/View?PPI=CO1.PPI.26210919&amp;isFromPublicArea=True&amp;isModal=False</t>
  </si>
  <si>
    <t>OAG-CREO-0043-2023</t>
  </si>
  <si>
    <r>
      <t xml:space="preserve">DESARROLLAR LAS SIGUIENTES ACTIVIDADES DE APOYO EN LOS PROCESOS ADMINISTRATIVOS DE LA VINCULACIÓN DOCENTE DEL PERIODO 2023-II DEL CENTRO PARA LA REGIONALIZACIÓN DE LA EDUCACIÓN Y LAS OPORTUNIDADES-CREO: 1.APOYAR EN EL PROCESO DE LA VINCULACIÓN DE DOCENTES DE CÁTEDRA DEL CREO EN EL 2023-II. 2. APOYAR EN LAS LIQUIDACIONES DE PAGO DE HORAS CATEDRA, SOLICITUDES DE CDP Y RESOLUCIONES EN RELACIÓN CON EL PROCESO CONTRACTUAL DE CATEDRÁTICOS DEL CREO. 3. APOYAR EN LA ELABORACIÓN Y ACTUALIZACIÓN DEL REGISTRO HISTÓRICO DE LA BASE DE DATOS DE LOS DOCENTES DEL CREO. 4.APOYAR EN LA CONSOLIDACIÓN DE LA ASIGNACIÓN DOCENTE. 5. APOYAR EN LA VERIFICACIÓN DE LOS DOCUMENTOS PARA EL TRÁMITE DE PAGO Y EN EL PROCESO DE LIQUIDACIÓN DE PAGO DE DOCENTES DEL CREO, CREACIÓN DE CONTRATOS DOCENTES EN SINAP, ENLACES DE CONCEPTOS Y DATOS DE LIQUIDACIÓN PARA LA PLANILLA DE NÓMINA DE CATEDRÁTICOS DEL CREO. 6. APOYAR EN EL PROCESO DE VINCULACIÓN A SEGURIDAD SOCIAL DE LOS DOCENTES DEL CREO, ENLACE DE FONDOS Y RUBROS DE SEGURIDAD SOCIAL Y PARAFISCALES DE DOCENTES CATEDRÁTICOS DEL CREO. 7. APOYAR EN LA ATENCIÓN DE SOLICITUDES, INQUIETUDES O REQUERIMIENTOS DE LOS DOCENTES RESPECTO A LA LIQUIDACIÓN DE PAGO DE HORAS CATEDRA DEL CREO. 8. APOYAR EN LA PREPARACIÓN Y PRESENTACIÓN DE INFORMES DE CONTRATACIÓN DOCENTE PARA ENTES DE CONTROL, MEN, SNIES, CREE, Y AUDITORÍAS INTERNAS Y EXTERNAS EN RELACIÓN CON LA CONTRATACIÓN DOCENTE DEL CREO. 9. APOYAR EN LA PREPARACIÓN DE INFORMES SOLICITADOS POR OTRAS DEPENDENCIAS DE UNIMAGDALENA EN RELACIÓN CON LA CONTRATACIÓN DOCENTE. 10. APOYAR EN LA PROYECCIÓN, MODIFICACIÓN Y TRASLADOS PRESUPUESTALES DE INGRESOS Y GASTOS QUE SE REQUIERAN DEL PRESUPUESTO DEL CREO ADEMÁS DE LOS TRASLADOS Y/O AFECTACIONES EN LOS RUBROS DE INGRESOS Y GASTOS DEL PRESUPUESTO DEL CREO DE LA PRESENTE VIGENCIA.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</si>
  <si>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https://community.secop.gov.co/Public/Tendering/ContractNoticePhases/View?PPI=CO1.PPI.26211842&amp;isFromPublicArea=True&amp;isModal=False</t>
  </si>
  <si>
    <t>OAG-CREO-0044-2023</t>
  </si>
  <si>
    <r>
      <t xml:space="preserve">DESARROLLAR LAS SIGUIENTES ACTIVIDADES DE APOYO EN EL PROCESO DE VINCULACIÓN DOCENTE DEL CENTRO PARA LA REGIONALIZACIÓN DE LA EDUCACIÓN Y LAS OPORTUNIDADES CREO PARA EL PERIODO 2023-II: 1.APOYAR CON EL PROCESO DE FIRMA DE ACTAS DE VINCULACIÓN DE LOS CATEDRÁTICOS. 2. APOYAR EN LA REVISIÓN DE DOCUMENTOS Y EN EL REGISTRO DE VINCULACIONES DE DOCENTES EN LA PLATAFORMA SIGEP. 3. APOYAR EN LA REVISIÓN DE DOCUMENTOS Y EN EL REGISTRO DE CONTRATOS DE DOCENTES EN LA PLATAFORMA GEDOCO. 4. APOYAR EN LA ELABORACIÓN Y REVISIÓN DE LOS REPORTES DE HORAS CATEDRA DE LOS PROGRAMAS. 5. APOYAR EN LA ELABORACIÓN DE MODIFICATORIOS DE LAS ACTAS DE VINCULACIÓN DE LOS DOCENTES. 6. APOYAR EN EL PROCESO DE RECONOCIMIENTO DE BONIFICACIONES A DOCENTES DE PLANTA Y FUNCIONARIOS DE LOS DIFERENTES PROGRAMAS ACADÉMICOS DEL CREO.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</si>
  <si>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https://community.secop.gov.co/Public/Tendering/ContractNoticePhases/View?PPI=CO1.PPI.26212355&amp;isFromPublicArea=True&amp;isModal=False</t>
  </si>
  <si>
    <t>OPSP-CREO-0045-2023</t>
  </si>
  <si>
    <r>
      <t xml:space="preserve">DESARROLLAR LAS SIGUIENTES ACTIVIDADES DE ASESORÍA EN EL MARCO DEL REDISEÑO DE LA OFERTA DEL CENTRO PARA LA REGIONALIZACIÓN DE LA EDUCACIÓN Y LAS OPORTUNIDADES-CREO: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7.APOYAR EN LAS EVENTUALES RESPUESTAS Y/O REQUERIMIENTOS DEL MEN, EN EL MARCO DEL PROCESO DE OTORGAMIENTO DEL REGISTRO CALIFICADO DE LOS PROGRAMAS NUEVOS.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</si>
  <si>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https://community.secop.gov.co/Public/Tendering/ContractNoticePhases/View?PPI=CO1.PPI.26212936&amp;isFromPublicArea=True&amp;isModal=False</t>
  </si>
  <si>
    <t>OAG-CREO-0046-2023</t>
  </si>
  <si>
    <r>
      <t xml:space="preserve">DESARROLLAR LAS SIGUIENTES ACTIVIDADES DE APOYO ADMINISTRATIVO PARA EL PERIODO 2023-II EN EL CENTRO PARA LA REGIONALIZACIÓN DE LA EDUCACIÓN Y LAS OPORTUNIDADES CREO: 1. BRINDAR APOYO EN LOS TRÁMITES ADMINISTRATIVOS REQUERIDOS DEL CONVENIO BECAS DEL CAMBIO SUSCRITO CON LA GOBERNACIÓN DEL MAGDALENA, CONVENIO CON CEDEIT, Y DE LOS CONVENIOS DE VENTAS DE SERVICIOS DEL CREO. 2. APOYAR EN LOS PROCESOS DE REVISIÓN DEL SIGEP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</si>
  <si>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https://community.secop.gov.co/Public/Tendering/ContractNoticePhases/View?PPI=CO1.PPI.26213313&amp;isFromPublicArea=True&amp;isModal=False</t>
  </si>
  <si>
    <t>OPSP-CREO-0047-2023</t>
  </si>
  <si>
    <r>
      <t xml:space="preserve">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2023-II: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</si>
  <si>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https://community.secop.gov.co/Public/Tendering/ContractNoticePhases/View?PPI=CO1.PPI.26213386&amp;isFromPublicArea=True&amp;isModal=False</t>
  </si>
  <si>
    <t>OPSP-CREO-0048-2023</t>
  </si>
  <si>
    <r>
      <t xml:space="preserve">DESARROLLAR LAS SIGUIENTES ACTIVIDADES DE APOYO EN EL CENTRO PARA LA REGIONALIZACIÓN DE LA EDUCACIÓN Y LAS OPORTUNIDADES-CREO PARA EL PERIODO2023-II: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DEL CREO. 7 APOYAR EN LA ATENCIÓN DE LAS QUEJAS, RECLAMOS, INQUIETUDES O REQUERIMIENTOS DE LOS ESTUDIANTES Y DOCENTES DEL CREO. 8.APOYAR LAS ACTIVIDADES ACADÉMICAS, ADMINISTRATIVAS Y DE EXTENSIÓN ORGANIZADAS POR EL CREO. 9.) APOYAR EN LAS ACTIVIDADES REALIZADAS POR PARTE DE BIENESTAR UNIVERSITARIO.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</si>
  <si>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https://community.secop.gov.co/Public/Tendering/ContractNoticePhases/View?PPI=CO1.PPI.26214211&amp;isFromPublicArea=True&amp;isModal=False</t>
  </si>
  <si>
    <t>OPSP-CREO-0049-2023</t>
  </si>
  <si>
    <t>DESARROLLAR LAS SIGUIENTES ACTIVIDADES DE APOYO EN LA PLATAFORMAS DE AMBIENTES VIRTUALES DEL CENTRO PARA LA REGIONALIZACIÓN DE LA EDUCACIÓN Y LAS OPORTUNIDADES-CREO DURANTE EL PERIODO 2023-II: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</si>
  <si>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https://community.secop.gov.co/Public/Tendering/ContractNoticePhases/View?PPI=CO1.PPI.26363608&amp;isFromPublicArea=True&amp;isModal=False</t>
  </si>
  <si>
    <t>OAG-CREO-0050-2023</t>
  </si>
  <si>
    <r>
      <t xml:space="preserve">DESARROLLAR LAS SIGUIENTES ACTIVIDADES DE APOYO OPERATIVO EN CENTRO PARA LA REGIONALIZACIÓN DE LA EDUCACIÓN Y LAS OPORTUNIDADES-CREO PARA EL PERIODO2023-II: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</si>
  <si>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https://community.secop.gov.co/Public/Tendering/ContractNoticePhases/View?PPI=CO1.PPI.26364884&amp;isFromPublicArea=True&amp;isModal=False</t>
  </si>
  <si>
    <t>OAG-CREO-0051-2023</t>
  </si>
  <si>
    <r>
      <t xml:space="preserve">DESARROLLAR LAS SIGUIENTES ACTIVIDADES EN EL GRUPO DE TESORERÍA DE LA UNIVERSIDAD DEL MAGDALENA PARA EL PERIODO 2023-II: 1. APOYAR EN LA ORGANIZACIÓN DE LOS DOCUMENTOS SOPORTE DE LAS ÓRDENES DEL PAGO DE PRESTACIÓN DE SERVICIO, VIÁTICOS Y DESPLAZAMIENTOS, APOYOS ECONÓMICOS Y DEMÁS ACTOS ADMINISTRATIVOS QUE GENEREN CON CARGO AL CREO Y CLASIFICARLAS SEGÚN EL CONCEPTO. 2. APOYAR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</si>
  <si>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ALIX SAIRIS RAMOS FUENTES</t>
  </si>
  <si>
    <t>https://community.secop.gov.co/Public/Tendering/ContractNoticePhases/View?PPI=CO1.PPI.26365769&amp;isFromPublicArea=True&amp;isModal=False</t>
  </si>
  <si>
    <t>OAG-CREO-0052-2023</t>
  </si>
  <si>
    <r>
      <t xml:space="preserve">DESARROLLAR LAS SIGUIENTES ACTIVIDADES PARA EL PERIODO 2023-II EN EL CENTRO TUTORIAL DE CIÉNAGA (MAGDALENA), DEL CENTRO PARA LA REGIONALIZACIÓN DE LA EDUCACIÓN Y LAS OPORTUNIDADES-CREO, COMO SON LAS SIGUIENTES: 1. APOYAR EN EL SEGUIMIENTO A LAS ACTIVIDADES ACADÉMICAS EN EL CENTRO TUTORIAL. 2.APOYAR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</si>
  <si>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https://community.secop.gov.co/Public/Tendering/ContractNoticePhases/View?PPI=CO1.PPI.26366365&amp;isFromPublicArea=True&amp;isModal=False</t>
  </si>
  <si>
    <t>OAG-CREO-0053-2023</t>
  </si>
  <si>
    <r>
      <t xml:space="preserve">DESARROLLAR LAS SIGUIENTES ACTIVIDADES DE APOYO PARA EL PERIODO 2023-II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</si>
  <si>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https://community.secop.gov.co/Public/Tendering/ContractNoticePhases/View?PPI=CO1.PPI.26366993&amp;isFromPublicArea=True&amp;isModal=False</t>
  </si>
  <si>
    <t>OAG-CREO-0054-2023</t>
  </si>
  <si>
    <t>DESARROLLAR LAS SIGUIENTES ACTIVIDADES DE APOYO ADMINISTRATIVO EN EL PROGRAMA ADMINISTRACIÓN PÚBLICA Y TECNOLOGÍA EN GESTIÓN PÚBLICA TERRITORIAL DEL CENTRO PARA LA REGIONALIZACIÓN DE LA EDUCACIÓN Y LAS OPORTUNIDADES-CREO PARA EL PERIODO 2023-II: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</si>
  <si>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https://community.secop.gov.co/Public/Tendering/ContractNoticePhases/View?PPI=CO1.PPI.26367875&amp;isFromPublicArea=True&amp;isModal=False</t>
  </si>
  <si>
    <t>OAG-CREO-0055-2023</t>
  </si>
  <si>
    <r>
      <t xml:space="preserve">DESARROLLAR ACTIVIDADES DE APOYO ADMINISTRATIVO PARA EL PERIODO 2023-II,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</si>
  <si>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https://community.secop.gov.co/Public/Tendering/ContractNoticePhases/View?PPI=CO1.PPI.26368266&amp;isFromPublicArea=True&amp;isModal=False</t>
  </si>
  <si>
    <t>OAG-CREO-0056-2023</t>
  </si>
  <si>
    <r>
      <t xml:space="preserve">DESARROLLAR LAS SIGUIENTES ACTIVIDADES PARA EL PERIODO 2023-I EN EL CENTRO TUTORIAL DE AGUACHICA DEL CENTRO PARA LA REGIONALIZACIÓN DE LA EDUCACIÓN Y LAS OPORTUNIDADES-CREO: 1. APOYAR EN EL SEGUIMIENTO A LAS ACTIVIDADES ACADÉMICAS EN EL CENTRO TUTORIAL. 2.APOYAR Y BRINDAR INFORMACIÓN ACTUALIZADA A LOS ESTUDIANTES Y DOCENTES SOBRE CAMBIOS EN LOS PROCESOS ACADÉMICOS Y ADMINISTRATIVOS DE LA UNIMAGDALENA. 3.APOYAR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</si>
  <si>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https://community.secop.gov.co/Public/Tendering/ContractNoticePhases/View?PPI=CO1.PPI.26371232&amp;isFromPublicArea=True&amp;isModal=False</t>
  </si>
  <si>
    <t>OAG-CREO-0057-2023</t>
  </si>
  <si>
    <r>
      <t xml:space="preserve">DESARROLLAR LAS SIGUIENTES ACTIVIDADES DE APOYO PARA EL PERIODO2023-II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</si>
  <si>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https://community.secop.gov.co/Public/Tendering/ContractNoticePhases/View?PPI=CO1.PPI.26371623&amp;isFromPublicArea=True&amp;isModal=False</t>
  </si>
  <si>
    <t>OAG-CREO-0058-2023</t>
  </si>
  <si>
    <r>
      <t xml:space="preserve">DESARROLLAR LAS SIGUIENTES ACTIVIDADES DE APOYO PARA EL PERIODO 2023-II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</si>
  <si>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https://community.secop.gov.co/Public/Tendering/ContractNoticePhases/View?PPI=CO1.PPI.26372072&amp;isFromPublicArea=True&amp;isModal=False</t>
  </si>
  <si>
    <t>OPSP-CREO-0059-2023</t>
  </si>
  <si>
    <r>
      <t xml:space="preserve">DESARROLLAR LAS SIGUIENTES ACTIVIDADES DE ASESORÍA EN LA PLATAFORMAS DE AMBIENTES VIRTUALES DEL CENTRO PARA LA REGIONALIZACIÓN DE LA EDUCACIÓN Y LAS OPORTUNIDADES-CREO DURANTE EL PERIODO 2023-II: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7.CAPACITAR AL PERSONAL DOCENTE Y ESTUDIANTES NUEVOS SEGÚN LAS SOLICITUDES REALIZADAS. 8.) REALIZAR DESARROLLOS, MEJORAS Y ADAPTACIONES PARA LOS SISTEMAS DE INFORMACIÓN CON LOS QUE CUENTE EL CREO.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</si>
  <si>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https://community.secop.gov.co/Public/Tendering/ContractNoticePhases/View?PPI=CO1.PPI.26372660&amp;isFromPublicArea=True&amp;isModal=False</t>
  </si>
  <si>
    <t>OPSP-CREO-0060-2023</t>
  </si>
  <si>
    <t>DESARROLLAR ACTIVIDADES CON LOS ESTUDIANTES DE INCLUSIÓN POR DIVERSIDAD FUNCIONAL DEL CENTRO PARA LA REGIONALIZACIÓN DE LA EDUCACIÓN Y LAS OPORTUNIDADES-CREO, TENDIENTES AL FORTALECIMIENTO EN SU PROCESO DE FORMACIÓN PERSONAL, PROFESIONAL Y SOCIAL: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</si>
  <si>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https://community.secop.gov.co/Public/Tendering/ContractNoticePhases/View?PPI=CO1.PPI.26373364&amp;isFromPublicArea=True&amp;isModal=False</t>
  </si>
  <si>
    <t>OAG-CREO-0061-2023</t>
  </si>
  <si>
    <r>
      <t xml:space="preserve">DESARROLLAR LAS SIGUIENTES ACTIVIDADES DE APOYO EN EL PROGRAMA DE LICENCIATURA EN LITERATURA Y LENGUA CASTELLANA DEL CENTRO PARA LA REGIONALIZACIÓN DE LA EDUCACIÓN Y LAS OPORTUNIDADES-CREO PARA EL PERIODO 2023-II: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</si>
  <si>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https://community.secop.gov.co/Public/Tendering/ContractNoticePhases/View?PPI=CO1.PPI.26373987&amp;isFromPublicArea=True&amp;isModal=False</t>
  </si>
  <si>
    <t>OAG-CREO-0062-2023</t>
  </si>
  <si>
    <r>
      <t xml:space="preserve">DESARROLLAR LAS SIGUIENTES ACTIVIDADES DE APOYO EN EL CENTRO PARA LA REGIONALIZACIÓN DE LA EDUCACIÓN Y LAS OPORTUNIDADES-CREO PARA EL PERIODO 2023-II: 1.APOYAR EN EL DIRECCIONAMIENTO DE LA CORRESPONDENCIA QUE LLEGUE AL CREO. 2. APOYAR EN EL PROCESO DE GRADO DE LOS PROGRAMAS DEL CREO. 3. APOYAR EN EL SEGUIMIENTO DE LAS ACTIVIDADES ACADÉMICAS DE LOS PROGRAMAS DEL CREO. 4. APOYAR EN LA REVISIÓN DE DOCUMENTOS DE DOCENTES PARA SU VINCULACIÓN EN LAS PLATAFORMAS SIGEP II Y GEDOCO. 5.APOYAR EN LA PROGRAMACIÓN DE CLASES DEL PROGRAMA DE LICENCIATURA EN LITERATURA Y LENGUA CASTELLANA EN EL CALENDARIO DE ACTIVIDADES DEL CREO. </t>
    </r>
    <r>
      <rPr>
        <b/>
        <sz val="10"/>
        <color rgb="FF000000"/>
        <rFont val="Calibri"/>
        <family val="2"/>
      </rPr>
      <t xml:space="preserve">PARÁGRAFO PRIMERO: </t>
    </r>
    <r>
      <rPr>
        <sz val="10"/>
        <color rgb="FF000000"/>
        <rFont val="Calibri"/>
        <family val="2"/>
      </rPr>
      <t xml:space="preserve">EN EL CASO QUE EL CONTRATISTA LO REQUIERA, UNIMAGDALENA PODRÁ FACILITARLE LOS EQUIPOS Y ESPACIO FÍSICO NECESARIO DENTRO DEL CAMPUS PARA LA EJECUCIÓN DEL OBJETO DE LA PRESENTE ORDEN. </t>
    </r>
    <r>
      <rPr>
        <b/>
        <sz val="10"/>
        <color rgb="FF000000"/>
        <rFont val="Calibri"/>
        <family val="2"/>
      </rPr>
      <t xml:space="preserve">PARÁGRAFO SEGUNDO: </t>
    </r>
    <r>
      <rPr>
        <sz val="10"/>
        <color rgb="FF000000"/>
        <rFont val="Calibri"/>
        <family val="2"/>
      </rPr>
      <t xml:space="preserve">EL CONTRATISTA PODRÁ ACORDAR CON EL SUPERVISOR DE LA PRESENTE ORDEN CRONOGRAMAS PARA EL DESARROLLO DE LAS ACTIVIDADES OBJETO DE LA PRESENTE ORDEN, DE LO CUAL DEBERÁ DEJARSE CONSTANCIA ESCRITA. </t>
    </r>
  </si>
  <si>
    <t>https://community.secop.gov.co/Public/Tendering/ContractNoticePhases/View?PPI=CO1.PPI.26374504&amp;isFromPublicArea=True&amp;isModal=False</t>
  </si>
  <si>
    <t>OAG-CREO-0063-2023</t>
  </si>
  <si>
    <r>
      <t xml:space="preserve">DESARROLLAR LAS SIGUIENTES ACTIVIDADES DE APOYO PARA EL PERIODO2023-II,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</si>
  <si>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https://community.secop.gov.co/Public/Tendering/ContractNoticePhases/View?PPI=CO1.PPI.26374922&amp;isFromPublicArea=True&amp;isModal=False</t>
  </si>
  <si>
    <t>OAG-CREO-0064-2023</t>
  </si>
  <si>
    <r>
      <t xml:space="preserve">DESARROLLAR LAS SIGUIENTES ACTIVIDADES DE APOYO AL PROGRAMA TECNOLOGÍA EN ATENCIÓN A LA PRIMERA INFANCIA DEL CENTRO PARA LA REGIONALIZACIÓN DE LA EDUCACIÓN Y LAS OPORTUNIDADES-CREO PARA EL PERIODO 2023-II: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</si>
  <si>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https://community.secop.gov.co/Public/Tendering/ContractNoticePhases/View?PPI=CO1.PPI.26376319&amp;isFromPublicArea=True&amp;isModal=False</t>
  </si>
  <si>
    <t>OAG-CREO-0065-2023</t>
  </si>
  <si>
    <r>
      <t xml:space="preserve">DESARROLLAR LAS SIGUIENTES ACTIVIDADES DE APOYO PARA EL PERIODO 2023-II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t>
    </r>
    <r>
      <rPr>
        <b/>
        <sz val="10"/>
        <color theme="1"/>
        <rFont val="Calibri"/>
        <family val="2"/>
        <scheme val="minor"/>
      </rPr>
      <t xml:space="preserve">PARÁGRAFO PRIMERO: </t>
    </r>
    <r>
      <rPr>
        <sz val="10"/>
        <color theme="1"/>
        <rFont val="Calibri"/>
        <family val="2"/>
        <scheme val="minor"/>
      </rPr>
      <t xml:space="preserve">EN EL CASO QUE EL CONTRATISTA LO REQUIERA, UNIMAGDALENA PODRÁ FACILITARLE LOS EQUIPOS Y ESPACIO FÍSICO NECESARIO DENTRO DEL CAMPUS PARA LA EJECUCIÓN DEL OBJETO DE LA PRESENTE ORDEN. </t>
    </r>
    <r>
      <rPr>
        <b/>
        <sz val="10"/>
        <color theme="1"/>
        <rFont val="Calibri"/>
        <family val="2"/>
        <scheme val="minor"/>
      </rPr>
      <t xml:space="preserve">PARÁGRAFO SEGUNDO: </t>
    </r>
    <r>
      <rPr>
        <sz val="10"/>
        <color theme="1"/>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</si>
  <si>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https://community.secop.gov.co/Public/Tendering/ContractNoticePhases/View?PPI=CO1.PPI.26376392&amp;isFromPublicArea=True&amp;isModal=False</t>
  </si>
  <si>
    <t>OAG-CREO-0066-2023</t>
  </si>
  <si>
    <t>DESARROLLAR LAS SIGUIENTES ACTIVIDADES DE APOYO ADMINISTRATIVO EN LA REVISIÓN DE DOCUMENTOS DE LOS INSCRITOS A LOS PROGRAMAS DEL CENTRO PARA LA REGIONALIZACIÓN DE LA EDUCACIÓN Y LAS OPORTUNIDADES-CREO PARA EL PERIODO DE INGRESO DE 2023-II: 1) APOYAR EN LA REVISIÓN DE LA DOCUMENTACIÓN DE LOS ASPIRANTES A LOS DISTINTOS PROGRAMAS OFERTADOS PARA EL 2023-II DEL CREO. 2) APOYAR EN LA REALIZACIÓN DE LAS OBSERVACIONES QUE CONTENGAN LOS DOCUMENTOS DE LOS ASPIRANTES PARA QUE SEAN SUBSANADOS. 3.) REPORTAR EL ESTADO DE LA DOCUMENTACIÓN DE CADA ASPIRANTE AL CENTRO PARA LA REGIONALIZACIÓN DE LA EDUCACIÓN Y LAS OPORTUNIDADES-CREO.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</si>
  <si>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https://community.secop.gov.co/Public/Tendering/ContractNoticePhases/View?PPI=CO1.PPI.26396318&amp;isFromPublicArea=True&amp;isModal=False</t>
  </si>
  <si>
    <t>OPSP-CREO-0067-2023</t>
  </si>
  <si>
    <t>DESARROLLAR LAS SIGUIENTES ACTIVIDADES ADMINISTRATIVAS RELACIONADAS CON EL CONVENIO INTERADMINISTRATIVO SUSCRITO CON EL DEPARTAMENTO DE CESAR – FONDO DEPARTAMENTAL
PARA LA EDUCACIÓN SUPERIOR – FEDESCESAR Y LA UNIVERSIDAD DEL MAGDALENA, DURANTE EL PERÍODO 2023-II: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 SOPORTE EN PAPEL COMO ELECTRÓNICO, CONFORME A LAS DISPOSICIONES QUE EN MATERIA DE GESTIÓN DOCUMENTAL SE ADOPTEN EN LA UNIMAGDALENA Y EL DEPARTAMENTO DE CESAR.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CUALDEBERÁ DEJARSE CONSTANCIA ESCRITA.</t>
  </si>
  <si>
    <t>https://community.secop.gov.co/Public/Tendering/ContractNoticePhases/View?PPI=CO1.PPI.26397252&amp;isFromPublicArea=True&amp;isModal=False</t>
  </si>
  <si>
    <t>OAG-CREO-0068-2023</t>
  </si>
  <si>
    <t>DESARROLLAR LAS SIGUIENTES ACTIVIDADES DE APOYO PARA EL PERIODO 2023-II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</si>
  <si>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https://community.secop.gov.co/Public/Tendering/ContractNoticePhases/View?PPI=CO1.PPI.26398144&amp;isFromPublicArea=True&amp;isModal=False</t>
  </si>
  <si>
    <t>OAG-CREO-0069-2023</t>
  </si>
  <si>
    <t>DESARROLLAR LAS SIGUIENTES ACTIVIDADES DE APOYO PARA EL PERIODO 2023-II EN EL PROGRAMA DE ADMINISTRACIÓN PUBLICA POR CICLOS PROPEDÉUTICOS DEL CENTRO PARA LA REGIONALIZACIÓN DE LA EDUCACIÓN Y LAS OPORTUNIDADES-CREO: 1.) APOYAR EL REGISTRO DE ESTUDIANTES EN AYRE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DESARROLLODE LAS ACTIVIDADES OBJETO DE LA PRESENTE ORDEN, DE LO CUAL DEBERÁ DEJARSE CONSTANCIA ESCRITA.</t>
  </si>
  <si>
    <t>https://community.secop.gov.co/Public/Tendering/ContractNoticePhases/View?PPI=CO1.PPI.26398735&amp;isFromPublicArea=True&amp;isModal=False</t>
  </si>
  <si>
    <r>
      <t xml:space="preserve">Valor Salario Minimo en pesos </t>
    </r>
    <r>
      <rPr>
        <b/>
        <sz val="8"/>
        <rFont val="Calibri"/>
        <family val="2"/>
        <scheme val="minor"/>
      </rPr>
      <t>(2023)</t>
    </r>
  </si>
  <si>
    <t>OPSP-VIN-0001-2023</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</si>
  <si>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</si>
  <si>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</si>
  <si>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</si>
  <si>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N/A</t>
  </si>
  <si>
    <t>ANA CAMARGO</t>
  </si>
  <si>
    <t>https://community.secop.gov.co/Public/Tendering/OpportunityDetail/Index?noticeUID=CO1.NTC.3834187&amp;isFromPublicArea=True&amp;isModal=true&amp;asPopupView=true</t>
  </si>
  <si>
    <t>OPSP-VIN-0002-2023</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</si>
  <si>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</si>
  <si>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</si>
  <si>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</si>
  <si>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OPSP-VIN-0003-2023</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</si>
  <si>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</si>
  <si>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</si>
  <si>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</si>
  <si>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OPSP-VIN-0004-2023</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</si>
  <si>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</si>
  <si>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</si>
  <si>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</si>
  <si>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OPSP-VIN-0005-2023</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</si>
  <si>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</si>
  <si>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</si>
  <si>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</si>
  <si>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OPSP-VIN-0006-2023</t>
  </si>
  <si>
    <t>RAY JESUS FANDIÑO GARCIA</t>
  </si>
  <si>
    <t>https://community.secop.gov.co/Public/Tendering/OpportunityDetail/Index?noticeUID=CO1.NTC.3834713&amp;isFromPublicArea=True&amp;isModal=true&amp;asPopupView=true</t>
  </si>
  <si>
    <t>OPSP-VIN-0007-2023</t>
  </si>
  <si>
    <t>ANGIE CAROLINA SERNA CARVAJAL</t>
  </si>
  <si>
    <t>https://community.secop.gov.co/Public/Tendering/OpportunityDetail/Index?noticeUID=CO1.NTC.3834680&amp;isFromPublicArea=True&amp;isModal=true&amp;asPopupView=true</t>
  </si>
  <si>
    <t>OPSP-VIN-0008-2023</t>
  </si>
  <si>
    <t xml:space="preserve">MARIO ANDRES NAVARRO TANO </t>
  </si>
  <si>
    <t>https://community.secop.gov.co/Public/Tendering/OpportunityDetail/Index?noticeUID=CO1.NTC.3835013&amp;isFromPublicArea=True&amp;isModal=true&amp;asPopupView=true</t>
  </si>
  <si>
    <t>OPSP-VIN-0009-2023</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</si>
  <si>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</si>
  <si>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</si>
  <si>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ELIAS GREGORIO GARCIA PEROZO</t>
  </si>
  <si>
    <t>https://community.secop.gov.co/Public/Tendering/OpportunityDetail/Index?noticeUID=CO1.NTC.3834586&amp;isFromPublicArea=True&amp;isModal=true&amp;asPopupView=true</t>
  </si>
  <si>
    <t>OPSP-VIN-0010-2023</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</si>
  <si>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</si>
  <si>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</si>
  <si>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RICARDO ADRIAN TETE MIELES</t>
  </si>
  <si>
    <t>https://community.secop.gov.co/Public/Tendering/OpportunityDetail/Index?noticeUID=CO1.NTC.3835022&amp;isFromPublicArea=True&amp;isModal=true&amp;asPopupView=true</t>
  </si>
  <si>
    <t>OPSP-VIN-0011-2023</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</si>
  <si>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</si>
  <si>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</si>
  <si>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https://community.secop.gov.co/Public/Tendering/OpportunityDetail/Index?noticeUID=CO1.NTC.3835161&amp;isFromPublicArea=True&amp;isModal=true&amp;asPopupView=true</t>
  </si>
  <si>
    <t>OPSP-VIN-0012-2023</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</si>
  <si>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</si>
  <si>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</si>
  <si>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https://community.secop.gov.co/Public/Tendering/OpportunityDetail/Index?noticeUID=CO1.NTC.3843172&amp;isFromPublicArea=True&amp;isModal=true&amp;asPopupView=true</t>
  </si>
  <si>
    <t>OPSP-VIN-0013-2023</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</si>
  <si>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</si>
  <si>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</si>
  <si>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</si>
  <si>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OPSP-VIN-0014-2023</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</si>
  <si>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</si>
  <si>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</si>
  <si>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https://community.secop.gov.co/Public/Tendering/OpportunityDetail/Index?noticeUID=CO1.NTC.3845006&amp;isFromPublicArea=True&amp;isModal=true&amp;asPopupView=true</t>
  </si>
  <si>
    <t>OPSP-VIN-0015-2023</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</si>
  <si>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</si>
  <si>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</si>
  <si>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DANA VANESSA CABALLERO NAVARRO</t>
  </si>
  <si>
    <t>https://community.secop.gov.co/Public/Tendering/OpportunityDetail/Index?noticeUID=CO1.NTC.3842592&amp;isFromPublicArea=True&amp;isModal=true&amp;asPopupView=true</t>
  </si>
  <si>
    <t>OPSP-VIN-0016-2023</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</si>
  <si>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</si>
  <si>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</si>
  <si>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</si>
  <si>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OPSP-VIN-0017-2023</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</si>
  <si>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</si>
  <si>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</si>
  <si>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</si>
  <si>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OPSP-VIN-0018-2023</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</si>
  <si>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</si>
  <si>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</si>
  <si>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</si>
  <si>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OPSP-VIN-0019-2023</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</si>
  <si>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</si>
  <si>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</si>
  <si>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REYES CARREÑO</t>
  </si>
  <si>
    <t>https://community.secop.gov.co/Public/Tendering/OpportunityDetail/Index?noticeUID=CO1.NTC.3844438&amp;isFromPublicArea=True&amp;isModal=true&amp;asPopupView=true</t>
  </si>
  <si>
    <t>OPSP-VIN-0020-2023</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</si>
  <si>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</si>
  <si>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</si>
  <si>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https://community.secop.gov.co/Public/Tendering/OpportunityDetail/Index?noticeUID=CO1.NTC.3845228&amp;isFromPublicArea=True&amp;isModal=true&amp;asPopupView=true</t>
  </si>
  <si>
    <t>OPSP-VIN-0021-2023</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</si>
  <si>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</si>
  <si>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</si>
  <si>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</si>
  <si>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OPSP-VIN-0022-2023</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</si>
  <si>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</si>
  <si>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</si>
  <si>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MÓNICA ZULBARÁN JIMÉNEZ</t>
  </si>
  <si>
    <t>https://community.secop.gov.co/Public/Tendering/OpportunityDetail/Index?noticeUID=CO1.NTC.3845631&amp;isFromPublicArea=True&amp;isModal=true&amp;asPopupView=true</t>
  </si>
  <si>
    <t>OPSP-VIN-0023-2023</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</si>
  <si>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</si>
  <si>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</si>
  <si>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</si>
  <si>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OPSP-VIN-0024-2023</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</si>
  <si>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</si>
  <si>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</si>
  <si>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https://community.secop.gov.co/Public/Tendering/OpportunityDetail/Index?noticeUID=CO1.NTC.3845852&amp;isFromPublicArea=True&amp;isModal=true&amp;asPopupView=true</t>
  </si>
  <si>
    <t>OPSP-VIN-0025-2023</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</si>
  <si>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</si>
  <si>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</si>
  <si>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</si>
  <si>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OPSP-VIN-0026-2023</t>
  </si>
  <si>
    <t>VANYRA VANESSA MARTINEZ RAMOS</t>
  </si>
  <si>
    <t>https://community.secop.gov.co/Public/Tendering/OpportunityDetail/Index?noticeUID=CO1.NTC.3855728&amp;isFromPublicArea=True&amp;isModal=true&amp;asPopupView=true</t>
  </si>
  <si>
    <t>OPSP-VIN-0027-2023</t>
  </si>
  <si>
    <t>MARINA LUZ VILLAZON TURIZO</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</si>
  <si>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</si>
  <si>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</si>
  <si>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OPSP-VIN-0028-2023</t>
  </si>
  <si>
    <t>JULIETH OSORIO DE LA HOZ</t>
  </si>
  <si>
    <t>https://community.secop.gov.co/Public/Tendering/OpportunityDetail/Index?noticeUID=CO1.NTC.3856062&amp;isFromPublicArea=True&amp;isModal=true&amp;asPopupView=true</t>
  </si>
  <si>
    <t>OPSP-VIN-0029-2023</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</si>
  <si>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</si>
  <si>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</si>
  <si>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</si>
  <si>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OPSP-VIN-0030-2023</t>
  </si>
  <si>
    <t>STELLA JUDITH SALAS SALAZAR</t>
  </si>
  <si>
    <t>https://community.secop.gov.co/Public/Tendering/OpportunityDetail/Index?noticeUID=CO1.NTC.3855464&amp;isFromPublicArea=True&amp;isModal=true&amp;asPopupView=true</t>
  </si>
  <si>
    <t>OPSP-VIN-0031-2023</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</si>
  <si>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</si>
  <si>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</si>
  <si>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https://community.secop.gov.co/Public/Tendering/OpportunityDetail/Index?noticeUID=CO1.NTC.3856010&amp;isFromPublicArea=True&amp;isModal=true&amp;asPopupView=true</t>
  </si>
  <si>
    <t>OPSP-VIN-0032-2023</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</si>
  <si>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</si>
  <si>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</si>
  <si>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</si>
  <si>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OPSP-VIN-0033-2023</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</si>
  <si>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</si>
  <si>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</si>
  <si>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https://community.secop.gov.co/Public/Tendering/OpportunityDetail/Index?noticeUID=CO1.NTC.3856058&amp;isFromPublicArea=True&amp;isModal=true&amp;asPopupView=true</t>
  </si>
  <si>
    <t>OPSP-VIN-0034-2023</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</si>
  <si>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</si>
  <si>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</si>
  <si>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</si>
  <si>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OPSP-VIN-0035-2023</t>
  </si>
  <si>
    <t>BRAYAN DE JESUS PEÑATE CARRANZA</t>
  </si>
  <si>
    <t>https://community.secop.gov.co/Public/Tendering/OpportunityDetail/Index?noticeUID=CO1.NTC.3856192&amp;isFromPublicArea=True&amp;isModal=true&amp;asPopupView=true</t>
  </si>
  <si>
    <t>OPSP-VIN-0036-2023</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</si>
  <si>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</si>
  <si>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</si>
  <si>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https://community.secop.gov.co/Public/Tendering/OpportunityDetail/Index?noticeUID=CO1.NTC.3864197&amp;isFromPublicArea=True&amp;isModal=true&amp;asPopupView=true</t>
  </si>
  <si>
    <t>OPSP-VIN-0037-2023</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</si>
  <si>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</si>
  <si>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</si>
  <si>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ANGELICA SILVA FRANCO</t>
  </si>
  <si>
    <t>https://community.secop.gov.co/Public/Tendering/OpportunityDetail/Index?noticeUID=CO1.NTC.3864385&amp;isFromPublicArea=True&amp;isModal=true&amp;asPopupView=true</t>
  </si>
  <si>
    <t>OPSP-VIN-0038-2023</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</si>
  <si>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</si>
  <si>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</si>
  <si>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</si>
  <si>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OPSP-VIN-0039-2023</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</si>
  <si>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</si>
  <si>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</si>
  <si>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</si>
  <si>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OPSP-VIN-0040-2023</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</si>
  <si>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</si>
  <si>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</si>
  <si>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DEWAR LOPEZ MORGAN</t>
  </si>
  <si>
    <t>https://community.secop.gov.co/Public/Tendering/OpportunityDetail/Index?noticeUID=CO1.NTC.3865170&amp;isFromPublicArea=True&amp;isModal=true&amp;asPopupView=true</t>
  </si>
  <si>
    <t>OPSP-VIN-0041-2023</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</si>
  <si>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</si>
  <si>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</si>
  <si>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</si>
  <si>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OPSP-VIN-0042-2023</t>
  </si>
  <si>
    <t>NAIDA LUZ MONTERO LOBATO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</si>
  <si>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</si>
  <si>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https://community.secop.gov.co/Public/Tendering/OpportunityDetail/Index?noticeUID=CO1.NTC.3900994&amp;isFromPublicArea=True&amp;isModal=true&amp;asPopupView=true</t>
  </si>
  <si>
    <t>OPSP-VIN-0043-2023</t>
  </si>
  <si>
    <t>LIBARDO JOSE ESCOBAR TOLEDO</t>
  </si>
  <si>
    <t>PRESTAR LOS SERVICIOS PROFESIONALES EN LA DIRECCIÓN DE TRANSFERENCIA DEL CONOCIMIENTO Y PROPIEDAD INTELECTUAL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Y PARTICIPACIÓN EN ACTIVIDADES DE ENTRENAMIENTO Y CAPACITACIONES CON TEMAS DE VIGILANCIA E INTELIGENCIA CIENTÍFICA Y TECNOLÓGICA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</si>
  <si>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https://community.secop.gov.co/Public/Tendering/OpportunityDetail/Index?noticeUID=CO1.NTC.3901072&amp;isFromPublicArea=True&amp;isModal=true&amp;asPopupView=true</t>
  </si>
  <si>
    <t>OPSP-VIN-0044-2023</t>
  </si>
  <si>
    <t>ELVIS ANDRES NUÑEZ MEJIA</t>
  </si>
  <si>
    <t>PRESTAR LOS SERVICIOS PROFESIONALES EN LA DIRECCIÓN DE TRANSFERENCIA DEL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</si>
  <si>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https://community.secop.gov.co/Public/Tendering/OpportunityDetail/Index?noticeUID=CO1.NTC.3901311&amp;isFromPublicArea=True&amp;isModal=true&amp;asPopupView=true</t>
  </si>
  <si>
    <t>OPSP-VIN-0045-2023</t>
  </si>
  <si>
    <t>LAURA VANESSA PERDOMO LOPEZ</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</si>
  <si>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 MONTAJE DE IMÁGENES PARA VIDEOS Y ANIMACIÓN DE CONTENIDO REQUERIDOS POR LA VICERRECTORÍA DE INVESTIGACIÓN Y SUS UNIDADES</t>
  </si>
  <si>
    <t>https://community.secop.gov.co/Public/Tendering/OpportunityDetail/Index?noticeUID=CO1.NTC.3901257&amp;isFromPublicArea=True&amp;isModal=true&amp;asPopupView=true</t>
  </si>
  <si>
    <t>OPSP-VIN-0046-2023</t>
  </si>
  <si>
    <t>ROSMERY KATHERINE CRUZ O BYRNE</t>
  </si>
  <si>
    <t>PRESTAR LOS SERVICIOS PROFESIONALES EN LA DIRECCIÓN DE TRANSFERENCIA DEL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 BRINDAR SOPORTE CON LA IDENTIFICACIÓN Y RASTREO DE OPORTUNIDADES EN MATERIA DE CIENCIA TECNOLOGÍA INNOVACIÓN ARTE Y CULTURA ASÍ COMO TAMBIÉN CON LA PUBLICACIÓN DE LAS MISMAS EN EL BUSCADOR DE OPORTUNIDADES CO LAB</t>
  </si>
  <si>
    <t>https://community.secop.gov.co/Public/Tendering/OpportunityDetail/Index?noticeUID=CO1.NTC.3901686&amp;isFromPublicArea=True&amp;isModal=true&amp;asPopupView=true</t>
  </si>
  <si>
    <t>OPSP-VIN-0047-2023</t>
  </si>
  <si>
    <t>VANESSA MARGARITA MARRUGO ARROYO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</si>
  <si>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LA ACTUALIZACIÓN DE LAS MATRICES DE GRUPOS DE INVESTIGACIÓN Y CONVENIOS DE LA VIN</t>
  </si>
  <si>
    <t>https://community.secop.gov.co/Public/Tendering/OpportunityDetail/Index?noticeUID=CO1.NTC.3902329&amp;isFromPublicArea=True&amp;isModal=true&amp;asPopupView=true</t>
  </si>
  <si>
    <t>OPSP-VIN-0048-2023</t>
  </si>
  <si>
    <t>LINDA ESPERANZA ARAGON MUÑOZ</t>
  </si>
  <si>
    <t>PRESTACIÓN DE SERVICIOS PROFESIONALES EN LA VICERRECTORÍA DE INVESTIGACIÓN DE LA UNIVERSIDAD DEL MAGDALENA EL CONTRATISTA SE COMPROMETE A APOYAR EN LOS PROCESOS PRODUCCIÓN FOTOGRÁFICA PARA LAS OBRAS Y AUDIOVISUALES REQUERIDAS POR LA VICERRECTORÍA DE INVESTIGACIÓN Y SUS UNIDADE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 APOYAR EN LA ESCRITURA Y REVISIÓN DE GUIONES, ASÍ COMO TAMBIÉN EN LAS IDEAS DE CREACIÓN Y ORGANIZACIÓN DE EXPOSICIONES FOTOGRÁFICAS Y MUSEOGRÁFICAS DERIVADAS DE PRODUCTOS EDITORIALES REQUERIDOS POR LA VICERRECTORÍA DE INVESTIGACIÓN Y SUS UNIDADES</t>
  </si>
  <si>
    <t>https://community.secop.gov.co/Public/Tendering/OpportunityDetail/Index?noticeUID=CO1.NTC.3902399&amp;isFromPublicArea=True&amp;isModal=true&amp;asPopupView=true</t>
  </si>
  <si>
    <t>OPSP-VIN-0049-2023</t>
  </si>
  <si>
    <t>JENTHY DAVIANNA PAEZ SIERRA</t>
  </si>
  <si>
    <t>PRESTACIÓN DE SERVICIOS PROFESIONALES EN EL CENTRO DE INNOVACIÓN Y EMPRENDIMIENTO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 Y DE LOS PÚBLICOS DE INTERÉS DEL CIE PARA LA REALIZACIÓN DE ACTIVIDADES RELACIONADAS CON EMPRENDIMIENTO</t>
  </si>
  <si>
    <t>ANGELICA LILIANA SILVA FRANCO</t>
  </si>
  <si>
    <t>https://community.secop.gov.co/Public/Tendering/OpportunityDetail/Index?noticeUID=CO1.NTC.3902463&amp;isFromPublicArea=True&amp;isModal=true&amp;asPopupView=true</t>
  </si>
  <si>
    <t>OPSP-VIN-0050-2023</t>
  </si>
  <si>
    <t>ALEJANDRA MARGARITA BALLESTAS CASAS</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</si>
  <si>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</si>
  <si>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ELIAS GARCIA PEROZO</t>
  </si>
  <si>
    <t>https://community.secop.gov.co/Public/Tendering/OpportunityDetail/Index?noticeUID=CO1.NTC.3902803&amp;isFromPublicArea=True&amp;isModal=true&amp;asPopupView=true</t>
  </si>
  <si>
    <t>OPSP-VIN-0051-2023</t>
  </si>
  <si>
    <t>JESUS DAVID RIBON RAMOS</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</si>
  <si>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COADYUVAR EN EL DISEÑO Y APLICACIÓN DE ENCUESTAS DE SATISFACCIÓN PARA MEJORAS CONTINUAS EN LOS PROCESOS DE LA GESTIÓN DE LA CIENCIA TECNOLOGÍA E INNOVACIÓN</t>
  </si>
  <si>
    <t>https://community.secop.gov.co/Public/Tendering/OpportunityDetail/Index?noticeUID=CO1.NTC.3902931&amp;isFromPublicArea=True&amp;isModal=true&amp;asPopupView=true</t>
  </si>
  <si>
    <t>OPSP-VIN-0052-2023</t>
  </si>
  <si>
    <t>CLAUDIA PATRICIA RUIZ PINO</t>
  </si>
  <si>
    <t>PRESTAR LOS SERVICIOS PROFESIONALES EN EL GRUPO DE PRESUPUESTO DE LA UNIVERSIDAD DEL MAGDALENA EN MARCO DEL PROYECTO DE INVESTIGACIÓN VISIBILIZACIÓN DE LAS CAPACIDADES QUE GENERA LA ECONOMÍA POPULAR PARA EL DESARROLLO ECONÓMICO DE COLOMBIA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VICERRECTORIA DE INVESTIGACIÓN</t>
  </si>
  <si>
    <t>ANAFLORA JIMENEZ DE LA HOZ</t>
  </si>
  <si>
    <t>https://community.secop.gov.co/Public/Tendering/OpportunityDetail/Index?noticeUID=CO1.NTC.3912901&amp;isFromPublicArea=True&amp;isModal=true&amp;asPopupView=true</t>
  </si>
  <si>
    <t>OPSP-VIN-0053-2023</t>
  </si>
  <si>
    <t>DALIANYS DE JESÚS PASTRANA MARTÍNEZ</t>
  </si>
  <si>
    <t>PRESTAR LOS SERVICIOS PROFESIONALES EN EL GRUPO DE CONTABILIDAD DE LA UNIVERSIDAD DEL MAGDALENA EN MARCO DEL PROYECTO DE INVESTIGACIÓN VISIBILIZACIÓN DE LAS CAPACIDADES QUE GENERA LA ECONOMÍA POPULAR PARA EL DESARROLLO ECONÓMICO DE COLOMBIA EL CONTRATISTA SE COMPROMETE A APOYAR AL GRUPO DE CONTABILIDAD EN LA ELABORACIÓN DE CUENTAS POR PAGAR Y OBLIGACIONES PRESUPUESTALES APOYAR AL PROFESIONAL ESPECIALIZADO DEL GRUPO DE CONTABILIDAD EN LA ELABORACIÓN DE LOS INFORMES FINANCIEROS DE AVANCES Y FINALES DE PROYECTOS APOYAR AL TÉCNICO ADMINISTRATIVO DEL GRUPO DE CONTABILIDAD EN LA ELABORACIÓN Y EXPEDICIÓN DE CERTIFICADOS DE PAZ Y SALVO DE AVANCES AUTORIZADOS POR LA VICERRECTORÍA DE INVESTIGACIÓN</t>
  </si>
  <si>
    <t xml:space="preserve">DEWAR ENRIQUE LOPEZ MORGAN </t>
  </si>
  <si>
    <t>https://community.secop.gov.co/Public/Tendering/OpportunityDetail/Index?noticeUID=CO1.NTC.3912947&amp;isFromPublicArea=True&amp;isModal=true&amp;asPopupView=true</t>
  </si>
  <si>
    <t>OPSP-VIN-0054-2023</t>
  </si>
  <si>
    <t>TAHIS ELENA ABUABARA LARA</t>
  </si>
  <si>
    <t>PRESTAR LOS SERVICIOS PROFESIONALES EN EL GRUPO DE TESORERÍA DE LA UNIVERSIDAD DEL MAGDALENA EN MARCO DEL PROYECTO DE INVESTIGACIÓN VISIBILIZACIÓN DE LAS CAPACIDADES QUE GENERA LA ECONOMÍA POPULAR PARA EL DESARROLLO ECONÓMICO DE COLOMBIA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</si>
  <si>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BERNARDO JOSÉ SAADE MEJÍA</t>
  </si>
  <si>
    <t>https://community.secop.gov.co/Public/Tendering/OpportunityDetail/Index?noticeUID=CO1.NTC.3913323&amp;isFromPublicArea=True&amp;isModal=true&amp;asPopupView=true</t>
  </si>
  <si>
    <t>OPSP-VIN-0055-2023</t>
  </si>
  <si>
    <t>JAIME ANTONIO MENDOZA DEL CASTILLO</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</si>
  <si>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</si>
  <si>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https://community.secop.gov.co/Public/Tendering/OpportunityDetail/Index?noticeUID=CO1.NTC.3913160&amp;isFromPublicArea=True&amp;isModal=true&amp;asPopupView=true</t>
  </si>
  <si>
    <t>OPSP-VIN-0056-2023</t>
  </si>
  <si>
    <t>LILIBET DEL CARMEN RUEDA SALAS</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</si>
  <si>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</si>
  <si>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https://community.secop.gov.co/Public/Tendering/OpportunityDetail/Index?noticeUID=CO1.NTC.3913094&amp;isFromPublicArea=True&amp;isModal=true&amp;asPopupView=true</t>
  </si>
  <si>
    <t>OPSP-VIN-0057-2023</t>
  </si>
  <si>
    <t>JORGE LUIS BELLO DE LA HOZ</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</si>
  <si>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</si>
  <si>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ELIAS GREGORIO GARCÍA PEROZO</t>
  </si>
  <si>
    <t>https://community.secop.gov.co/Public/Tendering/OpportunityDetail/Index?noticeUID=CO1.NTC.3913296&amp;isFromPublicArea=True&amp;isModal=true&amp;asPopupView=true</t>
  </si>
  <si>
    <t>OPSP-VIN-0058-2023</t>
  </si>
  <si>
    <t>HEIDY VIVIANANA PEREZ FEDRICH</t>
  </si>
  <si>
    <t>PRESTAR LOS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 APOYAR LA IDENTIFICACIÓN GESTIÓN Y OBTENCIÓN DE TRÁMITES REQUERIDOS PARA LA VIGENCIA Y ACTUALIZACIÓN DEL PERMISO MARCO DE RECOLECCIÓN OTORGADO A LA UNIVERSIDAD DEL MAGDALENA APOYAR TRÁMITES ANTE EL MINISTERIO DE AMBIENTE Y DESARROLLO SOSTENIBLE PARA LA OBTENCIÓN DE CONTRATO DE ACCESO A RECURSO GENÉTICO</t>
  </si>
  <si>
    <t>https://community.secop.gov.co/Public/Tendering/OpportunityDetail/Index?noticeUID=CO1.NTC.3915288&amp;isFromPublicArea=True&amp;isModal=true&amp;asPopupView=true</t>
  </si>
  <si>
    <t>OPSP-VIN-0059-2023</t>
  </si>
  <si>
    <t>KEDUIN RAFAEL FERNANDEZ MONTENEGRO</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</si>
  <si>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t>
  </si>
  <si>
    <t>https://community.secop.gov.co/Public/Tendering/OpportunityDetail/Index?noticeUID=CO1.NTC.3915814&amp;isFromPublicArea=True&amp;isModal=true&amp;asPopupView=true</t>
  </si>
  <si>
    <t>OPSP-VIN-0060-2023</t>
  </si>
  <si>
    <t>YARLEMIS LORAINE COHEN RODRIGUEZ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</si>
  <si>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</si>
  <si>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https://community.secop.gov.co/Public/Tendering/OpportunityDetail/Index?noticeUID=CO1.NTC.3915647&amp;isFromPublicArea=True&amp;isModal=true&amp;asPopupView=true</t>
  </si>
  <si>
    <t>OPSP-VIN-0061-2023</t>
  </si>
  <si>
    <t>ALEX HERVE ESTRADA CAIAFA</t>
  </si>
  <si>
    <t>PRESTAR LOS SERVICIOS PROFESIONALES EN LA DIRECCIÓN DE TRANSFERENCIA DEL CONOCIMIENTO Y PROPIEDAD INTELECTUAL DE LA VICERRECTORÍA DE INVESTIGACIÓN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 APOYAR EN LA CONEXIÓN E INTERLOCUCIÓN CON LOS DIFERENTES GRUPOS DE INTERÉS EXTERNOS E INTERNOS DE LAS OPORTUNIDADES DE MOVILIZACIÓN DE RECURSOS INTERNACIONALES PARA INVESTIGACIÓN INNOVACIÓN Y EMPRENDIMIENTO</t>
  </si>
  <si>
    <t>https://community.secop.gov.co/Public/Tendering/OpportunityDetail/Index?noticeUID=CO1.NTC.3915671&amp;isFromPublicArea=True&amp;isModal=true&amp;asPopupView=true</t>
  </si>
  <si>
    <t>OPSP-VIN-0062-2023</t>
  </si>
  <si>
    <t>EDISON RAFAEL LEA CHARRIS</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</si>
  <si>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RESULTADOS COADYUVAR EN EL PROCESO DE VIGILANCIA GENÓMICA DE PATÓGENOS DE INTERÉS EN SALUD PÚBLICA CON TÉCNICAS DE SECUENCIACIÓN DE ÚLTIMA GENERACIÓN NGS</t>
  </si>
  <si>
    <t>LYDA RAQUEL CASTRO GARCIA</t>
  </si>
  <si>
    <t>https://community.secop.gov.co/Public/Tendering/OpportunityDetail/Index?noticeUID=CO1.NTC.3915964&amp;isFromPublicArea=True&amp;isModal=true&amp;asPopupView=true</t>
  </si>
  <si>
    <t>OPSP-VIN-0063-2023</t>
  </si>
  <si>
    <t>PRICELIS PAULIN POLANCO FONTALVO</t>
  </si>
  <si>
    <t>PRESTACIÓN DE SERVICIOS PROFESIONALES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COADYUVAR EN LA RECEPCIÓN Y ETIQUETADO DE MUESTRAS CLÍNICAS DILIGENCIANDO TODOS LOS FORMATOS QUE SE REQUIRIERAN PARA CUMPLIR CON LOS ESTÁNDARES DE CALIDAD DE RECEPCIÓN DE MUESTRAS</t>
  </si>
  <si>
    <t>https://community.secop.gov.co/Public/Tendering/OpportunityDetail/Index?noticeUID=CO1.NTC.3915934&amp;isFromPublicArea=True&amp;isModal=true&amp;asPopupView=true</t>
  </si>
  <si>
    <t>OPSP-VIN-0064-2023</t>
  </si>
  <si>
    <t>YEISON RENE DIAZ ARIAS</t>
  </si>
  <si>
    <t>PRESTAR LOS SERVICIOS PROFESIONALES EN LA DIRECCIÓN DE TRANSFERENCIA DEL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 APOYAR A LA DIRECCIÓN DURANTE LA SUSCRIPCIÓN Y SEGUIMIENTO DE CONVENIOS CON INSTITUCIONES Y ENTIDADES PÚBLICAS Y PRIVADAS Y LA COMUNIDAD PARA LA TRANSFERENCIA DE CONOCIMIENTO Y TECNOLOGÍAS PRODUCTO DE LAS INVESTIGACIONES</t>
  </si>
  <si>
    <t>https://community.secop.gov.co/Public/Tendering/OpportunityDetail/Index?noticeUID=CO1.NTC.3915905&amp;isFromPublicArea=True&amp;isModal=true&amp;asPopupView=true</t>
  </si>
  <si>
    <t>OPSP-VIN-0065-2023</t>
  </si>
  <si>
    <t>AURA MARIA MENA DE LA CRUZ</t>
  </si>
  <si>
    <t>PRESTACIÓN DE SERVICIOS PROFESIONALES EN EL CENTRO DE INNOVACIÓN Y EMPRENDIMIENTO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 BRINDAR APOYO LOGÍSTICO Y SOPORTE A LA DIRECCIÓN DEL CIE EN LA IDENTIFICACIÓN DE PROGRAMAS Y PROYECTOS QUE FORTALEZCAN LAS INICIATIVAS DE CREACIÓN ARTÍSTICA CULTURAL INDUSTRIAS CREATIVAS E INNOVACIÓN SOCIAL EN LA COMUNIDAD UNIMAGDALENA</t>
  </si>
  <si>
    <t>https://community.secop.gov.co/Public/Tendering/OpportunityDetail/Index?noticeUID=CO1.NTC.3938982&amp;isFromPublicArea=True&amp;isModal=true&amp;asPopupView=true</t>
  </si>
  <si>
    <t>OPSP-VIN-0066-2023</t>
  </si>
  <si>
    <t>DANNA MARCELA POLO CAMARGO</t>
  </si>
  <si>
    <t>PRESTAR LOS SERVICIOS PROFESIONALES EN MARCO DEL PROYECTO DE INVESTIGACIÓN VISIBILIZACIÓN DE LAS CAPACIDADES QUE GENERA LA ECONOMÍA POPULAR PARA EL DESARROLLO ECONÓMICO DE COLOMBIA LA CONTRATISTA SE COMPROMETE A DISEÑAR LA ENCUESTA DE PERCEPCIÓN APLICADA A LOS ASISTENTES AL SIMPOSIO SOBRE ECONOMÍA POPULAR Y COMUNITARIA Y A LAS INSTITUCIONES PÚBLICAS RELACIONADAS CON EL TEMA IDENTIFICAR LOS ASISTENTES AL SIMPOSIO SOBRE ECONOMÍA POPULAR Y COMUNITARIA APLICAR EL INSTRUMENTO DE MEDICIÓN SISTEMATIZAR LOS RESULTADOS.</t>
  </si>
  <si>
    <t>EDWIN ALBERTO GUERRERO UTRIA</t>
  </si>
  <si>
    <t>https://community.secop.gov.co/Public/Tendering/OpportunityDetail/Index?noticeUID=CO1.NTC.3939356&amp;isFromPublicArea=True&amp;isModal=true&amp;asPopupView=true</t>
  </si>
  <si>
    <t>OPSP-VIN-0067-2023</t>
  </si>
  <si>
    <t>DIVA MARCELA PIAMBA TULCAN</t>
  </si>
  <si>
    <t xml:space="preserve">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 </t>
  </si>
  <si>
    <t>https://community.secop.gov.co/Public/Tendering/OpportunityDetail/Index?noticeUID=CO1.NTC.3951108&amp;isFromPublicArea=True&amp;isModal=true&amp;asPopupView=true</t>
  </si>
  <si>
    <t>OPSP-VIN-0068-2023</t>
  </si>
  <si>
    <t>GINA SOFIA MORENO CRESPO</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</si>
  <si>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 COADYUVAR Y ASISTIR AL COORDINADOR DEL CENTRO DE GENÉTICA Y BIOLOGÍA MOLECULAR EN EL DISEÑO ELABORACIÓN DE POLÍTICAS PROCEDIMIENTOS PROTOCOLOS MANUALES GUÍAS FORMATOS Y DEMÁS DOCUMENTOS QUE SE DEFINAN DENTRO DEL ALCANCE TÉCNICO PARA EL CUMPLIMIENTO DE LOS ESTÁNDARES DE CALIDAD</t>
  </si>
  <si>
    <t>https://community.secop.gov.co/Public/Tendering/OpportunityDetail/Index?noticeUID=CO1.NTC.3951329&amp;isFromPublicArea=True&amp;isModal=true&amp;asPopupView=true</t>
  </si>
  <si>
    <t>OPSP-VIN-0069-2023</t>
  </si>
  <si>
    <t>DAVID MAURICIO GARCIA GUETTE</t>
  </si>
  <si>
    <t>PRESTACIÓN DE SERVICIOS PROFESIONALES EN ECONOMÍA PARA UN CAPÍTULO DEL LIBRO ECONOMÍA POPULAR MEDIANTE CONTRATO INTERADMINISTRATIVO NO CCE3464C2022 CELEBRADO ENTRE COLOMBIA COMPRA EFICIENTE Y LA UNIVERSIDAD DEL MAGDALENA EL CONTRATISTA SE COMPROMETE A REALIZAR LA CONSTRUCCIÓN DE UN CAPÍTULO DE LIBRO DENOMINADO LAS ECONOMÍAS POPULARES Y EL APORTE A LA PRODUCTIVIDAD PARTICIPAR EN LAS REUNIONES CON EL DIRECTOR DEL CONTRATO PARA ANALIZAR LOS AVANCES DE LA INVESTIGACIÓN</t>
  </si>
  <si>
    <t>EDWIN GUERRERO UTRIA</t>
  </si>
  <si>
    <t>https://community.secop.gov.co/Public/Tendering/OpportunityDetail/Index?noticeUID=CO1.NTC.3951185&amp;isFromPublicArea=True&amp;isModal=true&amp;asPopupView=true</t>
  </si>
  <si>
    <t>OPSP-VIN-0070-2023</t>
  </si>
  <si>
    <t>JULIANA JAVIERRE LONDOÑO</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</si>
  <si>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</si>
  <si>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https://community.secop.gov.co/Public/Tendering/OpportunityDetail/Index?noticeUID=CO1.NTC.3962465&amp;isFromPublicArea=True&amp;isModal=true&amp;asPopupView=true</t>
  </si>
  <si>
    <t>OPSP-VIN-0071-2023</t>
  </si>
  <si>
    <t>MARIA CAMILA HERRERA CORTINA</t>
  </si>
  <si>
    <t>PRESTACIÓN DE SERVICIOS PROFESIONALES EN EL CENTRO DE INNOVACIÓN Y EMPRENDIMIENTO DE LA UNIVERSIDAD DEL MAGDALENA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ELABORACIÓN DE
BANCO DE PROYECTOS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</si>
  <si>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https://community.secop.gov.co/Public/Tendering/OpportunityDetail/Index?noticeUID=CO1.NTC.3962706&amp;isFromPublicArea=True&amp;isModal=true&amp;asPopupView=true</t>
  </si>
  <si>
    <t>OPSP-VIN-0072-2023</t>
  </si>
  <si>
    <t>KAREN PATRICIA CUAO ALVARADO</t>
  </si>
  <si>
    <t>PRESTAR LOS SERVICIOS PROFESIONALES EN LA DIRECCIÓN DE TRANSFERENCIA DEL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YO SUS UNIDADES APOYAR EN LAS ACTIVIDADES DE DIVULGACIÓN DE LOS EVENTOS DE CTEI QUE SE PRODUZCAN POR MEDIOS VIRTUALES YO DE MODO PRESENCIAL CON AUSPICIO DE LA VICERRECTORÍA DE INVESTIGACIÓN BRINDAR APOYO CON LA ARTICULACIÓN ENTRE LA VICERRECTORÍA DE INVESTIGACIÓN SUS DIRECCIONES Y LA DIRECCIÓN DE COMUNICACIONES</t>
  </si>
  <si>
    <t>https://community.secop.gov.co/Public/Tendering/OpportunityDetail/Index?noticeUID=CO1.NTC.3962813&amp;isFromPublicArea=True&amp;isModal=true&amp;asPopupView=true</t>
  </si>
  <si>
    <t>OPSP-VIN-0073-2023</t>
  </si>
  <si>
    <t>MARIA CLARA RIASCOS NIGRINIS</t>
  </si>
  <si>
    <t>PRESTAR LOS SERVICIOS PROFESIONALES EN LA DIRECCIÓN DE TRANSFERENCIA DEL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 APOYAR CON LA BÚSQUEDA DE ITINERARIOS DE BOLETOS AÉREOS PARA LOS INVESTIGADORES DE LA UNIVERSIDAD O DE INVITADOS NACIONALES E INTERNACIONALES QUE PARTICIPEN EN EVENTOS</t>
  </si>
  <si>
    <t>https://community.secop.gov.co/Public/Tendering/OpportunityDetail/Index?noticeUID=CO1.NTC.3962729&amp;isFromPublicArea=True&amp;isModal=true&amp;asPopupView=true</t>
  </si>
  <si>
    <t>OPSP-VIN-0074-2023</t>
  </si>
  <si>
    <t>NEILA PATRICIA MACEA SMITH</t>
  </si>
  <si>
    <t>https://community.secop.gov.co/Public/Tendering/OpportunityDetail/Index?noticeUID=CO1.NTC.3963018&amp;isFromPublicArea=True&amp;isModal=true&amp;asPopupView=true</t>
  </si>
  <si>
    <t>OPSP-VIN-0075-2023</t>
  </si>
  <si>
    <t>LISA PAOLA CALDERON CAMARGO</t>
  </si>
  <si>
    <t>PRESTAR LOS SERVICIOS PROFESIONALES COMO DISEÑADOR GRÁFICO EN LA EDITORIAL UNIMAGDALENA EL CONTRATISTA SE COMPROMETE A ELABORACIÓN DE LA DIAGRAMACIÓN DEL DIVERSO MATERIAL LIBROS REVISTAS BOLETINES CARTILLAS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</si>
  <si>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https://community.secop.gov.co/Public/Tendering/OpportunityDetail/Index?noticeUID=CO1.NTC.3971305&amp;isFromPublicArea=True&amp;isModal=true&amp;asPopupView=true</t>
  </si>
  <si>
    <t>OPSP-VIN-0076-2023</t>
  </si>
  <si>
    <t>JUAN CARLOS MONROY RODRIGUEZ</t>
  </si>
  <si>
    <t>PRESTAR LOS SERVICIOS PROFESIONALES EN LA DIRECCIÓN DE TRANSFERENCIA DEL CONOCIMIENTO Y PROPIEDAD INTELECTUAL DE LA VICERRECTORÍA DE INVESTIGACIÓN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DTCPI DURANTE EL PROCESO DE REGISTRO DE OBRAS ANTE LA DIRECCIÓN NACIONAL DE DERECHO DE AUTOR O ANTE CUALQUIER ENTIDAD COMPETENTE</t>
  </si>
  <si>
    <t>https://community.secop.gov.co/Public/Tendering/OpportunityDetail/Index?noticeUID=CO1.NTC.3971545&amp;isFromPublicArea=True&amp;isModal=true&amp;asPopupView=true</t>
  </si>
  <si>
    <t>OPSP-VIN-0077-2023</t>
  </si>
  <si>
    <t>CANDY DIAZGRANADOS HERNANDEZ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</si>
  <si>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</si>
  <si>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https://community.secop.gov.co/Public/Tendering/OpportunityDetail/Index?noticeUID=CO1.NTC.3971368&amp;isFromPublicArea=True&amp;isModal=true&amp;asPopupView=true</t>
  </si>
  <si>
    <t>OPSP-VIN-0078-2023</t>
  </si>
  <si>
    <t>NIDIA YEIMY VARGAS CASTILLO</t>
  </si>
  <si>
    <t>PRESTAR LOS SERVICIOS PROFESIONALES EN LA DIRECCIÓN DE GESTIÓN DEL CONOCIMIENTO EL CONTRATISTA SE COMPROMETE A APOYAR AL INVESTIGADOR PRINCIPAL DEL PROYECTO TITULADO CONSERVACIÓN DE LA BIODIVERSIDAD Y APROVECHAMIENTO SOSTENIBLE DE LOS RECURSOS HIDROBIOLÓGICOS Y BIOPROSPECCIÓN MARINA EN ÁREAS PROMISORIAS DE AGUAS PROFUNDAS EN LA GUAJIRA MAGDALENA BOLÍVAR SUCRE CÓRDOBA CHOCÓ VALLE DEL CAUCA ANTIOQUIA CALDAS EN EL AJUSTE DEL DOCUMENTO TÉCNICO Y PRESUPUESTO DE ACUERDO CON LAS RECOMENDACIONES DEL VERIFICADOR ASIGNADO POR MINCIENCIAS EN CADA UNA DE LAS DEVOLUCIONES QUE SE PRESENTE ADAPTAR EL DOCUMENTO TÉCNICO Y PRESUPUESTO DEL PROYECTO AL FORMATO BPIN EN LA MGA</t>
  </si>
  <si>
    <t xml:space="preserve">MÓNICA ZULBARÁN JIMÉNEZ </t>
  </si>
  <si>
    <t>https://community.secop.gov.co/Public/Tendering/OpportunityDetail/Index?noticeUID=CO1.NTC.3976840&amp;isFromPublicArea=True&amp;isModal=true&amp;asPopupView=true</t>
  </si>
  <si>
    <t>OPSP-VIN-0079-2023</t>
  </si>
  <si>
    <t>AMANDA MIGUEL BERBEN HENRIQUEZ</t>
  </si>
  <si>
    <t>PRESTAR LOS SERVICIOS PROFESIONALES COMO BIÓLOGA EN EL CENTRO DE COLECCIONES CIENTÍFICAS DE LA UNIVERSIDAD DEL MAGDALENA EL CONTRATISTA SE COMPROMETE A LA ASISTENCIA DE PROCEDIMIENTOS Y TAREAS RELACIONADAS CON EL MANTENIMIENTO DE ESPECÍMENES DEPOSITADOS EN LAS COLECCIONES DE INVERTEBRADOS MARINOS COLECCIONES DE INVERTEBRADOS DULCEACUÍCOLAS Y TERRESTRES NO INSECTOS ORGANIZACIÓN Y RECTIFICACIÓN EN LA IDENTIFICACIÓN DE TODO MATERIAL PREVIAMENTE DEPOSITADO IDENTIFICACIÓN DE LOS ESPECÍMENES A NIVEL DE FAMILIA DE LOS GRUPOS DE INVERTEBRADOS ESCOGIDOS</t>
  </si>
  <si>
    <t xml:space="preserve">ROBERTO JOSÉ GUERRERO FLÓREZ </t>
  </si>
  <si>
    <t>https://community.secop.gov.co/Public/Tendering/OpportunityDetail/Index?noticeUID=CO1.NTC.3979374&amp;isFromPublicArea=True&amp;isModal=true&amp;asPopupView=true</t>
  </si>
  <si>
    <t>OPSP-VIN-0080-2023</t>
  </si>
  <si>
    <t>MIRLE PATRICIA CABARCAS JIMENEZ</t>
  </si>
  <si>
    <t>PRESTACIÓN DE SERVICIOS PROFESIONALES EN EL CENTRO DE COLECCIONES CIENTÍFICAS EL CONTRATISTA SE COMPROMETE A LA ASISTENCIA DE PROCEDIMIENTOS Y TAREAS RELACIONADAS CON EL MANTENIMIENTO DE ESPECÍMENES DE LA COLECCIÓN FICOLÓGICA GERMÁN BULA MEYER ORGANIZACIÓN Y RECTIFICACIÓN EN LA IDENTIFICACIÓN DEL MATERIAL PREVIAMENTE DEPOSITADO IDENTIFICACIÓN DE LOS ESPECÍMENES A NIVEL DE FAMILIA GÉNERO ESPECIE DE LOS GRUPOS DE MACORALGAS ESCOGIDOS</t>
  </si>
  <si>
    <t>https://community.secop.gov.co/Public/Tendering/OpportunityDetail/Index?noticeUID=CO1.NTC.3979929&amp;isFromPublicArea=True&amp;isModal=true&amp;asPopupView=true</t>
  </si>
  <si>
    <t>OPSP-VIN-0081-2023</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</si>
  <si>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</si>
  <si>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NIVEL TAXONÓMICO DE FAMILIA DE TODO MATERIAL PREVIAMENTE MONTADO Y UBICADO EN LAS GAVETAS DE LOS COMPACTADORES IDENTIFICACIÓN DE LOS ESPECÍMENES A NIVEL DE FAMILIA DE LOS ÓRDENES DE INSECTOS ESCOGIDOS ORGANIZÁNDOLOS EN LAS GAVETAS</t>
  </si>
  <si>
    <t>https://community.secop.gov.co/Public/Tendering/OpportunityDetail/Index?noticeUID=CO1.NTC.3980625&amp;isFromPublicArea=True&amp;isModal=true&amp;asPopupView=true</t>
  </si>
  <si>
    <t>OPSP-VIN-0082-2023</t>
  </si>
  <si>
    <t>MARIA FERNANDA MOZO RODRIGUEZ</t>
  </si>
  <si>
    <t>PRESTAR LOS SERVICIOS PROFESIONALES COMO ANTROPÓLOGA EN LA COLECCIÓN ARQUEOLÓGICA ADSCRITA AL CENTRO DE COLECCIONES CIENTÍFICAS DE LA UNIVERSIDAD DEL MAGDALENA EL CONTRATISTA SE COMPROMETE A HACER MANTENIMIENTO BÁSICO DE LA COLECCIÓN DE ARQUEOLOGÍA APOYAR EL PROCESO DE GENERACIÓN DE MODELOS 3D DE LAS PIEZAS ARQUEOLÓGICAS DISEÑAR UNA EXPOSICIÓN DE MATERIALES LÍTICOS BASADO EN INVESTIGACIONES BÁSICAS APOYAR LA GENERACIÓN DE PROTOCOLOS INTERNOS DE MANEJO DE LA COLECCIÓN SEGÚN LOS SISTEMAS INTERNOS DE LA UNIVERSIDAD DEL MAGDALENA Y LA REGULACIÓN QUE HACE EL INSTITUTO COLOMBIANO DE ANTROPOLOGÍA E HISTORIA</t>
  </si>
  <si>
    <t xml:space="preserve">WILHELM LONDOÑO DIAZ  </t>
  </si>
  <si>
    <t>https://community.secop.gov.co/Public/Tendering/OpportunityDetail/Index?noticeUID=CO1.NTC.4002852&amp;isFromPublicArea=True&amp;isModal=true&amp;asPopupView=true</t>
  </si>
  <si>
    <t>OPSP-VIN-0083-2023</t>
  </si>
  <si>
    <t>PRESTAR LOS SERVICIOS PROFESIONALES EN LA VICERRECTORÍA DE INVESTIGACIÓN EL CONTRATISTA SE COMPROMETE A APOYAR EN EL SEGUIMIENTO DE LAS COMUNICACIONES ELECTRÓNICAS DE LA VICERRECTORÍA DE INVESTIGACIÓN REALIZAR SEGUIMIENTO EN EL MANEJO DE LA AGENDA DEL VICERRECTOR DE INVESTIGACIÓN Y ORGANIZACIÓN DE REUNIONES EN LA VIN APOYAR EN LA GESTIÓN DE DOCUMENTOS REMITIDOS A LA VICERRECTORÍA Y DOCUMENTOS PARA LA FIRMA DEL VICERRECTOR COADYUVAR EN LA GESTIÓN DEL PROGRAMA DE FINANCIACIÓN PARA LA FORMACIÓN CIENTÍFICA</t>
  </si>
  <si>
    <t>JORGE ENRIQUE ELÍAS CARO</t>
  </si>
  <si>
    <t>https://community.secop.gov.co/Public/Tendering/OpportunityDetail/Index?noticeUID=CO1.NTC.4017938&amp;isFromPublicArea=True&amp;isModal=true&amp;asPopupView=true</t>
  </si>
  <si>
    <t>OPSP-VIN-0084-2023</t>
  </si>
  <si>
    <t>EVELYN ROCIO RUIZ GONZALEZ</t>
  </si>
  <si>
    <t>PRESTAR LOS SERVICIOS PROFESIONALES EN LA EDITORIAL DE LA UNIVERSIDAD DEL MAGDALENA EL CONTRATISTA SE COMPROMETE A APOYAR EN LA PLANEACIÓN DE LOS EVENTOS ACADÉMICOS CULTURALES Y ARTÍSTICOS EN LAS CUALES PARTICIPE YO REALICE LA EDITORIAL UNIMAGDALENA APOYO EN LA PLANEACIÓN DE LAS FERIAS DEL LIBRO EN LAS CUALES PARTICIPE Y O REALICE LA EDITORIAL UNIMAGDALENA VELAR POR LA REALIZACIÓN DEL MATERIAL PUBLICITARIO QUE SE REQUIERA PARA LOS EVENTOS O FERIAS DEL LIBRO EN LAS CUALES PARTICIPE YO REALICE LA EDITORIAL UNIMAGDALENA ENTREGAR LA INFORMACIÓN REQUERIDA DE LOS RESULTADOS Y ACTIVIDADES REALIZADAS DE LOS EVENTOS O FERIAS DEL LIBRO EN LAS CUALES PARTICIPE Y/O REALICE LA EDITORIAL UNIMAGDALENA</t>
  </si>
  <si>
    <t>https://community.secop.gov.co/Public/Tendering/OpportunityDetail/Index?noticeUID=CO1.NTC.4017971&amp;isFromPublicArea=True&amp;isModal=true&amp;asPopupView=true</t>
  </si>
  <si>
    <t>OPSP-VIN-0085-2023</t>
  </si>
  <si>
    <t>JUAN RODOLFO RIOS NOGUERA</t>
  </si>
  <si>
    <t>PRESTAR LOS SERVICIOS PROFESIONALES EN MARCO DEL PROYECTO DE INVESTIGACIÓN VISIBILIZACIÓN DE LAS CAPACIDADES QUE GENERA LA ECONOMÍA POPULAR PARA EL DESARROLLO ECONÓMICO DE COLOMBIA EL CONTRATISTA SE COMPROMETE A REALIZAR UN ANÁLISIS DEL ESTADO ACTUAL DEL MARCO JURÍDICO DE LA ECONOMÍA POPULAR Y COMUNITARIA EN COLOMBIA IDENTIFICAR LAS NORMAS LEYES DECRETOS Y ARTÍCULOS CONSTITUCIONALES QUE SOPORTAN Y PUEDEN SOPORTAR EL DESARROLLO DE LA POLÍTICA PÚBLICA DE ECONOMÍA POPULAR Y COMUNITARIA COMPILAR LA INFORMACIÓN DE ANÁLISIS EN UN TEXTO QUE SERÁ UTILIZADO COMO UN CAPÍTULO DEL DOCUMENTO TÉCNICO</t>
  </si>
  <si>
    <t>https://community.secop.gov.co/Public/Tendering/OpportunityDetail/Index?noticeUID=CO1.NTC.4031760&amp;isFromPublicArea=True&amp;isModal=true&amp;asPopupView=true</t>
  </si>
  <si>
    <t>OPSP-VIN-0086-2023</t>
  </si>
  <si>
    <t>ROSANA LONDOÑO GONZÁLEZ</t>
  </si>
  <si>
    <t>PRESTAR LOS SERVICIOS PROFESIONALES EN MARCO DEL PROYECTO EXTERNO DE INVESTIGACIÓN OSITOS DE AGUA TARDIGRADA ASOCIADOS A BRIÓFITOS Y LÍQUENES EN FRAGMENTOS DE BOSQUE SECO TROPICAL DE LOS MONTES DE MARÍA Y LA SERRANÍA DE PIOJÓ. UNA CONTRIBUCIÓN A LA BIODIVERSIDAD DE COLOMBI EL CONTRATISTA SE COMPROMETE A REALIZAR LOS TRÁMITES DE COMPRA DE INSUMOS Y MATERIALES PLANIFICACIÓN DE ACTIVIDADES DE LABORATORIO SEPARACIÓN MONTAJE E IDENTIFICACIÓN DE TARDÍGRADOS SUPERVISIÓN DE LA REALIZACIÓN DE MATRICES DARWIN CORE DEL MATERIAL IDENTIFICADO</t>
  </si>
  <si>
    <t>ROBERTO JOSÉ GUERRERO FLÓREZ</t>
  </si>
  <si>
    <t>https://community.secop.gov.co/Public/Tendering/OpportunityDetail/Index?noticeUID=CO1.NTC.4031791&amp;isFromPublicArea=True&amp;isModal=true&amp;asPopupView=true</t>
  </si>
  <si>
    <t>OPSP-VIN-0087-2023</t>
  </si>
  <si>
    <t>DIEGO ANDRÉS RESTREPO LEAL</t>
  </si>
  <si>
    <t>PRESTAR LOS SERVICIOS PROFESIONALES EN EL CENTRO DE GENÉTICA Y BIOLOGÍA MOLECULAR DE LA VICERRECTORÍA DE INVESTIGACIÓN DE LA UNIVERSIDAD DEL MAGDALENA EL CONTRATISTA SE COMPROMETE A APOYO EN EL MANTENIMIENTO Y OPERATIVIDAD DEL SERVIDOR DEL CENTRO DE GENÉTICA ASESORÍA A INVESTIGADORES Y USUARIOS SOBRE EL USO DEL SERVIDOR DEL CENTRO DE GENÉTICA ELABORAR MANUAL Y REGLAMENTO DE USO DEL SERVIDOR REALIZAR LOS AJUSTES PERTINENTES QUE CONSIDERE EL SUPERVISOR DE LA OBRA</t>
  </si>
  <si>
    <t>LYDA CASTRO GARCIA</t>
  </si>
  <si>
    <t>https://community.secop.gov.co/Public/Tendering/OpportunityDetail/Index?noticeUID=CO1.NTC.4032935&amp;isFromPublicArea=True&amp;isModal=true&amp;asPopupView=true</t>
  </si>
  <si>
    <t>OPSP-VIN-0088-2023</t>
  </si>
  <si>
    <t>DAYANNA PAOLA VENENCIA SAYAS</t>
  </si>
  <si>
    <t xml:space="preserve">PRESTAR LOS SERVICIOS PROFESIONALES COMO BIÓLOGA EN ELMARCO DEL PROYECTO DE INVESTIGACIÓN OSITOS DE AGUA TARDÍGRADA ASOCIADOS A BRIÓFITOS Y LÍQUENES ENFRAGMENTOS DE BOSQUE SECO TROPICAL DE LOS MONTES DE MARÍA Y LA SERRANÍA DE PIOJÓ UNA CONTRIBUCIÓN A LABIODIVERSIDAD DE COLOMBIA EL CONTRATISTA SE COMPROMETE A REALIZAR LA REVISIÓN DE MUESTRAS DE BRIÓFITOS Y LÍQUENES PARA LA EXTRACCIÓN Y MONTAJE DE TARDÍGRADOS ENTRENAMIENTO SUPERVISIÓN Y DIRECCIÓN DE TESISTA DE PREGRADO EN ACTIVIDADES DE LABORATORIO </t>
  </si>
  <si>
    <t>SIGMER YAMURUK QUIROGA CÁRDENAS</t>
  </si>
  <si>
    <t>https://community.secop.gov.co/Public/Tendering/OpportunityDetail/Index?noticeUID=CO1.NTC.4059500&amp;isFromPublicArea=True&amp;isModal=true&amp;asPopupView=true</t>
  </si>
  <si>
    <t>OPSP-VIN-0089-2023</t>
  </si>
  <si>
    <t>LUCIANI ANDREA PERTUZ MENDEZ</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</si>
  <si>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APOYAR EN LA REVISIÓN DE MUESTRAS DE BRIÓFITOS Y LÍQUENES PARA LA EXTRACCIÓN Y MONTAJE DE TARDÍGRADOS APOYAR AL INVESTIGADOR PRINCIPAL DEL PROYECTO EN LA ELABORACIÓN DE INFORMES PARA LA AUTORIDAD NACIONAL DE LICENCIAS AMBIENTALES EN COORDINACIÓN CON LA DIRECCIÓN DE GESTIÓN DEL CONOCIMIENTO</t>
  </si>
  <si>
    <t>SIGMER QUIROGA CÁRDENAS</t>
  </si>
  <si>
    <t>https://community.secop.gov.co/Public/Tendering/OpportunityDetail/Index?noticeUID=CO1.NTC.4059956&amp;isFromPublicArea=True&amp;isModal=true&amp;asPopupView=true</t>
  </si>
  <si>
    <t>OPSP-VIN-0090-2023</t>
  </si>
  <si>
    <t>ANGELY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</si>
  <si>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t>
  </si>
  <si>
    <t>https://community.secop.gov.co/Public/Tendering/OpportunityDetail/Index?noticeUID=CO1.NTC.4064570&amp;isFromPublicArea=True&amp;isModal=true&amp;asPopupView=true</t>
  </si>
  <si>
    <t>OPSP-VIN-0091-2023</t>
  </si>
  <si>
    <t>VICTOR ALFONSO NUÑEZ SANCHEZ</t>
  </si>
  <si>
    <t>PRESTACIÓN DE SERVICIOS PROFESIONALES EN MARCO DEL PROYECTO DE INVESTIGACIÓN PRODUCCIÓN DE ECONOMÍA ECOLÓGICA INCLUYENTE Y SOSTENIBLE UNA INVESTIGACIÓN PARA DESARROLLAR ESTRATEGIAS DE EMPRENDIMIENTO SOCIAL SOLIDARIO PARA EL ECOTURISMO EN PUEBLOVIEJO CIÉNAGA GRANDE DE SANTA MARTA EL CONTRATISTA SE COMPROMETE AL APOYO GENERAL DESDE EL ÁMBITO CIENTÍFICO AL PROYECTO DE INVESTIGACIÓN APOYO ESPECÍFICO AL LÍDER LOCAL DEL HILO 6 DE ACUERDO CON LO SOLICITADO POR EL LÍDER</t>
  </si>
  <si>
    <t>EDUARDO FORERO LLOREDA</t>
  </si>
  <si>
    <t>https://community.secop.gov.co/Public/Tendering/OpportunityDetail/Index?noticeUID=CO1.NTC.4068547&amp;isFromPublicArea=True&amp;isModal=true&amp;asPopupView=true</t>
  </si>
  <si>
    <t>OPSP-VIN-0092-2023</t>
  </si>
  <si>
    <t>DALIANYS DEJESUS PASTRANA MARTINEZ</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</si>
  <si>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t>
  </si>
  <si>
    <t>DEWAR ENRIQUE LOPEZ MORGAN</t>
  </si>
  <si>
    <t>https://community.secop.gov.co/Public/Tendering/OpportunityDetail/Index?noticeUID=CO1.NTC.4099927&amp;isFromPublicArea=True&amp;isModal=true&amp;asPopupView=true</t>
  </si>
  <si>
    <t>OPSP-VIN-0093-2023</t>
  </si>
  <si>
    <t>MARIA ELENA HUERTAS BOLAÑOS</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</si>
  <si>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RECOLECTAR INFORMACIÓN NECESARIA SOBRE LOS RETOS DE ECONOMÍA POLÍTICA DE LAS TRANSICIONES ENERGÉTICAS JUSTAS ASESORÍA TÉCNICA EN LA PREPARACIÓN Y ELABORACIÓN DE PRODUCTOS GRÁFICOS DERIVADOS DEL PROYECTO APOYO A LA REVISIÓN ASESORÍA EN EDICIÓN FINAL Y ACOMPAÑAMIENTO EDITORIAL DE DOCUMENTOS DE INVESTIGACIÓN DERIVADOS DEL PROYECTO</t>
  </si>
  <si>
    <t>ANDREA CAROLINA CARDOSO DÍAZ</t>
  </si>
  <si>
    <t>https://community.secop.gov.co/Public/Tendering/OpportunityDetail/Index?noticeUID=CO1.NTC.4100291&amp;isFromPublicArea=True&amp;isModal=true&amp;asPopupView=true</t>
  </si>
  <si>
    <t>OPSP-VIN-0094-2023</t>
  </si>
  <si>
    <t>ISABELLA KARINA NOCHES MARTINEZ</t>
  </si>
  <si>
    <t>PRESTAR LOS SERVICIOS PROFESIONALES EN MARCO DEL PROYECTO DE INVESTIGACIÓN EXTERNO EUROPEAN LATIN AMERICAN NETWORK IN SUPPORT OF SOCIAL ENTREPRENEURS  ELANET EL CONTRATISTA SE COMPROMETE A IDENTIFICAR CARACTERIZAR Y VISIBILIZAR LOS EMPRENDIMIENTOS SOCIALES APOYADOS EN EL MARCO DE LAS ACTIVIDADES DEL PAQUETE DE TRABAJO A2 DOCUMENTAR EL PROCESO DE IDENTIFICACIÓN CARACTERIZACIÓN Y VISIBILIZACIÓN DE LOS EMPRENDEDORES SOCIALES TRANSFERIR AL EQUIPO DEL CIE EL PROCESO DE VISIBILIZACIÓN DE LOS EMPRENDEDORES SOCIALES CARACTERIZADOS EN LA PLATAFORMA ELANET</t>
  </si>
  <si>
    <t>https://community.secop.gov.co/Public/Tendering/OpportunityDetail/Index?noticeUID=CO1.NTC.4100827&amp;isFromPublicArea=True&amp;isModal=true&amp;asPopupView=true</t>
  </si>
  <si>
    <t>OPSP-VIN-0095-2023</t>
  </si>
  <si>
    <t xml:space="preserve">ANISBETH  DAZA </t>
  </si>
  <si>
    <t>PRESTAR LOS SERVICIOS PROFESIONALES EN LA EDITORIAL UNIMAGDALENA EL CONTRATISTA SE COMPROMETE A APOYAR LOS PROCESOS DE VERIFICACIÓN DE APLICACIÓN DE NORMAS Y DEMÁS REQUERIMIENTOS ESTABLECIDOS EN EL REGLAMENTO EDITORIAL UNIMAGDALENA POR PARTE DE LOS AUTORE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</si>
  <si>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https://community.secop.gov.co/Public/Tendering/OpportunityDetail/Index?noticeUID=CO1.NTC.4099881&amp;isFromPublicArea=True&amp;isModal=true&amp;asPopupView=true</t>
  </si>
  <si>
    <t>OPSP-VIN-0096-2023</t>
  </si>
  <si>
    <t>ANDRES FELIPE SUESCUN OSORIO</t>
  </si>
  <si>
    <t>PRESTAR LOS SERVICIOS PROFESIONALES COMO ABOGADO EN LA VICERRECTORÍA DE INVESTIGACIÓN EN MARCO DEL PROYECTO DE INVESTIGACIÓN TITULADO CREATE CARIBBEAN RESEARCH ALTERNATIVES FOR A TRANSFORMATION IN ENERGY AND ECONOMY ALTERNATIVAS DESDE LA INVESTIGACIÓN ACADÉMICA PARA UNA TRANSFORMACIÓN ENERGÉTICA Y DE LA ECONOMÍA EN EL CARIBE EL CONTRATISTA SE COMPROMETE A REVISAR Y VALIDAR LAS HOJAS DE VIDA CON SUS SOPORTES EN LA PLATAFORMA GEDOCO Y SIGEP II LOS DOCUMENTOS PRECONTRACTUALES NECESARIOS PARA ELABORACIÓN DE ÓRDENES DE SERVICIOS PROFESIONALES Y DE APOYO A LA GESTIÓN</t>
  </si>
  <si>
    <t>ANA CAMARGO VELÁSQUEZ</t>
  </si>
  <si>
    <t>https://community.secop.gov.co/Public/Tendering/OpportunityDetail/Index?noticeUID=CO1.NTC.4101219&amp;isFromPublicArea=True&amp;isModal=true&amp;asPopupView=true</t>
  </si>
  <si>
    <t>OPSP-VIN-0097-2023</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</si>
  <si>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VIN</t>
  </si>
  <si>
    <t>ANA FLORA JIMENEZ DE LA HOZ</t>
  </si>
  <si>
    <t>https://community.secop.gov.co/Public/Tendering/OpportunityDetail/Index?noticeUID=CO1.NTC.4101203&amp;isFromPublicArea=True&amp;isModal=true&amp;asPopupView=true</t>
  </si>
  <si>
    <t>OPSP-VIN-0098-2023</t>
  </si>
  <si>
    <t>PRESTACIÓN DE SERVICIOS PROFESIONALES COMO CONTADOR PÚBLICO EN LA OFICINA DE TESORERÍA DE LA UNIVERSIDAD DEL 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</si>
  <si>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ALIX RAMOS FUENTES</t>
  </si>
  <si>
    <t>https://community.secop.gov.co/Public/Tendering/OpportunityDetail/Index?noticeUID=CO1.NTC.4101442&amp;isFromPublicArea=True&amp;isModal=true&amp;asPopupView=true</t>
  </si>
  <si>
    <t>OPSP-VIN-0099-2023</t>
  </si>
  <si>
    <t>DAILIS DAYANA VILLALOBOS BALAGUER</t>
  </si>
  <si>
    <t>PRESTACIÓN DE SERVICIOS PROFESIONALES EN MARCO DE PROYECTO EXTERNO CENTRO DE VIGILANCIA CIENTÍFICO TECNOLÓGICA Y LA APROPIACIÓN SOCIAL DEL CONOCIMIENTO EL CONTRATISTA SE COMPROMETE A APOYO EN LA COORDINACIÓN LOGÍSTICA DEL PILOTO DEL PROYECTO DE CREACIÓN DEL CENTRO DE VIGILANCIA EN RELACIÓN CON EL CONVENIO ESTABLECIDO CON LA ORGANIZACIÓN DE ESTADOS IBEROAMERICANOS OEI APOYO EN LA CONSOLIDACIÓN DE INFORMACIÓN Y DATOS DE LOS RESULTADOS OBTENIDOS DEL PILOTO</t>
  </si>
  <si>
    <t>EDGAR REY SINNING</t>
  </si>
  <si>
    <t>https://community.secop.gov.co/Public/Tendering/OpportunityDetail/Index?noticeUID=CO1.NTC.4116360&amp;isFromPublicArea=True&amp;isModal=true&amp;asPopupView=true</t>
  </si>
  <si>
    <t>OPSP-VIN-0100-2023</t>
  </si>
  <si>
    <t>PRESTACIÓN DE SERVICIOS PROFESIONALES EN MARCO DEL PROYECTO DE INVESTIGACIÓN OSITOS DE AGUA TARDÍGRADA ASOCIADOS A BRIÓFITOS Y LÍQUENES EN FRAGMENTOS DE BOSQUE SECO TROPICAL DE LOS MONTES DE MARÍA Y LA SERRANÍA DE PIOJÓ. UNA CONTRIBUCIÓN A LA BIODIVERSIDAD DE COLOMBIA EL CONTRATISTA SE COMPROMETE A APOYAR IDENTIFICACIÓN TAXONÓMICA DE TARDÍGRADOS APOYAR EN LA SUPERVISIÓN DE ACTIVIDADES DE LABORATORIO CAPACITAR A ESTUDIANTES DE PREGRADO EN LA TAXONOMÍA BÁSICA DE TARDÍGRADOS APOYAR EN LA ELABORACIÓN DE MANUSCRITOS E INFORMES TÉCNICOS ASISTIR A LAS REUNIONES CON EXPERTOS INTERNACIONALES PARA LA CORROBORACIÓN DE IDENTIFICACIONES TAXONÓMICAS</t>
  </si>
  <si>
    <t>https://community.secop.gov.co/Public/Tendering/OpportunityDetail/Index?noticeUID=CO1.NTC.4116749&amp;isFromPublicArea=True&amp;isModal=true&amp;asPopupView=true</t>
  </si>
  <si>
    <t>OPSP-VIN-0101-2023</t>
  </si>
  <si>
    <t>ELIANA MARGARITA PINEDA MUNIVE</t>
  </si>
  <si>
    <t>PRESTAR LOS SERVICIOS PROFESIONALES EN EL MARCO DEL PROYECTO DE INVESTIGACIÓN EFECTO DE LA QUÍMICA DE CARBONATOS Y LA ACIDIFICACIÓN OCEÁNICA EN LA CALCIFICACIÓN Y FECUNDIDAD DE ALGAS CORALINÁCEAS COSTROSAS DE AMBIENTES CON SURGENCIA ESTACIONAL EN EL CARIBE COLOMBIANO EL CONTRATISTA SE COMPROMETE A APOYAR LOS PROCESOS ADMINISTRATIVOS Y DE GESTIÓN EN LAS COTIZACIONES RESPECTIVAS A LAS EMPRESAS EN LOS MATERIALES Y REACTIVOS COORDINAR CON LAS ENTIDADES ALIADAS EN LOS PROYECTOS LA GESTIÓN PARA DAR INICIO AL APOYO EN LOS TALLERES DE APROPIACIÓN SOCIAL DEL CONOCIMI</t>
  </si>
  <si>
    <t>ROCÍO DEL PILAR GARCÍA</t>
  </si>
  <si>
    <t>https://community.secop.gov.co/Public/Tendering/OpportunityDetail/Index?noticeUID=CO1.NTC.4147308&amp;isFromPublicArea=True&amp;isModal=true&amp;asPopupView=true</t>
  </si>
  <si>
    <t>OPSP-VIN-0102-2023</t>
  </si>
  <si>
    <t>GINA NORIEGA NARVAEZ</t>
  </si>
  <si>
    <t>PRESTAR LOS SERVICIOS PROFESIONALES EN MARCO DEL PROYECTO DE INVESTIGACIÓN TITULADO: VULNERACIÓN DE DERECHOS HUMANOS EN EL SECTOR PESQUERO ARTESANAL MARINO COSTERO EN EL CONTEXTO DE JUSTICIA AZUL EN EL CARIBE COLOMBIANO EL CONTRATISTA SE COMPROMETE A COORDINAR LA ORGANIZACIÓN Y LOGÍSTICA DE LA INFORMACIÓN TÉCNICA REQUERIDA PARA IMPLEMENTAR LOS CONTENIDOS ACTUALIZADOS EN EL CONVERSATORIO PESCANDO JUSTICIA: VIOLACIONES DE DERECHOS HUMANOS EN TERRITORIOS PESQUEROS FACILITAR LA ELABORACIÓN DE UN DOCUMENTO TÉCNICO CON LAS RECOMENDACIONES PRINCIPALES DEL EVENTO APOYAR LA SISTEMATIZACIÓN DE LA INFORMACIÓN RECOPILADA EN EL MARCO DEL CONVERSATORIO</t>
  </si>
  <si>
    <t xml:space="preserve">ISABELA FIGUEROA </t>
  </si>
  <si>
    <t>https://community.secop.gov.co/Public/Tendering/OpportunityDetail/Index?noticeUID=CO1.NTC.4153428&amp;isFromPublicArea=True&amp;isModal=true&amp;asPopupView=true</t>
  </si>
  <si>
    <t>OPSP-VIN-0103-2023</t>
  </si>
  <si>
    <t xml:space="preserve">JOSE  BERMUDEZ </t>
  </si>
  <si>
    <t>PRESTACIÓN DE SERVICIOS PROFESIONALES EN MARCO DEL PROYECTO DE INVESTIGACIÓN PRODUCCIÓN DE ECONOMÍA ECOLÓGICA INCLUYENTE Y SOSTENIBLE UNA INVESTIGACIÓN PARA DESARROLLAR ESTRATEGIAS DE EMPRENDIMIENTO SOCIAL SOLIDARIO PARA EL ECOTURISMO EN PUEBLO VIEJO CIÉNAGA GRANDE DE SANTA MARTA BPIN 2020000100569 EL CONTRATISTA SE COMPROMETE AL APOYO GENERAL DESDE EL ÁMBITO CIENTÍFICO AL PROYECTO DE INVESTIGACIÓN APOYO ESPECÍFICO AL LÍDER DEL HILO 4 DE ACUERDO CON LO SOLICITADO POR EL LÍDE</t>
  </si>
  <si>
    <t>ENRIQUE TAPIA PEREZ</t>
  </si>
  <si>
    <t>https://community.secop.gov.co/Public/Tendering/OpportunityDetail/Index?noticeUID=CO1.NTC.4153741&amp;isFromPublicArea=True&amp;isModal=true&amp;asPopupView=true</t>
  </si>
  <si>
    <t>OPSP-VIN-0104-2023</t>
  </si>
  <si>
    <t xml:space="preserve">JANNIE  VALENCIA </t>
  </si>
  <si>
    <t>https://community.secop.gov.co/Public/Tendering/OpportunityDetail/Index?noticeUID=CO1.NTC.4164807&amp;isFromPublicArea=True&amp;isModal=true&amp;asPopupView=true</t>
  </si>
  <si>
    <t>OPSP-VIN-0105-2023</t>
  </si>
  <si>
    <t>JESUS MANUEL JIMENEZ TORRES</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</si>
  <si>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EN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</si>
  <si>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https://community.secop.gov.co/Public/Tendering/OpportunityDetail/Index?noticeUID=CO1.NTC.4164561&amp;isFromPublicArea=True&amp;isModal=true&amp;asPopupView=true</t>
  </si>
  <si>
    <t>OPSP-VIN-0106-2023</t>
  </si>
  <si>
    <t>EVELIN NAILET VILLALBA FUENTES</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</si>
  <si>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</si>
  <si>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LARRY JIMÉNEZ FERBANS</t>
  </si>
  <si>
    <t>https://community.secop.gov.co/Public/Tendering/OpportunityDetail/Index?noticeUID=CO1.NTC.4174701&amp;isFromPublicArea=True&amp;isModal=true&amp;asPopupView=true</t>
  </si>
  <si>
    <t>OPSP-VIN-0107-2023</t>
  </si>
  <si>
    <t>INDIRA ALEJANDRA OLIVEROS OROZCO</t>
  </si>
  <si>
    <t>PRESTAR LOS SERVICIOS PROFESIONALES EN MARCO DEL PROYECTO DE INVESTIGACIÓN CREATE 3 0 RETOS Y OPORTUNIDADES DEL CIERRE DE TERMOCARTAGENA: DIÁLOGO CON EMPLEADOS Y SINDICALISTAS EL CONTRATISTA SE COMPROMETE A COORDINAR LOS ASPECTOS ADMINISTRATIVOS Y FINANCIEROS DEL PROYECTO MONITOREAR EL CUMPLIMIENTO DE LOS CONTRATOS Y RESOLUCIONES POR AYUDANTÍAS DEL PROYECTO REALIZAR EL INFORME TÉCNICO DE RESULTADOS DEL PROYECTO CON INDICADORES DE CUMPLIMIENTO ESPECÍFICOS EN FORMATO PROPIO DE LA ENTIDAD FINANCIADORA EUROPEAN CLIMATE FOUNDATION</t>
  </si>
  <si>
    <t>ANDREA CAROLINA CARDOSO DIAZ</t>
  </si>
  <si>
    <t>https://community.secop.gov.co/Public/Tendering/OpportunityDetail/Index?noticeUID=CO1.NTC.4174988&amp;isFromPublicArea=True&amp;isModal=true&amp;asPopupView=true</t>
  </si>
  <si>
    <t>OPSP-VIN-0108-2023</t>
  </si>
  <si>
    <t>ROSA LEIDYS SANTAMARIA GUERRERO</t>
  </si>
  <si>
    <t>PRESTAR LOS SERVICIOS PROFESIONALES EN MARCO DEL PROYECTO EXTERNO DE INVESTIGACIÓN CREATE 3 0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 APOYO A LA REVISIÓN Y EDICIÓN FINAL DE DOCUMENTOS DE INVESTIGACIÓN DERIVADOS DEL PROYECTO</t>
  </si>
  <si>
    <t>https://community.secop.gov.co/Public/Tendering/OpportunityDetail/Index?noticeUID=CO1.NTC.4175533&amp;isFromPublicArea=True&amp;isModal=true&amp;asPopupView=true</t>
  </si>
  <si>
    <t>OPSP-VIN-0109-2023</t>
  </si>
  <si>
    <t>LORENA MARCELA LOPEZ ORELLANO</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</si>
  <si>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t>
  </si>
  <si>
    <t>https://community.secop.gov.co/Public/Tendering/OpportunityDetail/Index?noticeUID=CO1.NTC.4184855&amp;isFromPublicArea=True&amp;isModal=true&amp;asPopupView=true</t>
  </si>
  <si>
    <t>OPSP-VIN-0110-2023</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</si>
  <si>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ASESORAR Y PREPARAR LA PARTICIPACIÓN DE LA EDITORIAL UNIMAGDALENA EN LA FERIA DEL LIBRO DE BOGOTÁ 2023</t>
  </si>
  <si>
    <t>https://community.secop.gov.co/Public/Tendering/OpportunityDetail/Index?noticeUID=CO1.NTC.4187284&amp;isFromPublicArea=True&amp;isModal=true&amp;asPopupView=true</t>
  </si>
  <si>
    <t>OPSP-VIN-0111-2023</t>
  </si>
  <si>
    <t>ANA ROSA MAESTRE GUERRA</t>
  </si>
  <si>
    <t>PRESTAR LOS SERVICIOS PROFESIONALES EN MARCO DEL PROYECTO DE INVESTIGACIÓN DATA MOBILIZATION FOR KEY ENTOMOLOGICAL GROUPS ACROSS THE CARIBBEAN REGION OF COLOMBIA MOVILIZACIÓN DE DATOS PARA GRUPOS ENTOMOLÓGICOS CLAVE EN LA REGIÓN CARIBE DE COLOMBIAEL CONTRATISTA SE COMPROMETE A DIGITALIZACIÓN DE DATOS DE COLECCIONES BIOLÓGICAS Y TOMAS DE FOTOGRAFÍAS.</t>
  </si>
  <si>
    <t>https://community.secop.gov.co/Public/Tendering/OpportunityDetail/Index?noticeUID=CO1.NTC.4188906&amp;isFromPublicArea=True&amp;isModal=true&amp;asPopupView=true</t>
  </si>
  <si>
    <t>OPSP-VIN-0112-2023</t>
  </si>
  <si>
    <t>JAIRO ANDRES VALCARCEL TORRES</t>
  </si>
  <si>
    <t>PRESTACIÓN DE SERVICIOS PROFESIONALES EN MARCO DEL PROYECTO DE INVESTIGACIÓN PARTICIPACIÓN PARA LA ELABORACIÓN DEL MODELO DE EXPOSICIÓN DE SANTA MARTA Y LA ELABORACIÓN DEL MODELO DE EXPOSICIÓN DE RIOHACHA EL CONTRATISTA SE COMPROMETE A BRINDAR ASESORÍA A LOS GRUPOS DE TRABAJO DE CADA UNIVERSIDAD EN LOS SIGUIENTES COMPONENTES DEL PROYECTO PARTICIPAR EN REUNIONES DE AVANCE Y DE SEGUIMIENTO DEL PROYECTO</t>
  </si>
  <si>
    <t>GUSTAVO CHANG NIETO</t>
  </si>
  <si>
    <t>https://community.secop.gov.co/Public/Tendering/OpportunityDetail/Index?noticeUID=CO1.NTC.4188727&amp;isFromPublicArea=True&amp;isModal=true&amp;asPopupView=true</t>
  </si>
  <si>
    <t>OPSP-VIN-0113-2023</t>
  </si>
  <si>
    <t>MILEIDY CRISTINA IDARRAGA GIRALDO</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</si>
  <si>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</si>
  <si>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https://www.secop.gov.co/CO1BusinessLine/Tendering/BuyerWorkArea/Index?DocUniqueIdentifier=CO1.BDOS.4195017</t>
  </si>
  <si>
    <t>OPSP-VIN-0114-2023</t>
  </si>
  <si>
    <t>JOSE RAFAEL LEONE VILLALBA</t>
  </si>
  <si>
    <t>PRESTAR LOS SERVICIOS PROFESIONALES EN MARCO DEL PROYECTO DE INVESTIGACIÓN PARTICIPACIÓN PARA LA ELABORACIÓN DEL MODELO DE EXPOSICIÓN DE SANTA MARTA Y LA ELABORACIÓN DEL MODELO DE EXPOSICIÓN DE RIOHACHA EN EL MARCO DEL PROYECTO MODELO NACIONAL DE RIESGO SÍSMICO EL CONTRATISTA SE COMPROMETE A BRINDAR ASESORÍA A LOS GRUPOS DE TRABAJO DE CADA UNIVERSIDAD EN LOS SIGUIENTES COMPONENTES DEL PROYECTO PARTICIPAR EN REUNIONES DE AVANCE Y DE SEGUIMIENTO DEL PROYECTO</t>
  </si>
  <si>
    <t>https://www.secop.gov.co/CO1BusinessLine/Tendering/BuyerWorkArea/Index?DocUniqueIdentifier=CO1.BDOS.4195321</t>
  </si>
  <si>
    <t>OPSP-VIN-0115-2023</t>
  </si>
  <si>
    <t>NIDIA ISABEL ROMERO PATIÑO</t>
  </si>
  <si>
    <t>PRESTAR LOS SERVICIOS PROFESIONALES EN MARCO DEL PROYECTO MAPPING THE ARCHAEOLOGICAL PRE-COLUMBIAN HERITAGE IN SOUTH AMERICA MAPHSA EL CONTRATISTA SE COMPROMETE A RECOPILACIÓN DIGITAL DE DATOS ARQUEOLÓGICOS DE INVESTIGACIONES PRIMARIAS ACADÉMICAS Y DE ARQUEOLOGÍA PREVENTIVA DE LA REGIÓN CARIBE EN COLOMBIA ESTANDARIZACIÓN DE DATOS ARQUEOLÓGICOS PROVENIENTES DE FUENTES SECUNDARIAS COMO ATLAS ARQUEOLÓGICO DE COLOMBIA DEL INSTITUTO COLOMBIANO DE ANTROPOLOGÍA E HISTORIA EN LAS ÁREAS PRIORITARIAS DE LA REGIÓN CARIBE EN COLOMBIA VERIFICACIÓN DE ESTADO DE CONSERVACIÓN DE SITIOS ARQUEOLÓGICOS DEFINIDOS POR EL INVESTIGADOR PRINCIPAL DE LA UNIVERSIDAD DEL MAGDALENA EN EL PROYECTO MAPHSA EN LAS ÁREAS PRIORITARIAS DE LA REGIÓN CARIBE EN COLOMBIA</t>
  </si>
  <si>
    <t>JUAN CARLOS VARGAS RUIZ</t>
  </si>
  <si>
    <t>https://www.secop.gov.co/CO1BusinessLine/Tendering/BuyerWorkArea/Index?DocUniqueIdentifier=CO1.BDOS.4202127</t>
  </si>
  <si>
    <t>OPSP-VIN-0116-2023</t>
  </si>
  <si>
    <t>RAFAEL RICARDO GALINDO CRUZ</t>
  </si>
  <si>
    <t>PRESTAR LOS SERVICIOS PROFESIONALES EN MARCO DEL PROYECTO MAPPING THE ARCHAEOLOGICAL PRE COLUMBIAN HERITAGE IN SOUTH AMERICA MAPHSA EL CONTRATISTA SE COMPROMETE A RECOPILACIÓN DIGITAL DE DATOS ARQUEOLÓGICOS DE INVESTIGACIONES PRIMARIAS ACADÉMICAS Y DE ARQUEOLOGÍA PREVENTIVA DE LAS REGIONES CENTRO Y ORIENTAL DE COLOMBIA ESTANDARIZACIÓN DE DATOS ARQUEOLÓGICOS PROVENIENTES DE FUENTES SECUNDARIAS COMO ATLAS ARQUEOLÓGICO DE COLOMBIA DEL INSTITUTO COLOMBIANO DE ANTROPOLOGÍA E HISTORIA EN LAS ÁREAS PRIORITARIAS DE LAS REGIONES CENTRO Y ORIENTAL DE COLOMBIA</t>
  </si>
  <si>
    <t xml:space="preserve"> JUAN CARLOS VARGAS RUIZ</t>
  </si>
  <si>
    <t>https://www.secop.gov.co/CO1BusinessLine/Tendering/BuyerWorkArea/Index?DocUniqueIdentifier=CO1.BDOS.4202354</t>
  </si>
  <si>
    <t>OPSP-VIN-0117-2023</t>
  </si>
  <si>
    <t>LAURA MARCELA AGUILAR HERNANDEZ</t>
  </si>
  <si>
    <t>PRESTAR LOS SERVICIOS PROFESIONALES EN MARCO DEL PROYECTO DE INVESTIGACIÓN PARTICIPACIÓN PARA LA ELABORACIÓN DEL MODELO DE EXPOSICIÓN DE SANTA MARTA Y LA ELABORACIÓN DEL MODELO DE EXPOSICIÓN DE RIOHACHA EL CONTRATISTA SE COMPROMETE 
REALIZACIÓN DE MUESTREO E INSPECCIONES PILOTO EN LAS ZONAS HOMOGÉNEAS DEFINIDAS PARA SANTA ROSA DE CABAL RISARALDA REALIZACIÓN DE LOS RECONOCIMIENTOS CORRESPONDIENTES A CADA PUNTO UTILIZANDO LA HERRAMIENTA DE INSPECCIÓN EN LÍNEA QUE HA DISPUESTO EL SGC REALIZAR INSPECCIONES DE EDIFICACIONES</t>
  </si>
  <si>
    <t>https://www.secop.gov.co/CO1BusinessLine/Tendering/BuyerWorkArea/Index?DocUniqueIdentifier=CO1.BDOS.4207300</t>
  </si>
  <si>
    <t>OPSP-VIN-0118-2023</t>
  </si>
  <si>
    <t>YENILUZ ESTRADA HERRERA</t>
  </si>
  <si>
    <t>PRESTAR LOS SERVICIOS PROFESIONALES EN MARCO DEL PROYECTO DE INVESTIGACIÓN PARTICIPACIÓN PARA LA ELABORACIÓN DEL MODELO DE EXPOSICIÓN DE SANTA MARTA Y LA ELABORACIÓN DEL MODELO DE EXPOSICIÓN DE RIOHACHA EL CONTRATISTA SE COMPROMETE A LA IDENTIFICACIÓN DE RECURSOS E INSUMOS PARA EL ANÁLISIS Y PROCESAMIENTO DE INFORMACIÓN IDENTIFICAR Y REPRESENTAR ESTADÍSTICAMENTE LAS TIPOLOGÍAS ESTRUCTURALES PRESENTES EN LA CIUDAD DE SANTA ROSA DE CABAL HACIENDO USO DE SISTEMAS DE INFORMACIÓN GEOGRÁFICA Y HERRAMIENTAS DE ANÁLISIS DE DATOS GENERAR ZONAS HOMOGÉNEAS CONSISTENTES CON LA METODOLOGÍA DE MUESTREO ESTADÍSTICO POR ESTRATIFICACIÓN DONDE SE PRESENTEN EDIFICACIO</t>
  </si>
  <si>
    <t xml:space="preserve"> GUSTAVO CHANG NIETO</t>
  </si>
  <si>
    <t>https://www.secop.gov.co/CO1BusinessLine/Tendering/BuyerWorkArea/Index?DocUniqueIdentifier=CO1.BDOS.4211963</t>
  </si>
  <si>
    <t>OPSP-VIN-0119-2023</t>
  </si>
  <si>
    <t>DAVID ENRIQUE LOPEZ ALFARO</t>
  </si>
  <si>
    <t>PRESTAR LOS SERVICIOS PROFESIONALES EN MARCO DE LOS PROYECTOS DE INVESTIGACIÓN TITULADOS DIVERSIDAD TAXONÓMICA Y FUNCIONAL DE HORMIGAS HYMENOPTERA: FORMICIDAE ASOCIADAS A LA HOJARASCA EN ECOSISTEMAS AMENAZADOS DE BOSQUES SECO TROPICAL EN LOS MONTES DE MARÍA Y SERRANÍA DE PIOJÓ CARIBE COLOMBIANO Y OSITOS DE AGUA TARDÍGRADA ASOCIADOS A BRIÓFITOS Y LÍQUENES EN FRAGMENTOS DE BOSQUE SECO TROPICAL DE LOS MONTES DE MARÍA Y LA SERRANÍA DE PIOJÓ EL CONTRATISTA SE COMPROMETE A PREPARAR EL INFORME FINAL DE EJECUCIÓN FINANCIERA GARANTIZANDO EL CUMPLIMIENTO DE LOS REQUISITOS ESTABLECIDOS POR MINCIENCIAS COORDINACIÓN ADMINISTRATIVA SEGUIMIENTO EN LA EXPEDICIÓN DE ORDENES DE GASTO</t>
  </si>
  <si>
    <t xml:space="preserve"> MONICA ZULBARÁN</t>
  </si>
  <si>
    <t>OPSP-VIN-0120-2023</t>
  </si>
  <si>
    <t>CRISTINA ISABEL CLAVIJO DUARTE</t>
  </si>
  <si>
    <t>PRESTACIÓN DE SERVICIOS PROFESIONALES COMO BIÓLOGO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</si>
  <si>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</si>
  <si>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https://www.secop.gov.co/CO1BusinessLine/Tendering/BuyerWorkArea/Index?DocUniqueIdentifier=CO1.BDOS.4213565</t>
  </si>
  <si>
    <t>OPSP-VIN-0121-2023</t>
  </si>
  <si>
    <t>MARIA JESUS GONZALEZ PABON</t>
  </si>
  <si>
    <t>PRESTAR LOS SERVICIOS PROFESIONALES EN MARCO DEL PROYECTO EXTERNO DE INVESTIGACIÓN SISTEMA BIOELECTROQUÍMICO PARA LA RECUPERACIÓN DE NUTRIENTES NITRÓGENO Y FÓSFORO Y REUTILIZACIÓN DE AGUA OPERADO CON MATERIALES DE BAJO COSTO UTILIZANDO VERTIMIENTOS LÍQUIDOS DE LA INDUSTRIA AGROPECUARIA EL CONTRATISTA SE COMPROMETE AL APOYO EN LA GESTIÓN DE ACTIVIDADES DE LA ALIANZA ESTRATÉGICA ESTABLECIDA ENTRE UNIMAG ITSA UPC PARA LA ADECUADA EJECUCIÓN DEL PROYECTO BRINDAR APOYO A LA EJECUCIÓN TÉCNICA DEL PROYECTO COORDINAR LA PARTICIPACIÓN DEL GRUPO UNA RED DE CONOCIMIENTO</t>
  </si>
  <si>
    <t>ELIANA LIZETH VERGARA VÁSQUEZ</t>
  </si>
  <si>
    <t>https://www.secop.gov.co/CO1BusinessLine/Tendering/BuyerWorkArea/Index?DocUniqueIdentifier=CO1.BDOS.4213596</t>
  </si>
  <si>
    <t>OPSP-VIN-0122-2023</t>
  </si>
  <si>
    <t>IVAN DARIO CRUZ DAZA</t>
  </si>
  <si>
    <t>PRESTAR LOS SERVICIOS PROFESIONALES EN MARCO DEL PROYECTO DE INVESTIGACIÓN OBSERVATORIO DE DDHH DEL CARIBE COLOMBIANO EL CONTRATISTA SE COMPROMETE A SISTEMATIZAR LOS RESULTADOS DE LOS EJERCICIOS DESARROLLADOS EN LAS MESAS DE TRABAJO POR MUNICIPIO LO CUAL RESULTE ÚTIL PARA LA REVISIÓN DE CONTEXTO APOYAR LA IDENTIFICACIÓN DE VARIABLES NECESARIAS PARA LA RECOLECCIÓN DE INFORMACIÓN QUE APORTE EN LA ALIMENTACIÓN DEL SIDHES LO CUAL FACILITE LA SISTEMATIZACIÓN DE LO PROPUESTO EN LA PRIMERA ACTIVIDAD CARGAR INFORMACIÓN EN EL SISTEMA DE INFORMACIÓN DE ACUERDO CON LOS CRITERIOS ESTABLECIDOS Y PACTADOS EN EL CONVENIO</t>
  </si>
  <si>
    <t>DANIEL ALBERTO GÓMEZ LÓPEZ</t>
  </si>
  <si>
    <t>https://www.secop.gov.co/CO1BusinessLine/Tendering/BuyerWorkArea/Index?DocUniqueIdentifier=CO1.BDOS.4222232</t>
  </si>
  <si>
    <t>OPSP-VIN-0123-2023</t>
  </si>
  <si>
    <t>NHORELSY CAMILA THOWINSON DE LEON</t>
  </si>
  <si>
    <t>PRESTAR LOS SERVICIOS PROFESIONALES EN MARCO DEL PROYECTO DE INVESTIGACIÓN UNIVERSIDAD DEL MAGDALENA ESPACIOS LIBRES DE RACISMO EL CONTRATISTA SE COMPROMETE A REALIZAR TRABAJO DE CAMPO REALIZADORA DE ENTREVISTAS SEMIESTRUCTURADAS A GRUPOS FOCALES ASOCIACIONES DE COMUNIDADES INDÍGENAS DE LA UNIVERSIDAD DEL MAGDALENA Y COLECTIVA DE AFROCOLOMBIANOS DE LA UNIVERSIDAD DEL MAGDALENA DISEÑO Y ELABORACIÓN CARTOGRAFÍA SOCIAL TALLER DE CARTOGRAFÍA CON LOS GRUPOS
FOCALES PARA IDENTIFICAR Y TRAZAR ESTRATEGIAS PARA SENTAR LAS BASES DE UNA POLÍTICA DE MEJORA EN CASOS DE RACISMO Y DISCRIMINACIÓN EN LA UNIVERSIDAD DEL MAGDALENA</t>
  </si>
  <si>
    <t>ROBERTO RAFAEL ALMANZA HERNANDEZ</t>
  </si>
  <si>
    <t>https://www.secop.gov.co/CO1BusinessLine/Tendering/BuyerWorkArea/Index?DocUniqueIdentifier=CO1.BDOS.4223293</t>
  </si>
  <si>
    <t>OPSP-VIN-0124-2023</t>
  </si>
  <si>
    <t>LAURA CAROLINA MANTILLA ROMO</t>
  </si>
  <si>
    <t xml:space="preserve">PRESTAR LOS SERVICIOS PROFESIONALES EN MARCO DEL PROYECTO EXTERNO DE INVESTIGACIÓ SISTEMA BIOELECTROQUÍMICO PARA LA RECUPERACIÓN DE NUTRIENTES NITRÓGENO Y FÓSFORO Y REUTILIZACIÓN DE AGUA OPERADO CON MATERIALES DE BAJO COSTO UTILIZANDO VERTIMIENTOS LÍQUIDOS DE LA INDUSTRIA AGROPECUARIA EL CONTRATISTA SE COMPROMETE A LA GESTIÓN DE COMPRAS DE DISPOSITIVOS ELECTRÓNICOS ELEMENTOS Y ACCESORIOS HIDRÁULICOS SISTEMATIZACIÓN DE LA INFORMACIÓN ANÁLISIS Y ELABORACIÓN DE INFORMES. 3. APOYO CURSO UNIBIOLAC. </t>
  </si>
  <si>
    <t>https://www.secop.gov.co/CO1BusinessLine/Tendering/BuyerWorkArea/Index?DocUniqueIdentifier=CO1.BDOS.4228402</t>
  </si>
  <si>
    <t>OPSP-VIN-0125-2023</t>
  </si>
  <si>
    <t>DARIO VEGA DIAZ</t>
  </si>
  <si>
    <t>PRESTACIÓN DE SERVICIOS PROFESIONALES EN MARCO DEL PROYECTO DE INVESTIGACIÓN CALIDAD DEL AGUA Y RECONOCIMIENTO BIOLÓGICO PORTUARIO DE REFERENCIA PARA LA GESTIÓN DE AGUAS DE LASTRE EL CONTRATISTA SE COMPROMETE A SERVICIOS TÉCNICOS DE ASESORAMIENTO EN EL ANÁLISIS DE MUESTRAS FITOPLANCTON MARINO ASESORAMIENTO METODOLÓGICO PARA LA COLECTA Y MUESTREO DE FITOPLANCTON MARINO ELABORACIÓN DE INFORMES TÉCNICOS DE ANÁLISIS DE FITOPLANCTON</t>
  </si>
  <si>
    <t>ISAAC MANUEL ROMERO BORJA</t>
  </si>
  <si>
    <t>https://www.secop.gov.co/CO1BusinessLine/Tendering/BuyerWorkArea/Index?DocUniqueIdentifier=CO1.BDOS.4234141</t>
  </si>
  <si>
    <t>OPSP-VIN-0126-2023</t>
  </si>
  <si>
    <t>EDGAR FERNANDO DORADO RONCANCIO</t>
  </si>
  <si>
    <t xml:space="preserve">PRESTACIÓN DE SERVICIOS PROFESIONALES EN MARCO DEL PROYECTO DE INVESTIGACIÓN CALIDAD DEL AGUA Y RECONOCIMIENTO BIOLÓGICO PORTUARIO DE REFERENCIA PARA LA GESTIÓN DE AGUAS DE LASTRE EL CONTRATISTA SE COMPROMETE A REALIZAR LOS SERVICIOS TÉCNICOS DE ASESORAMIENTO EN EL ANÁLISIS DE MUESTRAS ZOOPLANCTON MARINO ASESORAMIENTO METODOLÓGICO PARA LA COLECTA Y MUESTREO DE ZOOPLANCTON MARINO ELABORACIÓN DE INFORMES TÉCNICOS DE ANÁLISIS DE ZOOPLANCTON  </t>
  </si>
  <si>
    <t>https://community.secop.gov.co/Public/Tendering/OpportunityDetail/Index?noticeUID=CO1.NTC.4281177&amp;isFromPublicArea=True&amp;isModal=true&amp;asPopupView=true</t>
  </si>
  <si>
    <t>OPSP-VIN-0127-2023</t>
  </si>
  <si>
    <t>TYFFANY MARIA ACOSTA MORA</t>
  </si>
  <si>
    <t>PRESTAR LOS SERVICIOS PROFESIONALES PARA EL APOYO EN LA FORMULACIÓN Y PRESENTACIÓN DE UN PROYECTO DE RESTAURACIÓN ECOLÓGICA EN LA CIÉNAGA DE ZAPAYÁN COMPLEJO LAGUNAR CGSM EN EL MARCO DE FINANCIACIÓN DE PROYECTOS DE RESTAURACIÓN DE LOS COMPROMISOS ESTABLECIDOS EN EL PLAN NACIONAL DE DESARROLLO MEDIANTE RECURSOS DEL SECTOR AMBIENTE EL CONTRATISTA SE COMPROMETE A CONSOLIDAR Y ANALIZAR LOS DOCUMENTOS BASES TÉCNICOS Y FINANCIEROS PARA LA ELABORACIÓN DE LA PROPUESTA DE PROYECTO APOYAR LA ELABORACIÓN DEL DOCUMENTO TÉCNICO DEL PROYECTO, SIGUIENDO ESTRUCTURA DE MARCO LÓGICO</t>
  </si>
  <si>
    <t>MÓNICA LASTENIA ZULBARÁN JIMÉNEZ</t>
  </si>
  <si>
    <t>https://community.secop.gov.co/Public/Tendering/OpportunityDetail/Index?noticeUID=CO1.NTC.4281816&amp;isFromPublicArea=True&amp;isModal=true&amp;asPopupView=true</t>
  </si>
  <si>
    <t>OPSP-VIN-0128-2023</t>
  </si>
  <si>
    <t>CARLOS  LOPEZ GARGIOLI</t>
  </si>
  <si>
    <t>PRESTAR LOS SERVICIOS PROFESIONALES EN LA DIRECCIÓN DE GESTIÓN DEL CONOCIMIENTO EL CONTRATISTA SE COMPROMETE A ASESORAR EN LA BÚSQUEDA DE FINANCIACIÓN DE ENTIDADES NACIONALES E INTERNACIONALES PARA PROYECTOS DE IDI RASTREO DE CONVOCATORIAS NACIONALES E INTERNACIONALES DE PROYECTOS DE INVESTIGACIÓN REGISTRAR LAS CONVOCATORIAS NACIONALES E INTERNACIONALES ADJUNTANDO LOS ANEXOS ADENDAS Y OTRAS DOCUMENTACIONES EN EL CO LAB</t>
  </si>
  <si>
    <t>https://community.secop.gov.co/Public/Tendering/OpportunityDetail/Index?noticeUID=CO1.NTC.4280776&amp;isFromPublicArea=True&amp;isModal=true&amp;asPopupView=true</t>
  </si>
  <si>
    <t>OPSP-VIN-0129-2023</t>
  </si>
  <si>
    <t>PRESTAR LOS SERVICIOS PROFESIONALES PARA ORIENTAR Y APOYAR EN LA ESTRUCTURACIÓN FORMULACIÓN Y SEGUIMIENTO DE PROPUESTAS Y PROYECTOS EL CONTRATISTA SE COMPROMETE A ASESORAR A LA VICERRECTORÍA DE INVESTIGACIÓN Y LA DIRECCIÓN DE GESTIÓN DEL CONOCIMIENTO EN EL ANÁLISIS FORMULACIÓN Y PRESENTACIÓN DE LAS PROPUESTAS DE INVESTIGACIÓN QUE PARTICIPAN EN LAS CONVOCATORIAS DEL PLAN BIENAL DE LA ASCTEI DEL SGR Y DEL SISTEMA GENERAL DE REGALÍAS QUE SE ENCUENTREN VIGENTES AL CIERRE DE LA OPSP ASESORAR A LOS LÍDERES E INVESTIGADORES DE LOS PROYECTOS EN LA METODOLOGÍA FORMULACIÓN PLAN BIENAL DE LA ASCTEI DEL SGR Y DEL SISTEMA GENERAL DE REGALÍAS QUE SE ENCUENTREN VIGENTE Y ESTRUCTURACIÓN DE PROPUESTAS DE PROYECTOS</t>
  </si>
  <si>
    <t>MONICA LASTENIA ZULBARAN JIMENEZ</t>
  </si>
  <si>
    <t>https://community.secop.gov.co/Public/Tendering/OpportunityDetail/Index?noticeUID=CO1.NTC.4287760&amp;isFromPublicArea=True&amp;isModal=true&amp;asPopupView=true</t>
  </si>
  <si>
    <t>OPSP-VIN-0130-2023</t>
  </si>
  <si>
    <t>ANGEL MANUEL OVIEDO MARQUEZ</t>
  </si>
  <si>
    <t>PRESTAR LOS SERVICIOS PROFESIONALES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MUESTRASREALIZAR PROCESAMIENTO DE MUESTRAS DE ADN REALIZAR ANÁLISIS DE DATOS Y REDACCIÓN DE INFORMES MANUSCRITOS.</t>
  </si>
  <si>
    <t>https://community.secop.gov.co/Public/Tendering/OpportunityDetail/Index?noticeUID=CO1.NTC.4287683&amp;isFromPublicArea=True&amp;isModal=true&amp;asPopupView=true</t>
  </si>
  <si>
    <t>OPSP-VIN-0131-2023</t>
  </si>
  <si>
    <t>PRESTAR LOS SERVICIOS PROFESIONALES EN LA EDITORIAL UNIMAGDALENA EL CONTRATISTA SE COMPROMETE A ELABORACIÓN DE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 APOYO EN LA ELABORACIÓN DE PIEZAS PUBLICITARIAS DE EVENTOS DE LA EDITORIAL</t>
  </si>
  <si>
    <t>https://community.secop.gov.co/Public/Tendering/OpportunityDetail/Index?noticeUID=CO1.NTC.4288150&amp;isFromPublicArea=True&amp;isModal=true&amp;asPopupView=true</t>
  </si>
  <si>
    <t>OPSP-VIN-0132-2023</t>
  </si>
  <si>
    <t>VERA TATIANA MARTINEZ BAÑOS</t>
  </si>
  <si>
    <t>PRESTAR LOS SERVICIOS PROFESIONALES PARA EL APOYO EN LA FORMULACIÓN Y PRESENTACIÓN DEL PROYECTO DE INVESTIGACIÓN RESTAURACIÓN ECOLÓGICA EN LA CIÉNAGA DE ZAPAYÁN COMPLEJO LAGUNAR CGSM EL CONTRATISTA SE COMPROMETE A CONSOLIDAR Y ANALIZAR LOS DOCUMENTOS BASES PARA LA ELABORACIÓN DE LA PROPUESTA DE PROYECTO APOYAR LA ELABORACIÓN DEL DOCUMENTO TÉCNICO DEL PROYECTO SIGUIENDO ESTRUCTURA DE MARCO LÓGICO APOYAR LA ELABORACIÓN DEL PRESUPUESTO DEL PROYECTO QUE SE DESARROLLARA PARA LOGRAR SU OBJETIVO CENTRAL</t>
  </si>
  <si>
    <t>https://community.secop.gov.co/Public/Tendering/OpportunityDetail/Index?noticeUID=CO1.NTC.4287779&amp;isFromPublicArea=True&amp;isModal=true&amp;asPopupView=true</t>
  </si>
  <si>
    <t>OPSP-VIN-0133-2023</t>
  </si>
  <si>
    <t>LAURA VALENTINA LOPEZ PORTILLO</t>
  </si>
  <si>
    <t>PRESTAR LOS SERVICIOS PROFESIONALES EN LA FERIA INTERNACIONAL DEL LIBRO DE BOGOTÁ 2023 EL CONTRATISTA SE COMPROMETE A LA ATENCIÓN AL PÚBLICO VISITANTE AL STAND DE LA EDITORIAL UNIMAGDALENA EN LA FERIA DEL LIBRO DE BOGOTÁ APOYO EN LA LOGÍSTICA DE LOS EVENTOS CULTURALES Y ACADÉMICOS QUE SE REALICEN EN EL STAND DE LA EDITORIAL UNIMAGDALENA EN LA FERIA DEL LIBRO DE BOGOTÁ APOYO EN EL MONTAJE Y DESMONTAJE DEL MATERIAL QUE SE EXPONE DURANTE LOS DÍAS DE LA FERIA DEL LIBRO DE BOGOTÁ</t>
  </si>
  <si>
    <t>https://community.secop.gov.co/Public/Tendering/OpportunityDetail/Index?noticeUID=CO1.NTC.4311145&amp;isFromPublicArea=True&amp;isModal=true&amp;asPopupView=true</t>
  </si>
  <si>
    <t>OPSP-VIN-0134-2023</t>
  </si>
  <si>
    <t>STEPHANY HERNANDEZ TORRES</t>
  </si>
  <si>
    <t>PRESTAR LOS SERVICIOS PROFESIONALES EN LA DIRECCIÓN DE TRANSFERENCIA DEL CONOCIMIENTO Y PROPIEDAD INTELECTUAL EL CONTRATISTA SE COMPROMETE A BRINDAR APOYO EN EL DISEÑO IDENTIDAD GRÁFICA Y DESARROLLO DE IMÁGENES PARA EVENTOS PRESENCIALES O VIRTUALES REALIZADOS POR LA VICERRECTORIA DE INVESTIGACIÓN Y SUS UNIDADES APOYAR EN EL DISEÑO DE PIEZAS PROMOCIONALES FÍSICAS Y DIGITALES QUE SEAN SOLICITADAS POR PARTE DE LA VICERRECTORÍA DE INVESTIGACIÓN APOYAR A LA VICERRECTORIA DE INVESTIGACIÓN EN LA DIAGRAMACIÓN DE DOCUMENTOS FOLLETOS E INFOGRAFÍAS FÍSICAS Y O DIGITALES SEGÚN SEA NECESARIO</t>
  </si>
  <si>
    <t>JORGE LUIS REYES CARREÑO</t>
  </si>
  <si>
    <t>https://community.secop.gov.co/Public/Tendering/OpportunityDetail/Index?noticeUID=CO1.NTC.4316038&amp;isFromPublicArea=True&amp;isModal=true&amp;asPopupView=true</t>
  </si>
  <si>
    <t>OPSP-VIN-0135-2023</t>
  </si>
  <si>
    <t>CARLOS JOSE ECHEVERRIA CUADRADO</t>
  </si>
  <si>
    <t xml:space="preserve">PRESTAR LOS SERVICIOS PROFESIONALES EN MARCO DEL PROYECTO DE INVESTIGACIÓN TITULADO GESTIÓN PARA LA CONSERVACIÓN DE LAS ESPECIES DE ACROPORA BASADA EN SU IMPORTANCIA COMO HÁBITAT PARA LA PESCA EN EL TRABAJO COMUNITARIO Y LA EDUCACIÓN EL CONTRATISTA SE COMPROMETE A DISEÑO DIAGRAMACIÓN Y ELABORACIÓN DE LAS IMÁGENES PARA EL COMIC Y APLICACIONES DE REALIDAD AUMENTADA REALIZACIÓN DE LOS VIDEOS NECESARIOS PARA LA REALIDAD AUMENTADA PRIMERAS PRUEBAS DE LA REALIDAD AUMENTADA ENTREGABLE BORRADOR COMPLETO DEL COMIC A PARTIR DEL GUION </t>
  </si>
  <si>
    <t>MAURICIO GARCIA MATAMOROS</t>
  </si>
  <si>
    <t>https://community.secop.gov.co/Public/Tendering/OpportunityDetail/Index?noticeUID=CO1.NTC.4366543&amp;isFromPublicArea=True&amp;isModal=true&amp;asPopupView=true</t>
  </si>
  <si>
    <t>OPSP-VIN-0136-2023</t>
  </si>
  <si>
    <t>MARGIE MILENA SILVA OLAYA</t>
  </si>
  <si>
    <t>PRESTACIÓN DE SERVICIOS PROFESIONALES EN MARCO DE PROYECTO EXTERNO GESTIÓN PARA LA CONSERVACIÓN DE LAS ESPECIES DE ACROPORA BASADA EN SU IMPORTANCIA COMO HÁBITAT PARA LA PESCA EN EL TRABAJO COMUNITARIO Y LA EDUCACIÓN EL CONTRATISTA SE COMPROMETE A APOYAR EN LA PRODUCCIÓN GENERAL DEL PROYECTO APOYAR EN LA REALIZACIÓN DE ENTREVISTAS AL EQUIPO TÉCNICO Y CIENTÍFICO DEL PROYECTO APOYAR EN LA CONTRATACIÓN PRODUCCIÓN DE CAMPO PLANEACIÓN Y EJECUCIÓN DE LAS DISTINTAS PIEZAS DEL PROYECTO INVESTIGACIÓN APOYAR Y COORDINADOR EN EL PROCESO DE COMPRA DE EQUIPOS</t>
  </si>
  <si>
    <t>https://community.secop.gov.co/Public/Tendering/OpportunityDetail/Index?noticeUID=CO1.NTC.4369827&amp;isFromPublicArea=True&amp;isModal=true&amp;asPopupView=true</t>
  </si>
  <si>
    <t>OPSP-VIN-0137-2023</t>
  </si>
  <si>
    <t>SEBASTIAN  PRADA PADILLA</t>
  </si>
  <si>
    <t>PRESTACIÓN DE SERVICIOS PROFESIONALES EN EL CENTRO DE GENÉTICA Y BIOLOGÍA MOLECULAR DE LA UNIVERSIDAD DEL MAGDALENA EL CONTRATISTA SE COMPROMETE AL APOYO EN EL ANÁLISIS DE DATOS GENÓMICOS GENERADOS A TRAVÉS DE PROYECTOS O VENTA DE SERVICIOS POR LOS INVESTIGADORES DEL CENTRO DE GENÉTICA Y BIOLOGIA MOLECULAR APOYO PARA LA INSTALACIÓN DE SOFTWARE ESPECÍFICOS PARA EL ANÁLISIS DE DATOS GENÓMICOS ASESORÍA A INVESTIGADORES Y ANALISTAS SOBRE EL USO DEL SERVIDOR Y EL ANÁLISIS E INTERPRETACIÓN DE LOS DATOS BIOINFORMÁTICOS</t>
  </si>
  <si>
    <t>https://community.secop.gov.co/Public/Tendering/OpportunityDetail/Index?noticeUID=CO1.NTC.4371114&amp;isFromPublicArea=True&amp;isModal=true&amp;asPopupView=true</t>
  </si>
  <si>
    <t>OPSP-VIN-0138-2023</t>
  </si>
  <si>
    <t xml:space="preserve">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DEL PROYECTO ORGANIZAR CODIFICAR Y ANALIZAR LA INFORMACIÓN COLECTADA EN CAMPO SUMADO A LA INFORMACIÓN SECUNDARIA COLECTADA PARA LOS CASOS DE ESTUDIO COORDINAR Y REALIZAR LA ELABORACIÓN DE LOS INFORMES TÉCNICOS REQUERIDOS </t>
  </si>
  <si>
    <t>LINA SAAVEDRA DÍAZ</t>
  </si>
  <si>
    <t>https://community.secop.gov.co/Public/Tendering/OpportunityDetail/Index?noticeUID=CO1.NTC.4371308&amp;isFromPublicArea=True&amp;isModal=true&amp;asPopupView=true</t>
  </si>
  <si>
    <t>OPSP-VIN-0139-2023</t>
  </si>
  <si>
    <t>YULIBETH  VELASQUEZ MENDOZA</t>
  </si>
  <si>
    <t>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EN BOLÍVAR Y EL OTRO EN MAGDALENA ORGANIZAR CODIFICAR Y ANALIZAR LA INFORMACIÓN COLECTADA EN CAMPO SUMADO A LA INFORMACIÓN SECUNDARIA COLECTADA PARA LOS CASOS DE ESTUDIO</t>
  </si>
  <si>
    <t>https://community.secop.gov.co/Public/Tendering/OpportunityDetail/Index?noticeUID=CO1.NTC.4366519&amp;isFromPublicArea=True&amp;isModal=true&amp;asPopupView=true</t>
  </si>
  <si>
    <t>OPSP-VIN-0140-2023</t>
  </si>
  <si>
    <t>CLAUDIA PATRICIA MANJARRES BOVEA</t>
  </si>
  <si>
    <t>PRESTAR LOS SERVICIOS PROFESIONALES EN LA DIRECCIÓN DE GESTIÓN DEL CONOCIMIENTO DE LA VICERRECTORÍA DE INVESTIGACIÓN EL CONTRATISTA SE COMPROMETE A APOYAR LAS ACTIVIDADES TÉCNICAS Y ADMINISTRATIVAS LIGADAS A LA COORDINACIÓN DEL CEIMAR EN LA UNIVERSIDAD DEL MAGDALENA APOYAR EN LA IDENTIFICACIÓN PERFILAMIENTO Y FORMULACIÓN DE PROYECTOS DE IDI EN LAS ÁREAS TEMÁTICAS DEL CEIMAR O QUE SEAN DE INTERÉS INSTITUCIONAL DE LA UNIVERSIDAD DEL MAGDALENA APOYAR LAS ACTIVIDADES DE GESTIÓN Y TRANSFERENCIA DEL CONOCIMIENTO EN LAS ÁREAS TEMÁTICAS DEL CEIMAR O QUE SEAN DE INTERÉS INSTITUCIONAL DE LA UNIVERSIDAD DEL MAGDALENA</t>
  </si>
  <si>
    <t>https://community.secop.gov.co/Public/Tendering/OpportunityDetail/Index?noticeUID=CO1.NTC.4377092&amp;isFromPublicArea=True&amp;isModal=true&amp;asPopupView=true</t>
  </si>
  <si>
    <t>OPSP-VIN-0141-2023</t>
  </si>
  <si>
    <t>MITCHEL ELIANA PARRA CORREDOR</t>
  </si>
  <si>
    <t>PRESTAR LOS SERVICIOS PROFESIONALES EN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APOYAR LA PLANIFICACIÓN DESARROLLO E IMPLEMENTACIÓN DE LAS ACTIVIDADES ASOCIADAS A LOS OBJETIVOS DE CUMPLIMIENTO ESPECIFICO DEL PROYECTO REALIZAR ACOMPAÑAMIENTO EN PLANIFICACIÓN E IMPLEMENTACIÓN DE LAS ACTIVIDADES ASOCIADAS A LOS OBJETIVOS DE CUMPLIMIENTO ESPECIFICO DEL PROYECTO</t>
  </si>
  <si>
    <t>KATTIA CABAS HOYOS</t>
  </si>
  <si>
    <t>https://community.secop.gov.co/Public/Tendering/OpportunityDetail/Index?noticeUID=CO1.NTC.4387411&amp;isFromPublicArea=True&amp;isModal=true&amp;asPopupView=true</t>
  </si>
  <si>
    <t>OPSP-VIN-0142-2023</t>
  </si>
  <si>
    <t>JOAQUIN ANTONIO PERDOMO VEGA</t>
  </si>
  <si>
    <t>PRESTAR LOS SERVICIOS PROFESIONALES EN LA DIRECCIÓN DE GESTIÓN DEL CONOCIMIENTO DE LA UNIVERSIDAD DEL MAGDALENA EL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</si>
  <si>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https://community.secop.gov.co/Public/Tendering/OpportunityDetail/Index?noticeUID=CO1.NTC.4387626&amp;isFromPublicArea=True&amp;isModal=true&amp;asPopupView=true</t>
  </si>
  <si>
    <t>OPSP-VIN-0143-2023</t>
  </si>
  <si>
    <t>CARMELINA  PABA BARBOSA</t>
  </si>
  <si>
    <t>PRESTAR LOS SERVICIOS PROFESIONALES EN EL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</si>
  <si>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https://community.secop.gov.co/Public/Tendering/OpportunityDetail/Index?noticeUID=CO1.NTC.4406432&amp;isFromPublicArea=True&amp;isModal=true&amp;asPopupView=true</t>
  </si>
  <si>
    <t>OPSP-VIN-0144-2023</t>
  </si>
  <si>
    <t>MARIA CLARA CUEVAS JARAMILLO</t>
  </si>
  <si>
    <t>PRESTAR LOS SERVICIOS PROFESIONALES EN MARCO DEL PROYECTO TITULADO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</si>
  <si>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KATTIA PAOLA CABAS HOYOS</t>
  </si>
  <si>
    <t>https://community.secop.gov.co/Public/Tendering/OpportunityDetail/Index?noticeUID=CO1.NTC.4429276&amp;isFromPublicArea=True&amp;isModal=true&amp;asPopupView=true</t>
  </si>
  <si>
    <t>OPSP-VIN-0145-2023</t>
  </si>
  <si>
    <t>PRESTAR LOS SERVICIOS PROFESIONALES EN LA DIRECCIÓN DE GESTIÓN DEL CONOCIMIENTO EL CONTRATISTA SE COMPROMETE A APOYAR A LA DIRECCIÓN DE GESTIÓN DEL CONOCIMIENTO EN LA FORMULACIÓN DE PROPUESTAS DE INVESTIGACIÓN QUE SEAN PRESENTADOS POR LA VICERRECTORÍA DE INVESTIGACIÓN ASÍ COMO EN EL CUMPLIMIENTO DE REQUISITOS DE LAS FUENTES DE FINANCIACIÓN CUANDO SEA REQUERIDO APOYAR A LA DIRECCIÓN DE GESTIÓN DEL CONOCIMIENTO EN LA ELABORACIÓN Y REVISIÓN DE DOCUMENTACIÓN REQUISITO DE LAS CONVOCATORIAS COMO CARTAS DE AVAL PRESUPUESTOS Y DEMÁS DOCUMENTOS QUE CORRESPONDAN</t>
  </si>
  <si>
    <t>https://community.secop.gov.co/Public/Tendering/OpportunityDetail/Index?noticeUID=CO1.NTC.4429583&amp;isFromPublicArea=True&amp;isModal=true&amp;asPopupView=true</t>
  </si>
  <si>
    <t>OPSP-VIN-0146-2023</t>
  </si>
  <si>
    <t>PRESTAR LOS SERVICIOS PROFESIONALES EN EL CENTRO DE INNOVACIÓN Y EMPRENDIMIENTO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ACTUALIZACIÓN Y SUBIR AL COLAB EL BANCO DE CONVOCATORIAS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</si>
  <si>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https://community.secop.gov.co/Public/Tendering/OpportunityDetail/Index?noticeUID=CO1.NTC.4445010&amp;isFromPublicArea=True&amp;isModal=true&amp;asPopupView=true</t>
  </si>
  <si>
    <t>OPSP-VIN-0147-2023</t>
  </si>
  <si>
    <t>PRESTACIÓN DE SERVICIOS PROFESIONALES EN MARCO DE PROYECTO DE INVESTIGACIÓN EXTERNO TITULADO OSITOS DE AGUA TARDÍGRADA ASOCIADOS A BRIÓFITOS Y LÍQUENES EN FRAGMENTOS DE BOSQUE SECO TROPICAL DE LOS MONTES DE MARÍA Y LA SERRANÍA DE PIOJÓ UNA CONTRIBUCIÓN A LA BIODIVERSIDAD DE COLOMBIA EL CONTRATISTA SE COMPROMETE A REALIZAR LA REVISIÓN DE MUESTRAS DE BRIÓFITOS Y LÍQUENES PARA LA EXTRACCIÓN Y MONTAJE DE TARDÍGRADOS SUPERVISIÓN Y DIRECCIÓN DE TESISTA DE PREGRADO IDENTIFICACIÓN DE TARDÍGRADOS PROCESAMIENTO DE DATOS Y CONSTRUCCIÓN DEL DOCUMENTO FINAL DE TESIS</t>
  </si>
  <si>
    <t>https://community.secop.gov.co/Public/Tendering/OpportunityDetail/Index?noticeUID=CO1.NTC.4533487&amp;isFromPublicArea=True&amp;isModal=true&amp;asPopupView=true</t>
  </si>
  <si>
    <t>OPSP-VIN-0148-2023</t>
  </si>
  <si>
    <t>ROSANA  LONDOÑO GONZALEZ</t>
  </si>
  <si>
    <t>PRESTAR LOS SERVICIOS PROFESIONALES EN MARCO DEL PROYECTO EXTERNO DE INVESTIGACIÓN OSITOS DE AGUA ASOCIADOS A BRIÓFITOS Y LÍQUENES EN FRAGMENTOS DE BOSQUE SECO TROPICAL DE LOS MONTES DE MARÍA Y LA SERRANÍA DE PIOJÓ UNA CONTRIBUCIÓN A LA BIODIVERSIDAD DE COLOMBIA EL CONTRATISTA SE COMPROMETE A LA PLANIFICACIÓN DE ACTIVIDADES DE LABORATORIO SEPARACIÓN REALIZAR LA SUPERVISIÓN DE LAS MATRICES DARWIN CORE DEL MATERIAL IDENTIFICADO</t>
  </si>
  <si>
    <t>MARÍA NEGRITTO CHEBEL</t>
  </si>
  <si>
    <t>https://community.secop.gov.co/Public/Tendering/OpportunityDetail/Index?noticeUID=CO1.NTC.4532331&amp;isFromPublicArea=True&amp;isModal=true&amp;asPopupView=true</t>
  </si>
  <si>
    <t>OPSP-VIN-0149-2023</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</si>
  <si>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REALIZAR APOYO EN LA REVISIÓN DE MUESTRAS DE BRIÓFITOS Y LÍQUENES PARA LA EXTRACCIÓN Y MONTAJE DE TARDÍGRADOS IDENTIFICACIÓN DE TARDÍGRADOS ACTUALIZACIÓN Y DEPURACIÓN DE BASES DE DATOS DARWINCORE CON LOS ESPECÍMENES RECOLECTADOS E IDENTIFICADOS</t>
  </si>
  <si>
    <t>https://community.secop.gov.co/Public/Tendering/OpportunityDetail/Index?noticeUID=CO1.NTC.4532550&amp;isFromPublicArea=True&amp;isModal=true&amp;asPopupView=true</t>
  </si>
  <si>
    <t>OPSP-VIN-0150-2023</t>
  </si>
  <si>
    <t>PRESTAR LOS SERVICIOS PROFESIONALES EN MARCO DEL PROYECTO DE INVESTIGACIÓN TITULADO OSITOS DE AGUA TARDÍGRADA ASOCIADOS A BRIÓFITOS Y LÍQUENES EN FRAGMENTOS DE BOSQUE SECO TROPICAL DE LOS MONTES DE MARÍA Y LA SERRANÍA DE PIOJÓ UNA CONTRIBUCIÓN A LA BIODIVERSIDAD DE COLOMBIA EL CONTRATISTA SE COMPROMETE A REALIZAR LA IDENTIFICACIÓN TAXONÓMICA DE TARDÍGRADOS APOYAR EN LA SUPERVISIÓN DE ACTIVIDADES DE LABORATORIO APOYAR EN LA ELABORACIÓN DE MANUSCRITOS E INFORMES TÉCNICOS</t>
  </si>
  <si>
    <t>https://community.secop.gov.co/Public/Tendering/OpportunityDetail/Index?noticeUID=CO1.NTC.4548827&amp;isFromPublicArea=True&amp;isModal=true&amp;asPopupView=true</t>
  </si>
  <si>
    <t>OPSP-VIN-0151-2023</t>
  </si>
  <si>
    <t>PRESTAR LOS SERVICIOS PROFESIONALES EN MARCO DEL PROYECTO TITULADO EUROPEAN LATIN AMERICAN NETWORK IN SUPPORT OF SOCIAL ENTREPRENEURS ELANET EL CONTRATISTA SE COMPROMETE A APOYAR EN LA COORDINACIÓN DE LAS ACTIVIDADES DEL PAQUETE DE TRABAJO A2 4 RELACIONADAS CON EL ESTUDIO CUALITATIVO DE LA INVESTIGACIÓN ANTES MENCIONADA</t>
  </si>
  <si>
    <t>https://community.secop.gov.co/Public/Tendering/OpportunityDetail/Index?noticeUID=CO1.NTC.4580492&amp;isFromPublicArea=True&amp;isModal=true&amp;asPopupView=true</t>
  </si>
  <si>
    <t>OPSP-VIN-0152-2023</t>
  </si>
  <si>
    <t>HAROLD DAVID HERNANDEZ SOLORZANO</t>
  </si>
  <si>
    <t>PRESTAR LOS SERVICIOS PROFESIONALES EN MARCO DEL PROYECTO TITULADO PROTOTIPO PARA CONTROLAR LA MADURACIÓN DE LAS FRUTAS CLIMATÉRICAS EN FASE DE POSCOSECHA POR MEDIO DE ATMÓSFERA MODIFICADA EL CONTRATISTA SE COMPROMETE A APOYAR EN EL DESARROLLO DEL PROTOTIPO ENTREGA DE LOS DOCUMENTOS DEL DESARROLLO DEL PROTOTIPO DOCUMENTACIONES TÉCNICAS Y METODOLÓGICA EN CASO DE DESARROLLO DIGITAL EL CONTRATISTA SE COMPROMETE A ENTREGAR LOS ARCHIVOS DIGITALES EN FORMATOS EDITABLES</t>
  </si>
  <si>
    <t>JORGE GÓMEZ ROJAS</t>
  </si>
  <si>
    <t>https://community.secop.gov.co/Public/Tendering/OpportunityDetail/Index?noticeUID=CO1.NTC.4588951&amp;isFromPublicArea=True&amp;isModal=true&amp;asPopupView=true</t>
  </si>
  <si>
    <t>OPSP-VIN-0153-2023</t>
  </si>
  <si>
    <t>ALEXANDER  ESPINOSA VALDEZ</t>
  </si>
  <si>
    <t>https://community.secop.gov.co/Public/Tendering/OpportunityDetail/Index?noticeUID=CO1.NTC.4589146&amp;isFromPublicArea=True&amp;isModal=true&amp;asPopupView=true</t>
  </si>
  <si>
    <t>OPSP-VIN-0154-2023</t>
  </si>
  <si>
    <t>PRESTAR LOS SERVICIOS PROFESIONALES EN MARCO DEL PROYECTO DE INVESTIGACIÓN TITULADO UNIVERSIDAD DEL MAGDALENA: ESPACIOS LIBRES DE RACISMO EL CONTRATISTA SE COMPROMETE A REALIZAR EL ANÁLISIS DE CARTOGRAFÍA SOCIAL ENFOQUE COMUNIDAD UNIVERSITARIA ANÁLISIS ENTREVISTAS SEMIESTRUCTURADAS A COLECTIVOS AFRO INDÍGENAS APOYO EN LA DOCUMENTACIÓN DEL INFORME FINAL</t>
  </si>
  <si>
    <t>https://community.secop.gov.co/Public/Tendering/OpportunityDetail/Index?noticeUID=CO1.NTC.4588367&amp;isFromPublicArea=True&amp;isModal=true&amp;asPopupView=true</t>
  </si>
  <si>
    <t>OPSP-VIN-0155-2023</t>
  </si>
  <si>
    <t>PRESTAR LOS SERVICIOS PROFESIONALES EN LA EDITORIAL UNIMAGDALENA EL CONTRATISTA SE COMPROMETE A ASESORAR LOS PROCESOS DE PUBLICACIÓN DE LA EDITORIAL UNIMAGDALENA REALIZAR EL SEGUIMIENTO A LOS PROCESOS DE EDICIÓN DE LAS PUBLICACIONES REALIZAR Y PREPARAR LAS CONVOCATORIAS QUE REALIZARÁ LA EDITORIAL ASESORAR PLANEAR Y PREPARAR EL DESARROLLO DE LA FERIA DEL LIBRO DE SANTA MARTA 2023</t>
  </si>
  <si>
    <t>https://community.secop.gov.co/Public/Tendering/OpportunityDetail/Index?noticeUID=CO1.NTC.4606590&amp;isFromPublicArea=True&amp;isModal=true&amp;asPopupView=true</t>
  </si>
  <si>
    <t>OPSP-VIN-0156-2023</t>
  </si>
  <si>
    <t>JAIDER ALBERTO FERIA POLO</t>
  </si>
  <si>
    <t>PRESTAR LOS SERVICIOS PROFESIONALES EN MARCO DEL PROYECTO DE INVESTIGACIÓN TITULADO PROGRAMA DE INVESTIGACIÓN EN COMPORTAMIENTO POBLACIONAL ECOLOGÍA E HISTORIA NATURAL DE FAUNA SILVESTRE EL CONTRATISTA SE COMPROMETE A APOYAR EN LA PLANIFICACIÓN ORGANIZACIÓN Y SUPERVISIÓN DE LOS ESTUDIOS Y SALIDAS DE CAMPO RELACIONADOS CON LA ESPECIE DE RÓBALO EN EL ÁREA DE INFLUENCIA DEL PROYECTO APOYAR EN EL ANÁLISIS DE DATOS Y LA ENTREGA DE INFORMES MENSUALES TRIMESTRALES Y FINAL DE LOS DIFERENTES COMPONENTES DEL PROYECTO</t>
  </si>
  <si>
    <t>LUIS ALBERTO RUEDA SOLANO</t>
  </si>
  <si>
    <t>https://community.secop.gov.co/Public/Tendering/OpportunityDetail/Index?noticeUID=CO1.NTC.4606933&amp;isFromPublicArea=True&amp;isModal=true&amp;asPopupView=true</t>
  </si>
  <si>
    <t>OPSP-VIN-0157-2023</t>
  </si>
  <si>
    <t>CARMEN JOHANA REYNOSO ESCORCIA</t>
  </si>
  <si>
    <t>PRESTACIÓN DE SERVICIOS PROFESIONALES EN MARCO DE PROYECTO DE INVESTIGACIÓN SISTEMA DE DETECCIÓN DE LA ATENCIÓN A PARTIR DE LA ACTIVIDAD ELÉCTRICA DEL CORAZÓN PARA EL REFUERZO DIAGNÓSTICO Y TRATAMIENTO DEL TRASTORNO DE DÉFICIT POR ATENCIÓN CON HIPERRACTIVIDAD Y LA DIDÁCTICA EDUCATIVA EL CONTRATISTA SE COMPROMETE A DESARROLLAR LAS INTERVENCIONES PSICOLÓGICAS CON LOS VOLUNTARIOS PARTICIPANTES MONITOREAR LA COMPATIBILIDAD DEL SISTEMA CON LA ACTIVIDAD CLÍNICA PSICOLÓGICA PARTICIPAR EN LA GENERACIÓN DE PRODUCTOS.</t>
  </si>
  <si>
    <t>UBALDO ENRIQUE RODRÍGUEZ DE ÁVILA</t>
  </si>
  <si>
    <t>https://community.secop.gov.co/Public/Tendering/OpportunityDetail/Index?noticeUID=CO1.NTC.4640978&amp;isFromPublicArea=True&amp;isModal=true&amp;asPopupView=true</t>
  </si>
  <si>
    <t>OPSP-VIN-0158-2023</t>
  </si>
  <si>
    <t>EDWIN BELISARIO CALDERON AGUILERA</t>
  </si>
  <si>
    <t>PRESTACIÓN DE SERVICIOS PROFESIONALES EN MARCO DE PROYECTO DE INVESTIGACIÓN INTERNO SISTEMA DE DETECCIÓN DE LA ATENCIÓN A PARTIR DE LA ACTIVIDAD ELÉCTRICA DEL CORAZÓN PARA EL REFUERZO DIAGNÓSTICO Y TRATAMIENTO DEL TRASTORNO DE DÉFICIT POR ATENCIÓN CON HIPERRACTIVIDAD (TDAH) Y LA DIDÁCTICA EDUCATIVA EL CONTRATISTA SE COMPROMETE A PROGRAMAR Y ENSAMBLAR EL PROTOTIPO RECOLECTAR ORGANIZAR Y ANALIZAR DATOS CON APOYO EN MEDIACIONES TECNOLÓGICAS PARTICIPAR EN LA GENERACIÓN DE PRODUCTOS</t>
  </si>
  <si>
    <t>https://community.secop.gov.co/Public/Tendering/OpportunityDetail/Index?noticeUID=CO1.NTC.4641176&amp;isFromPublicArea=True&amp;isModal=False</t>
  </si>
  <si>
    <t>OPSP-VIN-0159-2023</t>
  </si>
  <si>
    <t>DAVID FELIPE VEGA VILLA</t>
  </si>
  <si>
    <t>PRESTAR LOS SERVICIOS PROFESIONALES EN MARCO DEL PROYECTO DE INVESTIGACIÓN SISTEMA DE DETECCIÓN DE LA ATENCIÓN A PARTIR DE LA ACTIVIDAD ELÉCTRICA DEL CORAZÓN PARA EL REFUERZO DIAGNÓSTICO Y TRATAMIENTO DEL TRASTORNO DE DÉFICIT POR ATENCIÓN CON HIPERRACTIVIDAD Y LA DIDÁCTICA EDUCATIVA EL CONTRATISTA SE COMPROMETE A APOYAR AL INVESTIGADOR PRINCIPAL EN EL DESARROLLO DE LAS ACTIVIDADES QUE COMPONEN LA PROPUESTA BRINDAR SOPORTE CIENTÍFICO EN LOS PROCESOS DE ANÁLISIS DE LA INFORMACIÓN CONTRIBUIR EN LA ELABORACIÓN DE INFORMES Y PRODUCTOS.</t>
  </si>
  <si>
    <t>https://community.secop.gov.co/Public/Tendering/OpportunityDetail/Index?noticeUID=CO1.NTC.4641185&amp;isFromPublicArea=True&amp;isModal=true&amp;asPopupView=true</t>
  </si>
  <si>
    <t>OPSP-VIN-0160-2023</t>
  </si>
  <si>
    <t>PRESTAR LOS SERVICIOS PROFESIONALES EN LA EDITORIAL UNIMAGDALENA EL CONTRATISTA SE COMPROMETE A APOYAR EN LOS TRÁMITES ADMINISTRATIVOS FINANCIEROS Y DE EJECUCIÓN PRESUPUESTAL DE LA EDITORIAL ESTO INCLUYE APOYAR LA SOLICITUD PREPARACIÓN Y CARGUE DE DOCUMENTOS PARA LA GENERACIÓN DE ÓRDENES CONTRATOS Y RESOLUCIONES AUTORIZADAS PARA EL PROGRAMA EDITORIAL APOYAR EN LA SOLICITUD Y SEGUIMIENTO PARA LA EXPEDICIÓN DE CDP DE AFECTACIONES PRESUPUESTALES Y DE TRASLADOS INTERNOS ENTRE RUBROS SOLICITAR LA CREACIÓN DE USUARIOS EN LA PLATAFORMA SIGEP Y GEDOCO PARA LAS NUEVAS CONTRATACIONES ADELANTADAS POR LA EDITORIAL</t>
  </si>
  <si>
    <t>https://community.secop.gov.co/Public/Tendering/OpportunityDetail/Index?noticeUID=CO1.NTC.4688225&amp;isFromPublicArea=True&amp;isModal=true&amp;asPopupView=true</t>
  </si>
  <si>
    <t>OPSP-VIN-0161-2023</t>
  </si>
  <si>
    <t>PRESTAR LOS SERVICIOS PROFESIONALES COMO ABOGADO EN LA VICERRECTORÍA DE INVESTIGACIÓN EL CONTRATISTA SE COMPROMETE A PRESTAR ASESORÍA Y ORIENTACIÓN EN MATERIA JURÍDICA EN EL ÁREA DE CONTRATACIÓN ESTATAL EN LOS PROYECTOS Y CONVENIOS A CARGO DE LA VICERRECTORÍA DE INVESTIGACIÓN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DE INVESTIGACIÓN EN LA REVISIÓN ELABORACIÓN Y VALIDACIÓN DE LOS ACTOS ADMINISTRATIVOS QUE SE REQUIERA EXPEDIR POR EL DESPACHO DEL VICERRECTOR</t>
  </si>
  <si>
    <t xml:space="preserve">ANA CAMARGO VELÁSQUEZ </t>
  </si>
  <si>
    <t>https://community.secop.gov.co/Public/Tendering/OpportunityDetail/Index?noticeUID=CO1.NTC.4688962&amp;isFromPublicArea=True&amp;isModal=true&amp;asPopupView=true</t>
  </si>
  <si>
    <t>OPSP-VIN-0162-2023</t>
  </si>
  <si>
    <t>https://community.secop.gov.co/Public/Tendering/OpportunityDetail/Index?noticeUID=CO1.NTC.4688227&amp;isFromPublicArea=True&amp;isModal=true&amp;asPopupView=true</t>
  </si>
  <si>
    <t>OPSP-VIN-0163-2023</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</si>
  <si>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 REMITIR A LA DIRECCIÓN DE TALENTO HUMANO EL LISTADO DE LOS CONTRATISTAS PARA QUE SEAN AFILIADOS A LA ARL</t>
  </si>
  <si>
    <t>https://community.secop.gov.co/Public/Tendering/OpportunityDetail/Index?noticeUID=CO1.NTC.4688234&amp;isFromPublicArea=True&amp;isModal=true&amp;asPopupView=true</t>
  </si>
  <si>
    <t>OPSP-VIN-0164-2023</t>
  </si>
  <si>
    <t>https://community.secop.gov.co/Public/Tendering/OpportunityDetail/Index?noticeUID=CO1.NTC.4688244&amp;isFromPublicArea=True&amp;isModal=true&amp;asPopupView=true</t>
  </si>
  <si>
    <t>OPSP-VIN-0165-2023</t>
  </si>
  <si>
    <t>https://community.secop.gov.co/Public/Tendering/OpportunityDetail/Index?noticeUID=CO1.NTC.4688415&amp;isFromPublicArea=True&amp;isModal=true&amp;asPopupView=true</t>
  </si>
  <si>
    <t>OPSP-VIN-0166-2023</t>
  </si>
  <si>
    <t>https://community.secop.gov.co/Public/Tendering/OpportunityDetail/Index?noticeUID=CO1.NTC.4688078&amp;isFromPublicArea=True&amp;isModal=true&amp;asPopupView=true</t>
  </si>
  <si>
    <t>OPSP-VIN-0167-2023</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</si>
  <si>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</si>
  <si>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https://community.secop.gov.co/Public/Tendering/OpportunityDetail/Index?noticeUID=CO1.NTC.4688084&amp;isFromPublicArea=True&amp;isModal=true&amp;asPopupView=true</t>
  </si>
  <si>
    <t>OPSP-VIN-0168-2023</t>
  </si>
  <si>
    <t>PRESTACIÓN DE SERVICIOS PROFESIONALES COMO CONTADOR PÚBLICO EN LA OFICINA DE TESORERÍA DE LA UNIVERSIDAD DEL MAGDALENA EN MARCO DEL PROYECTO DE INVESTIGACIÓN EXTERNO PROMOCIÓN E INTERVENCIÓN PSICOEDUCATIVA DIGITAL CON ENFOQUE INTERCULTURAL PARA INCIDIR EN RIESGOS Y PROTECTORES EN SALUD MENTAL PRODUCIDOS O POTENCIADOS POR LA PANDEMIA EN JÓVENES ESCOLARIZADOS DEL MAGDALENA Y LA GUAJIRA EL CONTRATISTA SE COMPROMETE A VERIFICAR EL TRÁMITE DE LAS SOLICITUDES DE PAGOS RECIBIDAS POR LA VICERRECTORÍA DE INVESTIGACIÓN TRAMITAR LAS SOLICITUDES DE INFORMACIÓN RECIBIDAS POR LA VICERRECTORÍA DE INVESTIGACIÓN</t>
  </si>
  <si>
    <t>ALIX RAMOS</t>
  </si>
  <si>
    <t>https://community.secop.gov.co/Public/Tendering/OpportunityDetail/Index?noticeUID=CO1.NTC.4689214&amp;isFromPublicArea=True&amp;isModal=true&amp;asPopupView=true</t>
  </si>
  <si>
    <t>OPSP-VIN-0169-2023</t>
  </si>
  <si>
    <t>DALIANYS  DE JESUS  PASTRANA  MARTINEZ</t>
  </si>
  <si>
    <t>PRESTAR LOS SERVICIOS PROFESIONALES COMO CONTADOR PÚBLICO EN EL GRUPO DE CONTABILIDAD DE LA UNIMAGDALENA EN MARCO DEL PROYECTO DE INVESTIGACIÓN EXTERNO PROMOCIÓN E INTERVENCIÓN PSICOEDUCATIVA DIGITAL CON ENFOQUE INTERCULTURAL PARA INCIDIR EN RIESGOS Y PROTECTORES EN SALUD MENTAL PRODUCIDOS O POTENCIADOS POR LA PANDEMIA EN JÓVENES ESCOLARIZADOS DEL MAGDALENA Y LA GUAJIRA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t>
  </si>
  <si>
    <t>https://community.secop.gov.co/Public/Tendering/OpportunityDetail/Index?noticeUID=CO1.NTC.4688757&amp;isFromPublicArea=True&amp;isModal=true&amp;asPopupView=true</t>
  </si>
  <si>
    <t>OPSP-VIN-0170-2023</t>
  </si>
  <si>
    <t>PRESTAR LOS SERVICIOS PROFESIONALES COMO CONTADOR PÚBLICO EN EL GRUPO DE PRESUPUESTO DE LA UNIMAGDALENA EN MARCO DEL PROYECTO DE INVESTIGACIÓN EXTERNO PROMOCIÓN E INTERVENCIÓN PSICOEDUCATIVA DIGITAL, CON ENFOQUE INTERCULTURAL PARA INCIDIR EN RIESGOS Y PROTECTORES EN SALUD MENTAL PRODUCIDOS O POTENCIADOS POR LA PANDEMIA EN JÓVENES ESCOLARIZADOS DEL MAGDALENA Y LA GUAJIRA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t>
  </si>
  <si>
    <t xml:space="preserve">ANA FLORA JIMENEZ DE LA HOZ </t>
  </si>
  <si>
    <t>https://community.secop.gov.co/Public/Tendering/OpportunityDetail/Index?noticeUID=CO1.NTC.4688988&amp;isFromPublicArea=True&amp;isModal=true&amp;asPopupView=true</t>
  </si>
  <si>
    <t>OPSP-VIN-0171-2023</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</si>
  <si>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</si>
  <si>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https://community.secop.gov.co/Public/Tendering/OpportunityDetail/Index?noticeUID=CO1.NTC.4688255&amp;isFromPublicArea=True&amp;isModal=true&amp;asPopupView=true</t>
  </si>
  <si>
    <t>OPSP-VIN-0172-2023</t>
  </si>
  <si>
    <t>https://community.secop.gov.co/Public/Tendering/OpportunityDetail/Index?noticeUID=CO1.NTC.4688085&amp;isFromPublicArea=True&amp;isModal=true&amp;asPopupView=true</t>
  </si>
  <si>
    <t>OPSP-VIN-0173-2023</t>
  </si>
  <si>
    <t>PRESTAR LOS SERVICIOS PROFESIONALES EN LA EDITORIAL DE LA UNIVERSIDAD DEL 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</si>
  <si>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https://community.secop.gov.co/Public/Tendering/OpportunityDetail/Index?noticeUID=CO1.NTC.4688087&amp;isFromPublicArea=True&amp;isModal=true&amp;asPopupView=true</t>
  </si>
  <si>
    <t>OPSP-VIN-0174-2023</t>
  </si>
  <si>
    <t>PRESTAR LOS SERVICIOS PROFESIONALES EN LA EDITORIAL DE LA UNIVERSIDAD DEL MAGDALENA EL CONTRATISTA SE COMPROMETE A ELABORAR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</si>
  <si>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https://community.secop.gov.co/Public/Tendering/OpportunityDetail/Index?noticeUID=CO1.NTC.4688092&amp;isFromPublicArea=True&amp;isModal=true&amp;asPopupView=true</t>
  </si>
  <si>
    <t>OPSP-VIN-0175-2023</t>
  </si>
  <si>
    <t>PRESTAR LOS SERVICIOS PROFESIONALES EN LA EDITORIAL DE LA UNIVERSIDAD DEL 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</si>
  <si>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https://community.secop.gov.co/Public/Tendering/OpportunityDetail/Index?noticeUID=CO1.NTC.4688267&amp;isFromPublicArea=True&amp;isModal=true&amp;asPopupView=true</t>
  </si>
  <si>
    <t>OPSP-VIN-0176-2023</t>
  </si>
  <si>
    <t>PRESTAR LOS SERVICIOS PROFESIONALES EN LA EDITORIAL DE LA UNIVERSIDAD DEL MAGDALENA EL CONTRATISTA SE COMPROMETE A APOYAR EN LA PLANEACIÓN DE LOS EVENTOS ACADÉMICOS, CULTURALES Y ARTÍSTICOS EN LAS CUALES PARTICIPE Y O REALICE LA EDITORIAL UNIMAGDALENA APOYO EN LA PLANEACIÓN DE LAS FERIAS DEL LIBRO EN LAS CUALES PARTICIPE Y/O REALICE LA EDITORIAL UNIMAGDALENA VELAR POR LA REALIZACIÓN DEL MATERIAL PUBLICITARIO QUE SE REQUIERA PARA LOS EVENTOS O FERIAS DEL LIBRO EN LAS CUALES PARTICIPE Y/O REALICE LA EDITORIAL UNIMAGDALENA</t>
  </si>
  <si>
    <t>https://community.secop.gov.co/Public/Tendering/OpportunityDetail/Index?noticeUID=CO1.NTC.4688269&amp;isFromPublicArea=True&amp;isModal=true&amp;asPopupView=true</t>
  </si>
  <si>
    <t>OPSP-VIN-0177-2023</t>
  </si>
  <si>
    <t>PRESTAR LOS SERVICIOS PROFESIONALES EN LA EDITORIAL DE LA UNIVERSIDAD DEL 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</si>
  <si>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https://community.secop.gov.co/Public/Tendering/OpportunityDetail/Index?noticeUID=CO1.NTC.4688356&amp;isFromPublicArea=True&amp;isModal=true&amp;asPopupView=true</t>
  </si>
  <si>
    <t>OPSP-VIN-0178-2023</t>
  </si>
  <si>
    <t>EDUARD  HERNANDEZ RODRIGUEZ</t>
  </si>
  <si>
    <t>PRESTAR LOS SERVICIOS PROFESIONALES EN LA EDITORIAL DE LA UNIVERSIDAD DEL MAGDALENA EL CONTRATISTA SE COMPROMETE A LA ELABORACIÓN DE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</si>
  <si>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https://community.secop.gov.co/Public/Tendering/OpportunityDetail/Index?noticeUID=CO1.NTC.4688276&amp;isFromPublicArea=True&amp;isModal=true&amp;asPopupView=true</t>
  </si>
  <si>
    <t>OPSP-VIN-0179-2023</t>
  </si>
  <si>
    <t>PRESTAR LOS SERVICIOS PROFESIONALES EN LA VICERRECTORÍA DE INVESTIGACIÓN DE LA UNIVERSIDAD DEL MAGDALENA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</si>
  <si>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https://community.secop.gov.co/Public/Tendering/OpportunityDetail/Index?noticeUID=CO1.NTC.4688279&amp;isFromPublicArea=True&amp;isModal=true&amp;asPopupView=true</t>
  </si>
  <si>
    <t>OPSP-VIN-0180-2023</t>
  </si>
  <si>
    <t>https://community.secop.gov.co/Public/Tendering/OpportunityDetail/Index?noticeUID=CO1.NTC.4688176&amp;isFromPublicArea=True&amp;isModal=true&amp;asPopupView=true</t>
  </si>
  <si>
    <t>OPSP-VIN-0181-2023</t>
  </si>
  <si>
    <t>PRESTAR LOS SERVICIOS PROFESIONALES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</si>
  <si>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https://community.secop.gov.co/Public/Tendering/OpportunityDetail/Index?noticeUID=CO1.NTC.4688181&amp;isFromPublicArea=True&amp;isModal=true&amp;asPopupView=true</t>
  </si>
  <si>
    <t>OPSP-VIN-0182-2023</t>
  </si>
  <si>
    <t>https://community.secop.gov.co/Public/Tendering/OpportunityDetail/Index?noticeUID=CO1.NTC.4688289&amp;isFromPublicArea=True&amp;isModal=true&amp;asPopupView=true</t>
  </si>
  <si>
    <t>OPSP-VIN-0183-2023</t>
  </si>
  <si>
    <t>PRESTAR LOS SERVICIOS PROFESIONALES EN LA EDITORIAL UNIMAGDALENA EL CONTRATISTA SE COMPROMETE A ELABORAR LA DIAGRAMACIÓN DEL DIVERSO MATERIAL QUE PUBLICA LA EDITORIAL UNIMAGDALENA REVISAR LA MUESTRA EN PAPEL DEL LIBRO Y AJUSTAR LOS TEXTOS EN EL FORMATO DIGITAL CUANDO SE REALICE LA REVISIÓN FINAL DESCRIBIR LAS ESPECIFICACIONES TÉCNICAS QUE TIENE CADA LIBRO Y REVISTA INSTITUCIONAL PARA SOLICITAR LA COTIZACIÓN CORRESPONDIENTE A LAS EMPRESAS ENCARGADAS DE IMPRESIÓN</t>
  </si>
  <si>
    <t>https://community.secop.gov.co/Public/Tendering/OpportunityDetail/Index?noticeUID=CO1.NTC.4688507&amp;isFromPublicArea=True&amp;isModal=true&amp;asPopupView=true</t>
  </si>
  <si>
    <t>OPSP-VIN-0184-2023</t>
  </si>
  <si>
    <t>PRESTAR LOS SERVICIOS PROFESIONALES EN LA EDITORIAL UNIMAGDALENA EL CONTRATISTA SE COMPROMETE A APOYAR A LA EDICIÓN DE LAS PUBLICACIONES REALIZADAS POR LA EDITORIAL UNIMAGDALENA REALIZAR ACOMPAÑAMIENTO A LOS AUTORES DE OBRAS SOMETIDAS A LA EDITORIAL EN EL PROCESO DE AJUSTES Y MODIFICACIONES SOLICITADAS POR LOS PARES EVALUADORES Y LA REVISIÓN DE ESTILO COADYUVAR EN LA REVISIÓN Y APROBACIÓN DE LA PRUEBA DURA FINAL DE LAS PUBLICACIONES DE LA EDITORIAL</t>
  </si>
  <si>
    <t>https://community.secop.gov.co/Public/Tendering/OpportunityDetail/Index?noticeUID=CO1.NTC.4688290&amp;isFromPublicArea=True&amp;isModal=true&amp;asPopupView=true</t>
  </si>
  <si>
    <t>OPSP-VIN-0185-2023</t>
  </si>
  <si>
    <t>PRESTAR LOS SERVICIOS PROFESIONALES EN LA EDITORIAL DE LA UNIVERSIDAD DEL 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</si>
  <si>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https://community.secop.gov.co/Public/Tendering/OpportunityDetail/Index?noticeUID=CO1.NTC.4688512&amp;isFromPublicArea=True&amp;isModal=true&amp;asPopupView=true</t>
  </si>
  <si>
    <t>OPSP-VIN-0186-2023</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</si>
  <si>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t>
  </si>
  <si>
    <t>https://community.secop.gov.co/Public/Tendering/OpportunityDetail/Index?noticeUID=CO1.NTC.4694324&amp;isFromPublicArea=True&amp;isModal=true&amp;asPopupView=true</t>
  </si>
  <si>
    <t>OPSP-VIN-0187-2023</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</si>
  <si>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</si>
  <si>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https://community.secop.gov.co/Public/Tendering/OpportunityDetail/Index?noticeUID=CO1.NTC.4694097&amp;isFromPublicArea=True&amp;isModal=true&amp;asPopupView=true</t>
  </si>
  <si>
    <t>OPSP-VIN-0188-2023</t>
  </si>
  <si>
    <t>NEILA  PATRICIA  MACEA  SMITH</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</si>
  <si>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ACOMPAÑAR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</si>
  <si>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https://community.secop.gov.co/Public/Tendering/OpportunityDetail/Index?noticeUID=CO1.NTC.4694329&amp;isFromPublicArea=True&amp;isModal=true&amp;asPopupView=true</t>
  </si>
  <si>
    <t>OPSP-VIN-0189-2023</t>
  </si>
  <si>
    <t>PRESTAR LOS SERVICIOS PROFESIONALES EN LA VICERRECTORÍA DE INVESTIGACIÓN DE LA UNIVERSIDAD DEL MAGDALENA EL CONTRATISTA SE COMPROMETE A APOYAR EN LOS PROCESOS PRODUCCIÓN FOTOGRÁFICA PARA LAS OBRAS Y AUDIOVISUALES REQUERIDAS POR LA VICERRECTORÍA DE INVESTIGACIÓN Y SUS UNIDADES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t>
  </si>
  <si>
    <t>https://community.secop.gov.co/Public/Tendering/OpportunityDetail/Index?noticeUID=CO1.NTC.4694334&amp;isFromPublicArea=True&amp;isModal=true&amp;asPopupView=true</t>
  </si>
  <si>
    <t>OPSP-VIN-0190-2023</t>
  </si>
  <si>
    <t>LEIDY TATIANA MAECHA  CHICUE</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</si>
  <si>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</si>
  <si>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https://community.secop.gov.co/Public/Tendering/OpportunityDetail/Index?noticeUID=CO1.NTC.4694402&amp;isFromPublicArea=True&amp;isModal=true&amp;asPopupView=true</t>
  </si>
  <si>
    <t>OPSP-VIN-0191-2023</t>
  </si>
  <si>
    <t>PRESTAR LOS SERVICIOS PROFESIONALES EN EL CENTRO DE INNOVACIÓN Y EMPRENDIMIENTO DE LA VICERRECTORÍA DE INVESTIGACIÓN DE LA UNIVERSIDAD DEL MAGDALENA EL CONTRATISTA SE COMPROMETE A BRINDAR SOPORTE A LA DIRECCIÓN DEL CENTRO DE INNOVACIÓN Y EMPRENDIMIENTO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t>
  </si>
  <si>
    <t xml:space="preserve">ANGELICA LILIANA SILVA FRANCO </t>
  </si>
  <si>
    <t>https://community.secop.gov.co/Public/Tendering/OpportunityDetail/Index?noticeUID=CO1.NTC.4694342&amp;isFromPublicArea=True&amp;isModal=true&amp;asPopupView=true</t>
  </si>
  <si>
    <t>OPSP-VIN-0192-2023</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</si>
  <si>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</si>
  <si>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https://community.secop.gov.co/Public/Tendering/OpportunityDetail/Index?noticeUID=CO1.NTC.4693896&amp;isFromPublicArea=True&amp;isModal=true&amp;asPopupView=true</t>
  </si>
  <si>
    <t>OPSP-VIN-0193-2023</t>
  </si>
  <si>
    <t>AURA MARIA MENA DELACRUZ</t>
  </si>
  <si>
    <t>PRESTAR LOS SERVICIOS PROFESIONALES EN EL CENTRO DE INNOVACIÓN Y EMPRENDIMIENTO DE LA VICERRECTORÍA DE INVESTIGACIÓN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t>
  </si>
  <si>
    <t>https://community.secop.gov.co/Public/Tendering/OpportunityDetail/Index?noticeUID=CO1.NTC.4694345&amp;isFromPublicArea=True&amp;isModal=true&amp;asPopupView=true</t>
  </si>
  <si>
    <t>OPSP-VIN-0194-2023</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</si>
  <si>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</si>
  <si>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https://community.secop.gov.co/Public/Tendering/OpportunityDetail/Index?noticeUID=CO1.NTC.4694351&amp;isFromPublicArea=True&amp;isModal=true&amp;asPopupView=true</t>
  </si>
  <si>
    <t>OPSP-VIN-0195-2023</t>
  </si>
  <si>
    <t>PRESTACIÓN DE SERVICIOS PROFESIONALES EN LA DIRECCIÓN DE GESTIÓN DEL CONOCIMIENTO EL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t>
  </si>
  <si>
    <t>https://community.secop.gov.co/Public/Tendering/OpportunityDetail/Index?noticeUID=CO1.NTC.4694505&amp;isFromPublicArea=True&amp;isModal=true&amp;asPopupView=true</t>
  </si>
  <si>
    <t>OPSP-VIN-0196-2023</t>
  </si>
  <si>
    <t>PRESTACIÓN DE SERVICIOS PROFESIONALES EN LA DIRECCIÓN DE GESTIÓN DEL CONOCIMIENTO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t>
  </si>
  <si>
    <t>https://community.secop.gov.co/Public/Tendering/OpportunityDetail/Index?noticeUID=CO1.NTC.4694413&amp;isFromPublicArea=True&amp;isModal=true&amp;asPopupView=true</t>
  </si>
  <si>
    <t>OPSP-VIN-0197-2023</t>
  </si>
  <si>
    <t>HEYDI VIVIANA PEREZ FEDRICH</t>
  </si>
  <si>
    <t>PRESTACIÓN DE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t>
  </si>
  <si>
    <t>https://community.secop.gov.co/Public/Tendering/OpportunityDetail/Index?noticeUID=CO1.NTC.4694181&amp;isFromPublicArea=True&amp;isModal=true&amp;asPopupView=true</t>
  </si>
  <si>
    <t>OPSP-VIN-0198-2023</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</si>
  <si>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QUE SEAN SOLICITADAS POR PARTE DE LA VICERRECTORÍA DE INVESTIGACIÓN Y SUS UNIDADES</t>
  </si>
  <si>
    <t>https://community.secop.gov.co/Public/Tendering/OpportunityDetail/Index?noticeUID=CO1.NTC.4694288&amp;isFromPublicArea=True&amp;isModal=true&amp;asPopupView=true</t>
  </si>
  <si>
    <t>OPSP-VIN-0199-2023</t>
  </si>
  <si>
    <t>PRESTAR LOS SERVICIOS PROFESIONALES EN LA DIRECCIÓN DE TRANSFERENCIA DE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t>
  </si>
  <si>
    <t>https://community.secop.gov.co/Public/Tendering/OpportunityDetail/Index?noticeUID=CO1.NTC.4694291&amp;isFromPublicArea=True&amp;isModal=true&amp;asPopupView=true</t>
  </si>
  <si>
    <t>OPSP-VIN-0200-2023</t>
  </si>
  <si>
    <t>PRESTAR LOS SERVICIOS PROFESIONALES EN LA DIRECCIÓN DE GESTIÓN DEL CONOCIMIENTO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MODIFICATORIAS REQUERIDAS EN DE LOS PROYECTOS DE INVESTIGACIÓN</t>
  </si>
  <si>
    <t>https://community.secop.gov.co/Public/Tendering/OpportunityDetail/Index?noticeUID=CO1.NTC.4694421&amp;isFromPublicArea=True&amp;isModal=true&amp;asPopupView=true</t>
  </si>
  <si>
    <t>OPSP-VIN-0201-2023</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</si>
  <si>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APOYAR EN LA REVISIÓN DE DOCUMENTACIÓN COMO CARTAS DE AVAL MODELOS DE GOBERNANZA PRESUPUESTOS Y DEMÁS ANEXOS PARA LAS CONVOCATORIAS DEL SISTEMA GENERAL DE REGALÍAS</t>
  </si>
  <si>
    <t>https://community.secop.gov.co/Public/Tendering/OpportunityDetail/Index?noticeUID=CO1.NTC.4694515&amp;isFromPublicArea=True&amp;isModal=true&amp;asPopupView=true</t>
  </si>
  <si>
    <t>OPSP-VIN-0202-2023</t>
  </si>
  <si>
    <t>PRESTAR LOS SERVICIOS PROFESIONALES EN LA DIRECCIÓN DE TRANSFERENCIA DE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t>
  </si>
  <si>
    <t>https://community.secop.gov.co/Public/Tendering/OpportunityDetail/Index?noticeUID=CO1.NTC.4694297&amp;isFromPublicArea=True&amp;isModal=true&amp;asPopupView=true</t>
  </si>
  <si>
    <t>OPSP-VIN-0203-2023</t>
  </si>
  <si>
    <t>PRESTAR LOS SERVICIOS PROFESIONALES EN LA VICERRECTORÍA DE INVESTIGACIÓN DE LA UNIVERSIDAD DEL MAGDALENA EL CONTRATISTA SE COMPROMETE A COADYUVAR EN LA PRODUCCIÓN DEL MATERIAL AUDIOVISUAL DE ACTIVIDADES DE APROPIACIÓN SOCIAL DEL CONOCIMIENTO COADYUVAR A LA PROMOCIÓN Y DIVULGACIÓN DE LA CIENCIA APOYAR A LA GESTIÓN DE LA VIN PARA LAS TRANSMISIONES EN VIVO POR LAS PLATAFORMAS DE LA VICERRECTORA DE INVESTIGACIÓN Y UNIMAGDALENA</t>
  </si>
  <si>
    <t>https://community.secop.gov.co/Public/Tendering/OpportunityDetail/Index?noticeUID=CO1.NTC.4694193&amp;isFromPublicArea=True&amp;isModal=true&amp;asPopupView=true</t>
  </si>
  <si>
    <t>OPSP-VIN-0204-2023</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</si>
  <si>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ACOMPAÑAR EN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</si>
  <si>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https://community.secop.gov.co/Public/Tendering/OpportunityDetail/Index?noticeUID=CO1.NTC.4695134&amp;isFromPublicArea=True&amp;isModal=true&amp;asPopupView=true</t>
  </si>
  <si>
    <t>OPSP-VIN-0205-2023</t>
  </si>
  <si>
    <t>https://community.secop.gov.co/Public/Tendering/OpportunityDetail/Index?noticeUID=CO1.NTC.4695135&amp;isFromPublicArea=True&amp;isModal=true&amp;asPopupView=true</t>
  </si>
  <si>
    <t>OPSP-VIN-0206-2023</t>
  </si>
  <si>
    <t>PRESTAR LOS SERVICIOS PROFESIONALES EN LA VICERRECTORÍA DE INVESTIGACIÓN EL CONTRATISTA SE COMPROMETE A COADYUVAR EN LA PRODUCCIÓN DEL MATERIAL AUDIOVISUAL DE ACTIVIDADES DE APROPIACIÓN SOCIAL DEL CONOCIMIENTO COADYUVAR A LA PROMOCIÓN Y DIVULGACIÓN DE LA CIENCIA APOYAR A LA GESTIÓN DE LA VIN PARA LAS TRANSMISIONES EN VIVO POR LAS PLATAFORMAS DE LA VICERRECTORA DE INVESTIGACIÓN Y UNIMAGDALENA</t>
  </si>
  <si>
    <t>https://community.secop.gov.co/Public/Tendering/OpportunityDetail/Index?noticeUID=CO1.NTC.4695329&amp;isFromPublicArea=True&amp;isModal=true&amp;asPopupView=true</t>
  </si>
  <si>
    <t>OPSP-VIN-0207-2023</t>
  </si>
  <si>
    <t>PRESTAR LOS SERVICIOS PROFESIONALES EN LA DIRECCIÓN DE TRANSFERENCIA DE CONOCIMIENTO Y PROPIEDAD INTELECTUAL DE LA VICERRECTORÍA DE INVESTIGACIÓ EL CONTRATISTA SE COMPROMETE A APOYAR EN ACTIVIDADES DE ENTRENAMIENTO Y CAPACITACIONES PARA LA FORMACIÓN EN MATERIA DE PROPIEDAD INTELECTUAL APOYAR A LA SUPERVISIÓN DE LOS EJERCICIOS DE BÚSQUEDA Y ANÁLISIS DE INFORMACIÓN TECNOLÓGICA EN BASES DE DATOS DE PROPIEDAD INTELECTUAL BRINDAR APOYO A LA REALIZACIÓN DEL EJERCICIO DE IDENTIFICACIÓN DE ACTIVOS DE PROPIEDAD INTELECTUAL SUSCEPTIBLES DE PROTECCIÓN Y TRANSFERENCIA CON LOS GRUPOS DE INVESTIGACIÓN DE LA UNIVERSIDAD DEL MAGDALENA</t>
  </si>
  <si>
    <t>https://community.secop.gov.co/Public/Tendering/OpportunityDetail/Index?noticeUID=CO1.NTC.4695071&amp;isFromPublicArea=True&amp;isModal=true&amp;asPopupView=true</t>
  </si>
  <si>
    <t>OPSP-VIN-0208-2023</t>
  </si>
  <si>
    <t>PRESTAR LOS SERVICIOS PROFESIONALES EN LA DIRECCIÓN DE GESTIÓN DEL CONOCIMIENTO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</si>
  <si>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MONICA ZULBARÁN JIMÉNEZ</t>
  </si>
  <si>
    <t>https://community.secop.gov.co/Public/Tendering/OpportunityDetail/Index?noticeUID=CO1.NTC.4695098&amp;isFromPublicArea=True&amp;isModal=true&amp;asPopupView=true</t>
  </si>
  <si>
    <t>OPSP-VIN-0209-2023</t>
  </si>
  <si>
    <t>JULIETH PAOLA OSORIO DE LA HOZ</t>
  </si>
  <si>
    <t>PRESTAR LOS SERVICIOS PROFESIONALES EN LA DIRECCIÓN DE GESTIÓN DEL CONOCIMIENTO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</si>
  <si>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https://community.secop.gov.co/Public/Tendering/OpportunityDetail/Index?noticeUID=CO1.NTC.4695515&amp;isFromPublicArea=True&amp;isModal=true&amp;asPopupView=true</t>
  </si>
  <si>
    <t>OPSP-VIN-0210-2023</t>
  </si>
  <si>
    <t>PRESTAR LOS SERVICIOS PROFESIONALES EN LA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</si>
  <si>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 xml:space="preserve">RICARDO ADRIAN TETE MIELES </t>
  </si>
  <si>
    <t>https://community.secop.gov.co/Public/Tendering/OpportunityDetail/Index?noticeUID=CO1.NTC.4702704&amp;isFromPublicArea=True&amp;isModal=true&amp;asPopupView=true</t>
  </si>
  <si>
    <t>OPSP-VIN-0211-2023</t>
  </si>
  <si>
    <t>REYNALDO  ANTONIO RODRIGUEZ</t>
  </si>
  <si>
    <t>PRESTAR LOS SERVICIOS PROFESIONALES EN MARCO DEL PROYECTO DE INVESTIGACIÓN SISTEMA DE DETECCIÓN DE LA ATENCIÓN A PARTIR DE LA ACTIVIDAD ELÉCTRICA DEL CORAZÓN PARA EL REFUERZO DIAGNÓSTICO Y TRATAMIENTO DEL TRASTORNO DE DÉFICIT POR ATENCIÓN CON HIPERRACTIVIDAD Y LA DIDÁCTICA EDUCATIVA EL CONTRATISTA SE COMPROMETE A PROGRAMAR Y ENSAMBLAR EL PROTOTIPO RECOLECTAR ORGANIZAR Y ANALIZAR DATOS CON APOYO EN MEDIACIONES TECNOLÓGICAS PARTICIPAR EN LA GENERACIÓN DE PRODUCTOS</t>
  </si>
  <si>
    <t>https://community.secop.gov.co/Public/Tendering/OpportunityDetail/Index?noticeUID=CO1.NTC.4702491&amp;isFromPublicArea=True&amp;isModal=true&amp;asPopupView=true</t>
  </si>
  <si>
    <t>OPSP-VIN-0212-2023</t>
  </si>
  <si>
    <t>TATIANA LUCIA HERNANDEZ PALMA</t>
  </si>
  <si>
    <t>PRESTACIÓN DE SERVICIOS PROFESIONALES EN EL PROYECTO DE INVESTIGACIÓN PROGRAMA DE INVESTIGACIÓN EN COMPORTAMIENTO POBLACIONAL ECOLOGÍA E HISTORIA NATURAL DE FAUNA SILVESTRE CONSTRUCCIÓN SEGUNDA CALZADA TRONCAL DEL CARIBE TRAMO PEAJE DE TASAJERA YE DE CIÉNAGA EL CONTRATISTA SE COMPROMETE A REVISAR LITERATURA PARA REDACCIÓN DE FICHAS TÉCNICAS DE LAS ESPECIES DE INTERÉS APOYAR LA COORDINACIÓN TÉCNICA Y METODOLÓGICA PARA EL MONITOREO Y ESTUDIOS DERIVADOS CON LAS ESPECIES DE AVES NYCTANASSA VIOLÁCEA LEPIDOPYGA LILLIAE CHLOROSTILBON GIBSONI ORTALIS GARRULA Y MAMÍFERO PROCYON CANCRIVORUSEN EL ÁREA DE INFLUENCIA DEL PROYECTO</t>
  </si>
  <si>
    <t>https://community.secop.gov.co/Public/Tendering/OpportunityDetail/Index?noticeUID=CO1.NTC.4702561&amp;isFromPublicArea=True&amp;isModal=true&amp;asPopupView=true</t>
  </si>
  <si>
    <t>OPSP-VIN-0213-2023</t>
  </si>
  <si>
    <t>DIGNA ROSA PEÑA CURIEUX</t>
  </si>
  <si>
    <t>PRESTAR LOS SERVICIOS PROFESIONALES EN MARCO DEL PROYECTO DE INVESTIGACIÓN TITULADO IMPLEMENTACIÓN DE SISTEMAS DE GESTIÓN DE INNOVACIÓN EN EMPRESAS DEL SECTOR TURÍSTICO AGROPECUARIO Y AGROINDUSTRIAL EN EL DEPARTAMENTO DEL MAGDALENA EL CONTRATISTA SE COMPROMETE A PLANIFICAR LA EJECUCIÓN DE LAS ACTIVIDADES DE SEGUIMIENTO A LA IMPLEMENTACIÓN Y CIERRE DE LOS PROYECTOS DIRIGIR Y COORDINAR LOS RECURSOS DESTINADOS A LAS ACTIVIDADES EJECUTADAS POR LA UNIVERSIDAD GESTIONAR LAS RELACIONES EXTERNAS CON EL EJECUTOR PROPUESTO DEL PROYECTO</t>
  </si>
  <si>
    <t>https://community.secop.gov.co/Public/Tendering/OpportunityDetail/Index?noticeUID=CO1.NTC.4702567&amp;isFromPublicArea=True&amp;isModal=true&amp;asPopupView=true</t>
  </si>
  <si>
    <t>OPSP-VIN-0214-2023</t>
  </si>
  <si>
    <t>ANDRES FELIPE SOTOMAYOR RAMIREZ</t>
  </si>
  <si>
    <t>PRESTACIÓN DE SERVICIOS PROFESIONALES EN EL PROYECTO DE INVESTIGACIÓN INTERCULTURALIDAD PAZ Y TERRITORIO:UNA APUESTA PARA LA TRANSFORMACIÓN DE TERRITORIOS EN CONFLICTOS EN LA SERRANÍA DEL PERIJÁ EL CONTRATISTA SE COMPROMETE A APOYAR EN EL COMPENDIO PROCESO DE RECOGIDA DE INFORMACIÓN EN LA VEREDA LOMA SECA DE DOS A TRES MINUTOS APOYAR EN EL COMPENDIO PROCESO DE RECOGIDA DE INFORMACIÓN EN LA VEREDA LA CABAÑ DE DOS A TRES MINUTOS</t>
  </si>
  <si>
    <t>DANIEL GÓMEZ LÓPEZ</t>
  </si>
  <si>
    <t>https://community.secop.gov.co/Public/Tendering/OpportunityDetail/Index?noticeUID=CO1.NTC.4709587&amp;isFromPublicArea=True&amp;isModal=true&amp;asPopupView=true</t>
  </si>
  <si>
    <t>OPSP-VIN-0215-2023</t>
  </si>
  <si>
    <t>MARIANA  BETANCUR GOMEZ</t>
  </si>
  <si>
    <t>PRESTAR LOS SERVICIOS PROFESIONALES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500 PÁGINAS</t>
  </si>
  <si>
    <t>https://community.secop.gov.co/Public/Tendering/OpportunityDetail/Index?noticeUID=CO1.NTC.4709597&amp;isFromPublicArea=True&amp;isModal=true&amp;asPopupView=true</t>
  </si>
  <si>
    <t>OPSP-VIN-0216-2023</t>
  </si>
  <si>
    <t>ISABEL MARIA CALLE SANGUINO</t>
  </si>
  <si>
    <t>https://community.secop.gov.co/Public/Tendering/OpportunityDetail/Index?noticeUID=CO1.NTC.4710024&amp;isFromPublicArea=True&amp;isModal=true&amp;asPopupView=true</t>
  </si>
  <si>
    <t>OPSP-VIN-0217-2023</t>
  </si>
  <si>
    <t>PRESTAR LOS SERVICIOS PROFESIONALES EN LA VIGILANCIA CIENCIENTÍFICA Y TECNOLÓGICA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EJECUCIÓN Y REGISTRO DE PROCESOS DE MEDICIÓN Y EVALUACIÓN DE CAPACIDADES, IDENTIFICACIÓN DE NECESIDADES Y DE OPORTUNIDADES PARA ACTIVIDADES DE INVESTIGACIÓN CREACIÓN INNOVACIÓN Y EMPRENDIMIENTO</t>
  </si>
  <si>
    <t xml:space="preserve">JORGE REYES CARREÑO </t>
  </si>
  <si>
    <t>https://community.secop.gov.co/Public/Tendering/OpportunityDetail/Index?noticeUID=CO1.NTC.4716925&amp;isFromPublicArea=True&amp;isModal=true&amp;asPopupView=true</t>
  </si>
  <si>
    <t>OPSP-VIN-0218-2023</t>
  </si>
  <si>
    <t>KATRINA LUZ MEDINA LAMBRAÑO</t>
  </si>
  <si>
    <t>PRESTAR LOS SERVICIOS PROFESIONALES EN EL MARCO DEL PROYECTO DE INVESTIGACIÓN ENSAYOS DE PRODUCCIÓN DE MUGIL CEPHALUS EN CONDICIONES CONTROLADAS EL CONTRATISTA SE COMPROMETE A REALIZAR ACTIVIDADES DE EVALUACIÓN ESPERMÁTICO DE MUGÍLIDOS REALIZAR MONITOREO DEL CULTIVO APOYAR EN LA ELABORACIÓN DE ARTÍCULOS Y NUEVOS PROYECTOS PRESENTAR UN TRABAJO DE GRADO LISTO PARA SUSTENTACIÓN DE MAESTRÍA</t>
  </si>
  <si>
    <t>ADRIANA RODRÍGUEZ FORERO</t>
  </si>
  <si>
    <t>https://community.secop.gov.co/Public/Tendering/OpportunityDetail/Index?noticeUID=CO1.NTC.4716951&amp;isFromPublicArea=True&amp;isModal=true&amp;asPopupView=true</t>
  </si>
  <si>
    <t>OPSP-VIN-0219-2023</t>
  </si>
  <si>
    <t>MIGUEL MATEO RODRIGUEZ GARCIA</t>
  </si>
  <si>
    <t>PRESTACIÓN DE SERVICIOS PROFESIONALES COMO JOVEN INVESTIGADOR EN EL MARCO DEL PROYECTO DE INVESTIGACIÓN INTEGRACIÓN DE ESTRATEGIAS DE SECUENCIACIÓN DE ÚLTIMA GENERACIÓN A LOS ESQUEMAS DE EVALUACIÓN DE LA CALIDAD DE AGUA EN SANTA MARTA EL CONTRATISTA SE COMPROMETE A PARTICIPACIÓN EN SALIDAS DE CAMPO PARA COLECTA DE MUESTRAS DE ADN AMBIENTAL EXTRACCIÓN Y PURIFICACIÓN DE ADN AMPLIFICACIÓN DE ADN POR PCR CONVENCIONAL Y QPCR</t>
  </si>
  <si>
    <t xml:space="preserve">LYDA CASTRO GARCIA </t>
  </si>
  <si>
    <t>https://community.secop.gov.co/Public/Tendering/OpportunityDetail/Index?noticeUID=CO1.NTC.4717404&amp;isFromPublicArea=True&amp;isModal=true&amp;asPopupView=true</t>
  </si>
  <si>
    <t>OPSP-VIN-0220-2023</t>
  </si>
  <si>
    <t>DAYANA SOFIA VALENCIA CUELLAR</t>
  </si>
  <si>
    <t>PRESTAR LOS SERVICIOS PROFESIONALES EN MARCO DEL PROYECTO DE INVESTIGACIÓN DESARROLLO DE ESTRATEGIAS DE MANEJO INTEGRADO DEL CULTIVO DE MANGO PARA INCREMENTAR LA COMPETITIVIDAD DEL SISTEMA PRODUCTIVO EN EL DEPARTAMENTO DEL MAGDALENA EL CONTRATISTA SE COMPROMETE A APOYAR Y ASISTIR AL INVESTIGADOR PRINCIPAL DEL PROYECTO MEDIANTE LA PLANIFICACIÓN DE ACTIVIDADES RECEPCIÓN Y ORGANIZACIÓN DE DATOS TÉCNICOS ORGANIZACIÓN DE ARCHIVOS TÉCNICOS Y DE SOPORTES APOYAR EN LA ELABORACIÓN DE INFORMES TÉCNICOS Y O CIENTÍFICOS Y MANEJO DE EVIDENCIAS</t>
  </si>
  <si>
    <t xml:space="preserve">ALBERTO RAFAEL PAEZ REDONDO </t>
  </si>
  <si>
    <t>https://community.secop.gov.co/Public/Tendering/OpportunityDetail/Index?noticeUID=CO1.NTC.4717239&amp;isFromPublicArea=True&amp;isModal=true&amp;asPopupView=true</t>
  </si>
  <si>
    <t>OPSP-VIN-0221-2023</t>
  </si>
  <si>
    <t>MADELEINE  CAMPOS FERNANDEZ</t>
  </si>
  <si>
    <t>PRESTAR LOS SERVICIOS PROFESIONALES EN MARCO DEL PROYECTO DE INVESTIGACIÓN DESARROLLO DE ESTRATEGIAS DE MANEJO INTEGRADO DEL CULTIVO DE MANGO PARA INCREMENTAR LA COMPETITIVIDAD DEL SISTEMA PRODUCTIVO EN EL DEPARTAMENTO DEL MAGDALENA EL CONTRATISTA SE COMPROMETE A HACER LA BÚSQUEDA DE INFORMACIÓN BIBLIOGRÁFICA COMO APOYO A LA ELABORACIÓN DEL ANÁLISIS DE RIESGO FITOSANITARIO PARA LA IMPORTACIÓN DE MATERIAL VEGETAL DE MANGO ACTUALIZAR JUNTO A LA PROFESIONAL DE APOYO TÉCNICO ADMINISTRATIVO LOS REQUISITOS ANTE EL ICA PARA EL REGISTRO COMO IMPORTADOR DE MATERIAL DE SIEMBRA Y REQUISITOS PARA LA CUARENTENA FITOSANITARIA</t>
  </si>
  <si>
    <t>https://community.secop.gov.co/Public/Tendering/OpportunityDetail/Index?noticeUID=CO1.NTC.4718166&amp;isFromPublicArea=True&amp;isModal=true&amp;asPopupView=true</t>
  </si>
  <si>
    <t>OPSP-VIN-0222-2023</t>
  </si>
  <si>
    <t>PRESTAR LOS SERVICIOS PROFESIONALES EN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 REALIZAR PROCESAMIENTO DE MUESTRAS DE ADN</t>
  </si>
  <si>
    <t xml:space="preserve">LARRY JIMÉNEZ FERBANS </t>
  </si>
  <si>
    <t>https://community.secop.gov.co/Public/Tendering/OpportunityDetail/Index?noticeUID=CO1.NTC.4718501&amp;isFromPublicArea=True&amp;isModal=true&amp;asPopupView=true</t>
  </si>
  <si>
    <t>OPSP-VIN-0223-2023</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</si>
  <si>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t>
  </si>
  <si>
    <t>https://community.secop.gov.co/Public/Tendering/OpportunityDetail/Index?noticeUID=CO1.NTC.4723714&amp;isFromPublicArea=True&amp;isModal=true&amp;asPopupView=true</t>
  </si>
  <si>
    <t>OPSP-VIN-0224-2023</t>
  </si>
  <si>
    <t>PRESTAR LOS SERVICIOS PROFESIONALES EN LA DIRECCIÓN DE GESTIÓN DEL CONOCIMIENTO EL CONTRATISTA SE COMPROMETE A ASESORAR EN LA BÚSQUEDA DE FINANCIACIÓN DE ENTIDADES NACIONALES E INTERNACIONALES PARA PROYECTOS DE I+D-I APOYAR EN EL RASTREO DE CONVOCATORIAS NACIONALES E INTERNACIONALES DE PROYECTOS DE INVESTIGACIÓN REGISTRAR LAS CONVOCATORIAS NACIONALES E INTERNACIONALES ADJUNTANDO LOS ANEXOS ADENDAS Y OTRAS DOCUMENTACIONES</t>
  </si>
  <si>
    <t>https://community.secop.gov.co/Public/Tendering/OpportunityDetail/Index?noticeUID=CO1.NTC.4723576&amp;isFromPublicArea=True&amp;isModal=true&amp;asPopupView=true</t>
  </si>
  <si>
    <t>OPSP-VIN-0225-2023</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</si>
  <si>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t>
  </si>
  <si>
    <t>https://community.secop.gov.co/Public/Tendering/OpportunityDetail/Index?noticeUID=CO1.NTC.4732279&amp;isFromPublicArea=True&amp;isModal=true&amp;asPopupView=true</t>
  </si>
  <si>
    <t>OPSP-VIN-0226-2023</t>
  </si>
  <si>
    <t>ASTRID CAROLINA ARIAS GUETTE</t>
  </si>
  <si>
    <t>PRESTACIÓN DE SERVICIOS PROFESIONALES COMO AUXILIAR DE LABORATORIO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t>
  </si>
  <si>
    <t>https://community.secop.gov.co/Public/Tendering/OpportunityDetail/Index?noticeUID=CO1.NTC.4732424&amp;isFromPublicArea=True&amp;isModal=true&amp;asPopupView=true</t>
  </si>
  <si>
    <t>OPSP-VIN-0227-2023</t>
  </si>
  <si>
    <t>KAREN  CUAO ALVARADO</t>
  </si>
  <si>
    <t>PRESTAR LOS SERVICIOS PROFESIONALES EN LA DIRECCIÓN DE TRANSFERENCIA DE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 O SUS UNIDADES APOYAR EN LAS ACTIVIDADES DE DIVULGACIÓN DE LOS EVENTOS DE CTEI QUE SE PRODUZCAN POR MEDIOS VIRTUALES Y O DE MODO PRESENCIAL CON AUSPICIO DE LA VICERRECTORÍA DE INVESTIGACIÓN</t>
  </si>
  <si>
    <t>https://community.secop.gov.co/Public/Tendering/OpportunityDetail/Index?noticeUID=CO1.NTC.4746337&amp;isFromPublicArea=True&amp;isModal=true&amp;asPopupView=true</t>
  </si>
  <si>
    <t>OPSP-VIN-0228-2023</t>
  </si>
  <si>
    <t>PRESTAR LOS SERVICIOS PROFESIONALES EN LA DIRECCIÓN DE TRANSFERENCIA DE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t>
  </si>
  <si>
    <t>https://community.secop.gov.co/Public/Tendering/OpportunityDetail/Index?noticeUID=CO1.NTC.4746350&amp;isFromPublicArea=True&amp;isModal=true&amp;asPopupView=true</t>
  </si>
  <si>
    <t>OPSP-VIN-0229-2023</t>
  </si>
  <si>
    <t>PRESTAR LOS SERVICIOS PROFESIONALES EN EL CENTRO DE INNOVACIÓN Y EMPRENDIMIENTO DE LA VICERRECTORÍA DE INVESTIGACIÓN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t>
  </si>
  <si>
    <t>https://community.secop.gov.co/Public/Tendering/OpportunityDetail/Index?noticeUID=CO1.NTC.4746231&amp;isFromPublicArea=True&amp;isModal=true&amp;asPopupView=true</t>
  </si>
  <si>
    <t>OPSP-VIN-0230-2023</t>
  </si>
  <si>
    <t>PRESTAR LOS SERVICIOS PROFESIONALES EN LA VIGILANCIA CIENTÍFICA Y TECNOLÓGICA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</si>
  <si>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https://community.secop.gov.co/Public/Tendering/OpportunityDetail/Index?noticeUID=CO1.NTC.4746382&amp;isFromPublicArea=True&amp;isModal=true&amp;asPopupView=true</t>
  </si>
  <si>
    <t>OPSP-VIN-0231-2023</t>
  </si>
  <si>
    <t>PRESTAR LOS SERVICIOS PROFESIONALES EN LA VIGILANCIA CIENTÍFICA Y TECNOLÓGICA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t>
  </si>
  <si>
    <t>https://community.secop.gov.co/Public/Tendering/OpportunityDetail/Index?noticeUID=CO1.NTC.4746525&amp;isFromPublicArea=True&amp;isModal=true&amp;asPopupView=true</t>
  </si>
  <si>
    <t>OPSP-VIN-0232-2023</t>
  </si>
  <si>
    <t>https://community.secop.gov.co/Public/Tendering/OpportunityDetail/Index?noticeUID=CO1.NTC.4746448&amp;isFromPublicArea=True&amp;isModal=true&amp;asPopupView=true</t>
  </si>
  <si>
    <t>OPSP-VIN-0233-2023</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</si>
  <si>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</si>
  <si>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https://community.secop.gov.co/Public/Tendering/OpportunityDetail/Index?noticeUID=CO1.NTC.4746457&amp;isFromPublicArea=True&amp;isModal=true&amp;asPopupView=true</t>
  </si>
  <si>
    <t>OPSP-VIN-0234-2023</t>
  </si>
  <si>
    <t>PRESTAR LOS SERVICIOS PROFESIONALES EN LA DIRECCIÓN DE TRANSFERENCIA DE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t>
  </si>
  <si>
    <t>https://community.secop.gov.co/Public/Tendering/OpportunityDetail/Index?noticeUID=CO1.NTC.4746566&amp;isFromPublicArea=True&amp;isModal=true&amp;asPopupView=true</t>
  </si>
  <si>
    <t>OPSP-VIN-0235-2023</t>
  </si>
  <si>
    <t>ALEX HERVER ESTRADA CAIAFA</t>
  </si>
  <si>
    <t>PRESTAR LOS SERVICIOS PROFESIONALES EN LA DIRECCIÓN DE TRANSFERENCIA DE CONOCIMIENTO Y PROPIEDAD INTELECTUAL DE LA VICERRECTORÍA DE INVESTIGACIÓN EL CONTRATISTA SE COMPROMETE A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t>
  </si>
  <si>
    <t>https://community.secop.gov.co/Public/Tendering/OpportunityDetail/Index?noticeUID=CO1.NTC.4746578&amp;isFromPublicArea=True&amp;isModal=true&amp;asPopupView=true</t>
  </si>
  <si>
    <t>OPSP-VIN-0236-2023</t>
  </si>
  <si>
    <t>ANA CAMARGO VELASQUEZ</t>
  </si>
  <si>
    <t>https://community.secop.gov.co/Public/Tendering/OpportunityDetail/Index?noticeUID=CO1.NTC.4747213&amp;isFromPublicArea=True&amp;isModal=true&amp;asPopupView=true</t>
  </si>
  <si>
    <t>OPSP-VIN-0237-2023</t>
  </si>
  <si>
    <t>PRESTAR LOS SERVICIOS PROFESIONALES COMO INGENIERO INDUSTRIAL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</si>
  <si>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https://community.secop.gov.co/Public/Tendering/OpportunityDetail/Index?noticeUID=CO1.NTC.4746983&amp;isFromPublicArea=True&amp;isModal=true&amp;asPopupView=true</t>
  </si>
  <si>
    <t>OPSP-VIN-0238-2023</t>
  </si>
  <si>
    <t xml:space="preserve">AMANDA  BERBEN </t>
  </si>
  <si>
    <t>PRESTAR LOS SERVICIOS PROFESIONALES COMO BIÓLOGA EN LA COLECCIÓN DE INVERTEBRADOS DEL CENTRO DE COLECCIONES CIENTÍFICAS DE LA UNIVERSIDAD DEL MAGDALENA EL CONTRATISTA SE COMPROMETE A ASISTIR EN LOS PROCEDIMIENTOS Y TAREAS RELACIONADAS CON EL MANTENIMIENTO DE ESPECÍMENES DEPOSITADOS EN LAS COLECCIONES DE INVERTEBRADOS MARINOS COLECCIONES DE INVERTEBRADOS DULCEACUÍCOLAS Y TERRESTRES NO INSECTOS APOYAR EN LA ORGANIZACIÓN Y RECTIFICACIÓN EN LA IDENTIFICACIÓN DEL MATERIAL PREVIAMENTE DEPOSITADO EN LA COLECCIÓN DE INVERTEBRADOS NO INSECTOS</t>
  </si>
  <si>
    <t>JUAN CARLOS NARVAEZ BARANDICA</t>
  </si>
  <si>
    <t>https://community.secop.gov.co/Public/Tendering/OpportunityDetail/Index?noticeUID=CO1.NTC.4747616&amp;isFromPublicArea=True&amp;isModal=true&amp;asPopupView=true</t>
  </si>
  <si>
    <t>OPSP-VIN-0239-2023</t>
  </si>
  <si>
    <t>PRESTAR LOS SERVICIOS PROFESIONALES COMO BIÓLOGA EN LA COLECCIÓN ENTOMOLÓGICA DEL CENTRO DE COLECCIONES CIENTÍFICAS DE LA UNIVERSIDAD DEL MAGDALENA EL CONTRATISTA SE COMPROMETE A ASISTIR EN LA SEPARACIÓN PREPARACIÓN Y ETIQUETAJE DE INSECTOS DE LOS DIFERENTES ÓRDENES DEPOSITADOS EN LA COLECCIÓN ENTOMOLÓGICA APOYAR EN LA ORGANIZACIÓN Y RECTIFICACIÓN EN LA IDENTIFICACIÓN (NIVEL TAXONÓMICO DE FAMILIA) DEL MATERIAL DEPOSITADO EN LÍQUIDO O SECO EN LA COLECCIÓN ENTOMOLÓGICA</t>
  </si>
  <si>
    <t>https://community.secop.gov.co/Public/Tendering/OpportunityDetail/Index?noticeUID=CO1.NTC.4747645&amp;isFromPublicArea=True&amp;isModal=true&amp;asPopupView=true</t>
  </si>
  <si>
    <t>OPSP-VIN-0240-2023</t>
  </si>
  <si>
    <t>PRESTAR LOS SERVICIOS PROFESIONALES COMO BIÓLOGA EN LA COLECCIÓN FICOLÓGICA DEL CENTRO DE COLECCIONES CIENTÍFICAS DE LA UNIVERSIDAD DEL MAGDALENA EL CONTRATISTA SE COMPROMETE A APOYAR EN LA ASISTENCIA DE PROCEDIMIENTOS Y TAREAS RELACIONADAS CON EL MANTENIMIENTO DE ESPECÍMENES DE LA COLECCIÓN FICOLÓGICA GERMÁN BULA MEYER APOYAR EN LA ORGANIZACIÓN Y RECTIFICACIÓN EN LA IDENTIFICACIÓN DEL MATERIAL PREVIAMENTE DEPOSITADO EN LA COLECCIÓN FICOLÓGICA GERMÁN BULA MEYER</t>
  </si>
  <si>
    <t>https://community.secop.gov.co/Public/Tendering/OpportunityDetail/Index?noticeUID=CO1.NTC.4747659&amp;isFromPublicArea=True&amp;isModal=true&amp;asPopupView=true</t>
  </si>
  <si>
    <t>OPSP-VIN-0241-2023</t>
  </si>
  <si>
    <t>PRESTAR LOS SERVICIOS PROFESIONALES EN LA DIRECCIÓN DE GESTIÓN DEL CONOCIMIENTO EL CONTRATISTA SE COMPROMETE A APOYAR A LA DIRECCIÓN DE GESTIÓN DEL CONOCIMIENTO EN LA REVISIÓN DE LOS REQUISITOS DE PROYECTOS INTERNOS Y EXTERNOS DE LA VICERRECTORÍA DE INVESTIGACIÓN</t>
  </si>
  <si>
    <t>https://community.secop.gov.co/Public/Tendering/OpportunityDetail/Index?noticeUID=CO1.NTC.4747686&amp;isFromPublicArea=True&amp;isModal=true&amp;asPopupView=true</t>
  </si>
  <si>
    <t>OPSP-VIN-0242-2023</t>
  </si>
  <si>
    <t>JULIE P. VILORIA PORTO</t>
  </si>
  <si>
    <t>PRESTAR LOS SERVICIOS PROFESIONALES EN LA DIRECCIÓN DE TRANSFERENCIA DE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</si>
  <si>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https://community.secop.gov.co/Public/Tendering/OpportunityDetail/Index?noticeUID=CO1.NTC.4750095&amp;isFromPublicArea=True&amp;isModal=true&amp;asPopupView=true</t>
  </si>
  <si>
    <t>OPSP-VIN-0243-2023</t>
  </si>
  <si>
    <t>CAROLINA LICETH RUEDA QUINTO</t>
  </si>
  <si>
    <t>PRESTACIÓN DE SERVICIOS PROFESIONALES EN MARCO DEL PROYECTO DE INVESTIGACIÓN EVALUACIÓN INTELIGENTE DEL CONFORT TÉRMICO EN ESPACIOS DE APRENDIZAJE Y SU INFLUENCIA EN PROCESOS DE ATENCIÓN Y COGNICIÓN EL CONTRATISTA SE COMPROMETE A APOYAR EN EL DISEÑO METODOLÓGICO Y COORDINACIÓN EN LA EJECUCIÓN DEL PROYECTO APOYAR EN LA APLICACIÓN DE PRUEBAS EN ATENCIÓN Y COGNICIÓN APOYAR EN EL DESARROLLO DE LA CARTILLA PARA IMPLEMENTACIÓN</t>
  </si>
  <si>
    <t>JOHN ALEXANDER TABORDA GIRALDO</t>
  </si>
  <si>
    <t>https://community.secop.gov.co/Public/Tendering/OpportunityDetail/Index?noticeUID=CO1.NTC.4756873&amp;isFromPublicArea=True&amp;isModal=true&amp;asPopupView=true</t>
  </si>
  <si>
    <t>OPSP-VIN-0244-2023</t>
  </si>
  <si>
    <t>YAMILE  PUELLO VILORIA</t>
  </si>
  <si>
    <t>PRESTAR LOS SERVICIOS PROFESIONALES EN LA VICERRECTORÍA DE INVESTIGACIÓN EN MARCO DEL PROYECTO DEL PLAN DE ACCIÓN FORTALECIMIENTO DE LA OFERTA ACADÉMICA PARA LA CREACIÓN, INVESTIGACIÓN E INNOVACIÓN EL CONTRATISTA SE COMPROMETE A APOYAR A LA FACULTAD DE CIENCIAS DE LA SALUD EN LA CREACIÓN DE NUEVOS PROGRAMAS DE POSTGRADOS MÉDICOS QUIRÚRGICOS ESPECÍFICAMENTE EN LA ESPECIALIZACIÓN EN MEDICINA INTERNA APOYAR EN LA REDACCIÓN Y PRESENTACIÓN DE LOS INFORMES DE CREACIÓN DE LOS PROGRAMAS DE POSGRADOS ASIGNADOS CON LAS EVIDENCIAS CORRESPONDIENTES</t>
  </si>
  <si>
    <t xml:space="preserve">ANGELA VERÓNICA ROMERO </t>
  </si>
  <si>
    <t>https://community.secop.gov.co/Public/Tendering/OpportunityDetail/Index?noticeUID=CO1.NTC.4756800&amp;isFromPublicArea=True&amp;isModal=true&amp;asPopupView=true</t>
  </si>
  <si>
    <t>OPSP-VIN-0245-2023</t>
  </si>
  <si>
    <t>PSIBIENESTAR S.A.S.</t>
  </si>
  <si>
    <t>PRESTAR LOS SERVICIOS PROFESIONALES EN MARCO DE LOS INCENTIVOS OTORGADOS AL GRUPO DE INVESTIGACIÓN PSICOLOGÍA DE LA SALUD Y PSIQUIATRÍA EL CONTRATISTA SE COMPROMETE A ASESORAR EN LA FORMULACIÓN Y DESARROLLO DE PROYECTOS DE INVESTIGACIÓN REALIZAR LA BÚSQUEDA DE BIBLIOGRAFÍA REVISAR FUENTES PRIMARIAS Y SECUNDARIAS DE INFORMACIÓN RELACIONADAS CON EL TEMA DEL PROYECTO</t>
  </si>
  <si>
    <t xml:space="preserve">CARMEN CECILIA CABALLERO DOMÍNGUEZ </t>
  </si>
  <si>
    <t>https://community.secop.gov.co/Public/Tendering/OpportunityDetail/Index?noticeUID=CO1.NTC.4757114&amp;isFromPublicArea=True&amp;isModal=true&amp;asPopupView=true</t>
  </si>
  <si>
    <t>OPSP-VIN-0246-2023</t>
  </si>
  <si>
    <t>MARIA  PAULA SOSSA</t>
  </si>
  <si>
    <t xml:space="preserve">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t>
  </si>
  <si>
    <t>https://community.secop.gov.co/Public/Tendering/OpportunityDetail/Index?noticeUID=CO1.NTC.4768557&amp;isFromPublicArea=True&amp;isModal=true&amp;asPopupView=true</t>
  </si>
  <si>
    <t>OPSP-VIN-0247-2023</t>
  </si>
  <si>
    <t>PRESTAR LOS SERVICIOS PROFESIONALES EN LA DIRECCIÓN DE GESTIÓN DEL CONOCIMIENTOS EL CONTRATISTA SE COMPROMETE A ASESORAR A LA VICERRECTORÍA DE INVESTIGACIÓN, LA DIRECCIÓN DE GESTIÓN DEL CONOCIMIENTO Y A LOS LÍDERES DE PROYECTOS EN EL CUMPLIMIENTO TOTAL DE LOS REQUISITOS DEL SGR DE LOS BPIN HUB AMBIENTAL AGROHUBS Y HARINA DE AHUYAMA ASESORAR A LA VICERRECTORÍA DE INVESTIGACIÓN LA DIRECCIÓN DE GESTIÓN DEL CONOCIMIENTO Y A LOS LÍDERES DE PROYECTOS EN LOS AJUSTES CORRECCIONES Y SUBSANACIONES QUE SEAN REQUERIDOS DE LOS DOCUMENTOS CERTIFICACIONES Y PRESUPUESTO DE LOS BPIN HUB AMBIENTAL AGROHUBS Y HARINA DE AHUYAMA</t>
  </si>
  <si>
    <t>https://community.secop.gov.co/Public/Tendering/OpportunityDetail/Index?noticeUID=CO1.NTC.4770308&amp;isFromPublicArea=True&amp;isModal=true&amp;asPopupView=true</t>
  </si>
  <si>
    <t>OPSP-VIN-0248-2023</t>
  </si>
  <si>
    <t>ANGELLY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</si>
  <si>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 VICERRECTORÍA DE INVESTIGACIÓN Y DEMÁS UNIDADES DE LA UNIVERSIDAD DEL MAGDALENA. 4. ASISTIR AL COORDINADOR(A) E INVESTIGADORES DEL CENTRO DE GENÉTICA EN LAS DIFERENTES SOLICITUDES REA</t>
  </si>
  <si>
    <t>https://community.secop.gov.co/Public/Tendering/OpportunityDetail/Index?noticeUID=CO1.NTC.4782504&amp;isFromPublicArea=True&amp;isModal=False</t>
  </si>
  <si>
    <t>OAG-VIN-0001-2023</t>
  </si>
  <si>
    <t>JULIO ANDRES REDONDO GOMEZ</t>
  </si>
  <si>
    <t>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</si>
  <si>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https://community.secop.gov.co/Public/Tendering/OpportunityDetail/Index?noticeUID=CO1.NTC.3913751&amp;isFromPublicArea=True&amp;isModal=true&amp;asPopupView=true</t>
  </si>
  <si>
    <t>OAG-VIN-0002-2023</t>
  </si>
  <si>
    <t>1083034324</t>
  </si>
  <si>
    <t>PRESTAR LOS SERVICIOS DE APOYO EN LA DIRECCIÓN DE GESTIÓN DEL CONOCIMIENTO DE LA UNIVERSIDAD DEL MAGDALENA LA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</si>
  <si>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https://community.secop.gov.co/Public/Tendering/OpportunityDetail/Index?noticeUID=CO1.NTC.3950738&amp;isFromPublicArea=True&amp;isModal=true&amp;asPopupView=true</t>
  </si>
  <si>
    <t>OAG-VIN-0003-2023</t>
  </si>
  <si>
    <t>80875536</t>
  </si>
  <si>
    <t>JUAN DIEGO MICAN GONZALEZ</t>
  </si>
  <si>
    <t>PRESTAR LOS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</si>
  <si>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https://community.secop.gov.co/Public/Tendering/OpportunityDetail/Index?noticeUID=CO1.NTC.3971023&amp;isFromPublicArea=True&amp;isModal=true&amp;asPopupView=true</t>
  </si>
  <si>
    <t>OAG-VIN-0004-2023</t>
  </si>
  <si>
    <t>57436179</t>
  </si>
  <si>
    <t>LEDA JOSE DUARTE WADNIPAR</t>
  </si>
  <si>
    <t>PRESTAR LOS SERVICIOS DE APOYO A LA GESTIÓN EN EL GRUPO COMPRAS Y ADMINISTRACIÓN DE BIENES EL CONTRATISTA SE COMPROMETE A APOYAR EN LOS PROCESOS DE RECEPCIÓN ORGANIZACIÓN CODIFICACIÓN ALMACENAMIENTO DISTRIBUCIÓN Y DESCARGA DE LOS BIENES DE LA VICERRECTORÍA DE INVESTIGACIÓN VERIFICAR TOMAR EVIDENCIAS FOTOGRÁFICAS Y HACER SEGUIMIENTO DE LOS BIENES E INSUMOS ADQUIRIDOS MEDIANTE LAS ORDENES DE LOS GASTOS REALIZADAS POR LA VICERRECTORÍA DE INVESTIGACIÓN APOYAR EN EL DILIGENCIAMIENTO DE LOS FORMATOS DE INGRESO EGRESO ACTAS DE ENTREGA TRASLADOS Y DESCARGA DE BIENES DE LA VICERRECTORÍA DE INVESTIGACIÓN</t>
  </si>
  <si>
    <t>BETTY PATIÑO URIELES NAVARRO</t>
  </si>
  <si>
    <t>https://community.secop.gov.co/Public/Tendering/OpportunityDetail/Index?noticeUID=CO1.NTC.3991719&amp;isFromPublicArea=True&amp;isModal=true&amp;asPopupView=true</t>
  </si>
  <si>
    <t>OAG-VIN-0005-2023</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</si>
  <si>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</si>
  <si>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 APOYAR EN LA COORDINACIÓN Y ADMINISTRACIÓN DEL ESPACIO VIRTUAL EN IVOOX PLATAFORMA GRATUITA DONDE SE ESTÁN SUBIENDO LOS PODCASTS DE LA ORALOTECA CON EL FIN DE TENER MAYOR DIVULGACIÓN DEL TRABAJO INVESTIGATIVO</t>
  </si>
  <si>
    <t>FABIO SILVA VALLEJO</t>
  </si>
  <si>
    <t>https://community.secop.gov.co/Public/Tendering/OpportunityDetail/Index?noticeUID=CO1.NTC.4291888&amp;isFromPublicArea=True&amp;isModal=true&amp;asPopupView=true</t>
  </si>
  <si>
    <t>OAG-VIN-0006-2023</t>
  </si>
  <si>
    <t>PRESTACIÓN DE SERVICIOS DE APOYO A LA GESTIÓN EN MARCO DEL PROYECTO DE INVESTIGACIÓN TITULADO INTEGRACIÓN DE ESTRATEGIAS DE SECUENCIACIÓN DE ÚLTIMA GENERACIÓN A LOS ESQUEMAS DE EVALUACIÓN DE LA CALIDAD DE AGUA EN SANTA MARTA EL CONTRATISTA SE COMPROMETE A COLECTA DE MUESTRAS SALIDAS DE CAMPO EXTRACCIONES DE ADN PCR Y PCR PARA EL DIAGNÓSTICO DE PROTOZOOS EN AGUA PARTICIPACIÓN EN LOS PROCESOS DE PREPARACIÓN DE LIBRERÍAS Y SECUENCIACIÓN DE LAS MUESTRAS CON TECNOLOGÍAS DE PRÓXIMA GENERACIÓN</t>
  </si>
  <si>
    <t>https://community.secop.gov.co/Public/Tendering/OpportunityDetail/Index?noticeUID=CO1.NTC.4346996&amp;isFromPublicArea=True&amp;isModal=true&amp;asPopupView=true</t>
  </si>
  <si>
    <t>OAG-VIN-0007-2023</t>
  </si>
  <si>
    <t>SARA KARINA PABON VEGA</t>
  </si>
  <si>
    <t>PRESTACIÓN DE SERVICIOS DE APOYO A LA GESTIÓN EN EL MARCO DEL PROYECTO DE INVESTIGACIÓN GESTIÓN PARA LA CONSERVACIÓN DE LAS ESPECIES DE ACROPORA BASADA EN SU IMPORTANCIA COMO HÁBITAT PARA LA PESCA EN EL TRABAJO COMUNITARIO Y LA EDUCACIÓN EL CONTRATISTA SE COMPROMETE AL DISEÑO DE PERSONAJES Y DE ESCENARIOS SECUNDARIOS PARA EL COMIC ANIMACIÓN 2D PARA LA REALIDAD AUMENTADA DEL COMIC</t>
  </si>
  <si>
    <t>ROCIO DEL PILAR GARCIA UREÑA</t>
  </si>
  <si>
    <t>https://community.secop.gov.co/Public/Tendering/OpportunityDetail/Index?noticeUID=CO1.NTC.4435984&amp;isFromPublicArea=True&amp;isModal=true&amp;asPopupView=true</t>
  </si>
  <si>
    <t>OAG-VIN-0008-2023</t>
  </si>
  <si>
    <t>1079915385</t>
  </si>
  <si>
    <t>PRESTAR LOS 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</si>
  <si>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https://community.secop.gov.co/Public/Tendering/OpportunityDetail/Index?noticeUID=CO1.NTC.4688604&amp;isFromPublicArea=True&amp;isModal=true&amp;asPopupView=true</t>
  </si>
  <si>
    <t>OAG-VIN-0009-2023</t>
  </si>
  <si>
    <t>https://community.secop.gov.co/Public/Tendering/OpportunityDetail/Index?noticeUID=CO1.NTC.4702656&amp;isFromPublicArea=True&amp;isModal=true&amp;asPopupView=true</t>
  </si>
  <si>
    <t>OPS-VIN-0001-2023</t>
  </si>
  <si>
    <t>XPRESS ESTUDIO GRÁFICO Y
DIGITAL S.A.S.</t>
  </si>
  <si>
    <t>CONTRATACIÓN DE SERVICIO DE DISEÑO DE CARÁTULAS CONVERSIÓN A EPUB CORRECCIÓN DE ESTILO AVANZADA SERVICIO DE DIAGRAMACIÓN PRUEBA DIGITAL B N Y MUESTRAS  DIGITAL COLOR EN MARCO DEL PROYECTO DE INVESTIGACIÓN EXTERNO VISIBILIZACIÓN DE LAS  CAPACIDADES QUE GENERA LA ECONOMÍA POPULAR PARA EL DESARROLLO ECONÓMICO DE COLOMBIA</t>
  </si>
  <si>
    <t>https://community.secop.gov.co/Public/Tendering/OpportunityDetail/Index?noticeUID=CO1.NTC.3993349&amp;isFromPublicArea=True&amp;isModal=true&amp;asPopupView=true</t>
  </si>
  <si>
    <t>OPS-VIN-0002-2023</t>
  </si>
  <si>
    <t>CORPORACION DE FERIAS Y EXPOSICIONES SA USUARIO OPERADOR DE ZONA FRANCA</t>
  </si>
  <si>
    <t xml:space="preserve"> SERVICIO DE INSTALACIÓN DE UN (01) STAND PARA LA PARTICIPACIÓN DE LA EDITORIAL DE LA UNIMAGDALENA, EN LA FERIA INTERNACIONAL DEL LIBRO DE BOGOTÁ - FILBO 2023, CON LAS SIGUIENTES CARACTERISTICAS: STAND DE 39 M2 CON PANELERIA DIVISORIA DE COLOR BLANCO, TAPETE,
INCLUSIÓN EN EL CATÁLOGO DATOS ADMINISTRATIVOS, INVITACIONES POR ÁREA CONTRATADA: 30, CREDENCIALES DE EXPOSITOR 3, CREDENCIALES DE SERVICIO: 5, INSTALACIÓN MONOFÁSICA (CONSUMO HASTA 2 KW /110V), SONIDO DE 1 A 100 PERSONAS 1 MICRÓFONO ALÁMBRICO - CABINERIA ACTIVA (6 DÍAS), TELEVISOR 55'' (7 – 18 DÍAS</t>
  </si>
  <si>
    <t>https://community.secop.gov.co/Public/Tendering/OpportunityDetail/Index?noticeUID=CO1.NTC.4146865&amp;isFromPublicArea=True&amp;isModal=true&amp;asPopupView=true</t>
  </si>
  <si>
    <t>OPS-VIN-0003-2023</t>
  </si>
  <si>
    <t>SIETEDÍAS DE INFORMACIÓN Y COMUNICACIÓN S.A.S.</t>
  </si>
  <si>
    <t>SERVICIO DE REALIZACIÓN DE LA REPORTERÍA REDACCIÓN Y DIVULGACIÓN DE UNA PIEZA COMUNICACIONAL SEMANAL Y UNA REVISTA DE DIVULGACIÓN CUATRIMESTRAL RELACIONADA A LOS PROYECTOS EN CURSO O TERMINADOS DEL PERSONAL INVESTIGADOR Y O GRUPOS DE INVESTIGACIÓN DE LA UNIVERSIDAD DEL MAGDALENA</t>
  </si>
  <si>
    <t>https://www.secop.gov.co/CO1BusinessLine/Tendering/BuyerWorkArea/Index?DocUniqueIdentifier=CO1.BDOS.4196380</t>
  </si>
  <si>
    <t>OPS-VIN-0004-2023</t>
  </si>
  <si>
    <t>XPRESS ESTUDIO GRAFICO Y DIGITAL S.A.</t>
  </si>
  <si>
    <t>SERVICIO DE IMPRESIÓN DE TODO TIPO DE OBRAS Y PRODUCTOS BIBLIOGRÁFICOS DE LA EDITORIAL UNIMAGDALENA</t>
  </si>
  <si>
    <t>https://www.secop.gov.co/CO1BusinessLine/Tendering/BuyerWorkArea/Index?DocUniqueIdentifier=CO1.BDOS.4223702</t>
  </si>
  <si>
    <t>OPS-VIN-0005-2023</t>
  </si>
  <si>
    <t>INTER EXPO S.A.</t>
  </si>
  <si>
    <t>SERVICIO DE DISEÑO MONTAJE Y DESMONTAJE DEL STAND PARA LA PARTICIPACIÓN DE LA EDITORIAL DE LA UNIMAGDALENA EN LA FERIA INTERNACIONAL DEL LIBRO DE BOGOTÁ FILBO 2023 CON LAS SIGUIENTES CARACTERISTICAS 15 5 DE CENEFA A 50 CM EN TAPETE TIPO MOQUETA COLOR AMARILLO CERRAMIENTO PERIMETRAL EN ALUMINIO FORRADO EN BANNER IMPRESO DE ALTA CALIDAD TRES CENEFAS SUPERIORES ESTRUCTURADAS EN ALUMINIO FORRADO EN BANNER IMPRESO DE ALTA CALIDAD POR LAS DOS CARAS UNA CENEFA LATERAL ESTRUCTURADAS EN ALUMINIO FORRADO EN BANNER IMPRESO DE ALTA CALIDAD POR LAS DOS CARAS</t>
  </si>
  <si>
    <t>https://community.secop.gov.co/Public/Tendering/OpportunityDetail/Index?noticeUID=CO1.NTC.4292886&amp;isFromPublicArea=True&amp;isModal=true&amp;asPopupView=true</t>
  </si>
  <si>
    <t>OPS-VIN-0006-2023</t>
  </si>
  <si>
    <t>DOSSIER SOLUCIONES SAS</t>
  </si>
  <si>
    <t>SERVICIO DE SOPORTE TÉCNICO Y MANTENIMIENTO DEL REPOSITORIO DIGITAL INSTITUCIONAL A CARGO DE LA BIBLIOTECA GERMÁN BULA MEYER Y DEL REPOSITORIO DE LA ORALOTECA A CARGO DEL PROGRAMA DE ANTROPOLOGÍA QUE ESTÁN CONFIGURADOS BAJO EL SOFTWARE DE CÓDIGO ABIERTO DSPACE</t>
  </si>
  <si>
    <t>LUIS ALBERTO VEGA VAQUERO</t>
  </si>
  <si>
    <t>https://community.secop.gov.co/Public/Tendering/OpportunityDetail/Index?noticeUID=CO1.NTC.4293432&amp;isFromPublicArea=True&amp;isModal=true&amp;asPopupView=true</t>
  </si>
  <si>
    <t>OPS-VIN-0007-2023</t>
  </si>
  <si>
    <t>PERROS ROMANTICOS SAS</t>
  </si>
  <si>
    <t>PRESTACIÓN DE SERVICIOS PARA DIGITALIZAR Y SISTEMATIZAR 100 CINTAS DE ARCHIVOS DE VIDEO EN SOPORTE MINIDV Y BETACAM CON TEMÁTICA DE CINE A DATA DIGITAL EN MARCO DE LOS INCENTIVOS OTORGADOS POR SU CATEGORIZACIÓN EN EL SISTEMA NACIONAL DE CIENCIA TECNOLOGÍA E INNOVACIÓN</t>
  </si>
  <si>
    <t>FELIPE MORENO SALAZAR</t>
  </si>
  <si>
    <t>https://community.secop.gov.co/Public/Tendering/OpportunityDetail/Index?noticeUID=CO1.NTC.4739869&amp;isFromPublicArea=True&amp;isModal=False</t>
  </si>
  <si>
    <t>ODA-VIN-0001-2023</t>
  </si>
  <si>
    <t>JORGE LUIS GARCIA GOMEZ</t>
  </si>
  <si>
    <t>ARRENDAMIENTO DE UN MÓDULO METÁLICO NECESARIO PARA EL DESARROLLO DE LAS ACTIVIDADES DEL PROGRAMA EDITORIAL</t>
  </si>
  <si>
    <t>https://community.secop.gov.co/Public/Tendering/OpportunityDetail/Index?noticeUID=CO1.NTC.4060516&amp;isFromPublicArea=True&amp;isModal=true&amp;asPopupView=true</t>
  </si>
  <si>
    <t>ODA-VIN-0002-2023</t>
  </si>
  <si>
    <t>ARRENDAMIENTO DE UN (01) MÓDULO METÁLICO, NECESARIO PARA EL DESARROLLO DE LAS ACTIVIDADES DE APROPIACIÓN SOCIAL DEL CONOCIMIENTO,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</si>
  <si>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https://community.secop.gov.co/Public/Tendering/OpportunityDetail/Index?noticeUID=CO1.NTC.4184971&amp;isFromPublicArea=True&amp;isModal=true&amp;asPopupView=true</t>
  </si>
  <si>
    <t>ODA-VIN-0003-2023</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</si>
  <si>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t>
  </si>
  <si>
    <t>LARRY JIMENEZ FERBANS</t>
  </si>
  <si>
    <t>https://www.secop.gov.co/CO1BusinessLine/Tendering/BuyerWorkArea/Index?DocUniqueIdentifier=CO1.BDOS.4195294</t>
  </si>
  <si>
    <t>ODC-VIN-0001-2023</t>
  </si>
  <si>
    <t xml:space="preserve">LAHERAL S.A.S. BIC </t>
  </si>
  <si>
    <t>COMPRAR DE UN EQUIPO DE COMPUTO QUE SERÁ UTILIZADO PARA EL DESARROLLO DE LOS DIFERENTES PROCESOS ADELANTADOS POR LA DIRECCION DE GESTIÓN DEL CONOCIMIENTO DE LA VICERRECTORÍA DE INVESTIGACIÓN EN EL MARCO DEL PROYECTO TITULADO: PARTICIPACIÓN PARA LA ELABORACIÓN DEL MODELO DE EXPOSICIÓN DE SANTA MARTA Y LA ELABORACIÓN DEL MODELO DE EXPOSICIÓN DE RIOHACHA</t>
  </si>
  <si>
    <t>MONICA ZULBARÁN JIMENEZ</t>
  </si>
  <si>
    <t>https://community.secop.gov.co/Public/Tendering/OpportunityDetail/Index?noticeUID=CO1.NTC.4165701&amp;isFromPublicArea=True&amp;isModal=true&amp;asPopupView=true</t>
  </si>
  <si>
    <t>ODC-VIN-0002-2023</t>
  </si>
  <si>
    <t>MARTINEZ &amp; RUIZ S.A.S.</t>
  </si>
  <si>
    <t>COMPRA DE OCHENTA REFRIGERIOS PARA EL DESARROLLO DE UNA JORNADA DE SOCIALIZACIÓN DE RESULTADOS Y VISIBILIZACIÓN EN MARCO DEL PROYECTO DE INVESTIGACIÓN EUROPEAN LATIN AMERICAN NETWORK IN SUPPORT OF SOCIAL ENTREPRENEURS  ELANET</t>
  </si>
  <si>
    <t>https://community.secop.gov.co/Public/Tendering/OpportunityDetail/Index?noticeUID=CO1.NTC.4165639&amp;isFromPublicArea=True&amp;isModal=true&amp;asPopupView=true</t>
  </si>
  <si>
    <t>ODC-VIN-0003-2023</t>
  </si>
  <si>
    <t>LAHERAL S.A.S. BIC</t>
  </si>
  <si>
    <t>COMPRA DE EQUIPOS DE COMPUTO Y ACCESORIOS QUE SERAN UTILIZADOS PARA EL FORTALECIMIENTO DE UNIDADES DEL SISTEMA INSTITUCIONAL DE INVESTIGACIÓN CREACIÓN INNOVACIÓN Y EMPRENDIMIENTO</t>
  </si>
  <si>
    <t>https://community.secop.gov.co/Public/Tendering/OpportunityDetail/Index?noticeUID=CO1.NTC.4170976&amp;isFromPublicArea=True&amp;isModal=true&amp;asPopupView=true</t>
  </si>
  <si>
    <t>ODC-VIN-0004-2023</t>
  </si>
  <si>
    <t>COMPRA DE TREINTA REFRIGERIOS Y TREINTA ALMUERZOS PARA EL DESARROLLO DE LA PRIMERA CARTOGRÁFIA SOCIAL EN MARCO DEL PROYECTO DE INVESTIGACIÓN UNIVERSIDAD DEL MAGDALENA: ESPACIOS LIBRES DE RACISMO</t>
  </si>
  <si>
    <t>https://www.secop.gov.co/CO1BusinessLine/Tendering/BuyerWorkArea/Index?DocUniqueIdentifier=CO1.BDOS.4213900</t>
  </si>
  <si>
    <t>ODC-VIN-0005-2023</t>
  </si>
  <si>
    <t>TESLATRONICA SUMADOR S.A.S</t>
  </si>
  <si>
    <t>COMPRA BIENES E INSUMOS VARIOS QUE SERÁN UTILIZADO PARA DESARROLLAR LAS ACTIVIDADES EN EL MARCO DEL PROYECTO ESTACIÓN DE MONITOREO PARA LA CAPTURA DE VARIABLES OCEANOGRÁFICAS DE ALTA RESOLUCIÓN TEMPORAL</t>
  </si>
  <si>
    <t>https://www.secop.gov.co/CO1BusinessLine/Tendering/BuyerWorkArea/Index?DocUniqueIdentifier=CO1.BDOS.4234178</t>
  </si>
  <si>
    <t>ODC-VIN-0006-2023</t>
  </si>
  <si>
    <t>PROVISIONES TAYRONA S.A.S</t>
  </si>
  <si>
    <t>COMPRA DE PAPELERÍA EN MARCO DEL PROYECTO DE INVESTIGACIÓN TITULADO INTERCULTURALIDAD PAZ Y TERRITORIO UNA APUESTA PARA LA TRANSFORMACIÓN DE TERRITORIOS EN CONFLICTOS EN LA SERRANÍA DEL PERIJÁ</t>
  </si>
  <si>
    <t xml:space="preserve"> EDGAR REY SINNING</t>
  </si>
  <si>
    <t>https://community.secop.gov.co/Public/Tendering/OpportunityDetail/Index?noticeUID=CO1.NTC.4280493&amp;isFromPublicArea=True&amp;isModal=true&amp;asPopupView=true</t>
  </si>
  <si>
    <t>ODC-VIN-0007-2023</t>
  </si>
  <si>
    <t>COMPRA DE ALIMENTO PARA PECES EN MARCO DEL PROYECTO DE INVESTIGACIÓN ASPECTOS BIOLÓGICOS ESTADO DE CONSERVACIÓN Y OPORTUNIDADES PARA LA ACUICULTURA DE LA MOJARRA RAYADA EUGERRES PLUMIERI Y EL RÓBALO EN LA CIÉNAGA GRANDE DE SANTA MARTA</t>
  </si>
  <si>
    <t>NATALIA VILLAMIZAR VILLAMIZAR</t>
  </si>
  <si>
    <t>https://community.secop.gov.co/Public/Tendering/OpportunityDetail/Index?noticeUID=CO1.NTC.4292662&amp;isFromPublicArea=True&amp;isModal=true&amp;asPopupView=true</t>
  </si>
  <si>
    <t>ODC-VIN-0008-2023</t>
  </si>
  <si>
    <t>COMPRA DE SOFTWARE EN MARCO DEL PROYECTO DE INVESTIGACIÓN INTERCULTURALIDAD PAZ Y TERRITORIO UNA APUESTA PARA LA TRANSFORMACIÓN DE TERRITORIOS EN CONFLICTOS EN LA SERRANÍA DEL PERIJÁ</t>
  </si>
  <si>
    <t>EDGAR REY SINNIG</t>
  </si>
  <si>
    <t>https://community.secop.gov.co/Public/Tendering/OpportunityDetail/Index?noticeUID=CO1.NTC.4298324&amp;isFromPublicArea=True&amp;isModal=true&amp;asPopupView=true</t>
  </si>
  <si>
    <t>ODC-VIN-0009-2023</t>
  </si>
  <si>
    <t>COMPRA DE OCHENTA REFRIGERIOS PARA LOS ESTUDIANTES DE LA UNIVERSIDAD QUE CONFORMARÁN LOS GRUPOS FOCALES EN LOS QUE SE DESARROLLARÁN LAS ACTIVIDADES DEL PROYECTO DE INVESTIGACIÓN: ESTRATEGIA EDUCATIVA PARA LA PREVENCIÓN DE EMBARAZO NO INTENCIONAL EN UNA UNIVERSIDAD PROMOTORA DE SALUD</t>
  </si>
  <si>
    <t>AMILETH MARTINEZ SALAZAR</t>
  </si>
  <si>
    <t>https://community.secop.gov.co/Public/Tendering/OpportunityDetail/Index?noticeUID=CO1.NTC.4298927&amp;isFromPublicArea=True&amp;isModal=true&amp;asPopupView=true</t>
  </si>
  <si>
    <t>ODC-VIN-0010-2023</t>
  </si>
  <si>
    <t>UNIPLES S.A.</t>
  </si>
  <si>
    <t>COMPRA DE EQUIPOS DE CÓMPUTO PARA EL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</si>
  <si>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https://community.secop.gov.co/Public/Tendering/OpportunityDetail/Index?noticeUID=CO1.NTC.4316005&amp;isFromPublicArea=True&amp;isModal=true&amp;asPopupView=true</t>
  </si>
  <si>
    <t>ODC-VIN-0011-2023</t>
  </si>
  <si>
    <t>COMPRA DE EQUIPO DE COMPUTO PARA EL DESARROLLO DE LAS ACTIVIDADES DE LOS MODELOS CORRESPONDIENTES DENTRO DEL PROYECTO MODELACIÓN DEL PROCESO DE EROSIÓN INTERNA EN OBRAS GEOTÉCNICAS UTILIZANDO EL MÉTODO DE PUNTO MATERIAL</t>
  </si>
  <si>
    <t>LUIS ÁNGEL AVILÉS MURCIA</t>
  </si>
  <si>
    <t>https://community.secop.gov.co/Public/Tendering/OpportunityDetail/Index?noticeUID=CO1.NTC.4320469&amp;isFromPublicArea=True&amp;isModal=true&amp;asPopupView=true</t>
  </si>
  <si>
    <t>ODC-VIN-0012-2023</t>
  </si>
  <si>
    <t>COMPRA DE ALIMENTO PARA PECES ARTICULOS DE LABORATORIOS Y REGULADORES DE VOLTAJE EN MARCO DEL PROYECTO DE INVESTIGACIÓN ASPECTOS BIOLÓGICOS ESTADO DE CONSERVACIÓN Y OPORTUNIDADES PARA LA ACUICULTURA DE LA MOJARRA RAYADA Y EL RÓBALO EN LA CIÉNAGA GRANDE DE SANTA MARTA</t>
  </si>
  <si>
    <t>https://community.secop.gov.co/Public/Tendering/OpportunityDetail/Index?noticeUID=CO1.NTC.4321903&amp;isFromPublicArea=True&amp;isModal=true&amp;asPopupView=true</t>
  </si>
  <si>
    <t>ODC-VIN-0013-2023</t>
  </si>
  <si>
    <t>COMPRA DE UNA IMPRESORA EQUIPO INDISPENSABLE PARA IMPRIMIR EL MATERIAL NECESARIO PARA APLICAR LOS INSTRUMENTOS DE RECOLECCIÓN DE INFORMACIÓN EN EL MARCO DEL PROYECTO HACIA UN NUEVO MODELO DE SOSTENIBILIDAD TURÍSTICA. PROPUESTA METODOLÓGICA PARA PLAYAS TROPICALES BASADA EN UN SISTEMA DE INDICADORES ECONÓMICOS Y AMBIENTALES</t>
  </si>
  <si>
    <t>FREDDY DE JESÚS VARGAS LEIRA</t>
  </si>
  <si>
    <t>https://community.secop.gov.co/Public/Tendering/OpportunityDetail/Index?noticeUID=CO1.NTC.4334622&amp;isFromPublicArea=True&amp;isModal=true&amp;asPopupView=true</t>
  </si>
  <si>
    <t>ODC-VIN-0014-2023</t>
  </si>
  <si>
    <t>GRUPO J&amp;L CARIBE S.A.S</t>
  </si>
  <si>
    <t>COMPRA DE CINCUENTA REFRIGERIOS EN MARCO DEL PROYECTO DE INVESTIGACIÓN EUROPEAN LATIN AMERICAN NETWORK IN SUPPORT OF SOCIAL ENTREPRENEURS ELANET</t>
  </si>
  <si>
    <t>https://community.secop.gov.co/Public/Tendering/OpportunityDetail/Index?noticeUID=CO1.NTC.4344959&amp;isFromPublicArea=True&amp;isModal=true&amp;asPopupView=true</t>
  </si>
  <si>
    <t>ODC-VIN-0015-2023</t>
  </si>
  <si>
    <t>COMPRA DE UN EQUIPO DE COMPUTO NECESARIO PARA EL DESARROLLO DE LAS ACTIVIDADES Y EL FORTALECIMIENTO DEL PROGRAMA EDITORIAL DE LA VICERRECTORÍA DE INVESTIGACIÓN</t>
  </si>
  <si>
    <t>https://community.secop.gov.co/Public/Tendering/OpportunityDetail/Index?noticeUID=CO1.NTC.4344663&amp;isFromPublicArea=True&amp;isModal=true&amp;asPopupView=true</t>
  </si>
  <si>
    <t>ODC-VIN-0016-2023</t>
  </si>
  <si>
    <t>HARDWARE ASESORIAS SOFTWARE LTDA.</t>
  </si>
  <si>
    <t>COMPRA DE UN COMPUTADOR PORTÁTIL Y DE UNA LICENCIA DE WINDOWS EN MARCO DEL PROYECTO DE INVESTIGACIÓN TRÁFICO DE CONTENEDORES EN EL CARIBE COLOMBIANO UNA APROXIMACIÓN AL ESTUDIO DE COMPETITIVIDAD DEL PUERTO DE SANTA MARTA</t>
  </si>
  <si>
    <t>ADRIANA PABÓN NOGUERA</t>
  </si>
  <si>
    <t>https://community.secop.gov.co/Public/Tendering/OpportunityDetail/Index?noticeUID=CO1.NTC.4371178&amp;isFromPublicArea=True&amp;isModal=true&amp;asPopupView=true</t>
  </si>
  <si>
    <t>ODC-VIN-0017-2023</t>
  </si>
  <si>
    <t>COMPRA DE DOS COMPUTADORES PORTÁTILES CON PANTALLA FHD 14 AMD R5 5500U 16 GB DE RAM DDR4 SSD 512 GB USB 3 2 COLOR GRIS</t>
  </si>
  <si>
    <t>CARLOS ARTURO MARTINEZ CANO Y CAROLINA ELENA CORTINA NAVARRO 26947931</t>
  </si>
  <si>
    <t>https://community.secop.gov.co/Public/Tendering/OpportunityDetail/Index?noticeUID=CO1.NTC.4371268&amp;isFromPublicArea=True&amp;isModal=true&amp;asPopupView=true</t>
  </si>
  <si>
    <t>ODC-VIN-0018-2023</t>
  </si>
  <si>
    <t>EQUIPOS Y LABORATORIO DE COLOMBIA SAS</t>
  </si>
  <si>
    <t>COMPRA DE UN EQUIPO ELECTRÓNICO SENSOR DE PH EN MARCO DEL PROYECTO DE INVESTIGACIÓN TITULADO EFECTO DE LA QUÍMICA DE CARBONATOS Y LA ACIDIFICACIÓN OCEÁNICA EN LA CALCIFICACIÓN Y FECUNDIDAD DE ALGAS CORALINÁCEAS COSTROSAS DE AMBIENTES CON SURGENCIA ESTACIONAL EN EL CARIBE COLOMBIANO</t>
  </si>
  <si>
    <t>ROCÍO DEL PILAR GARCÍA URUENA</t>
  </si>
  <si>
    <t>https://community.secop.gov.co/Public/Tendering/OpportunityDetail/Index?noticeUID=CO1.NTC.4375053&amp;isFromPublicArea=True&amp;isModal=true&amp;asPopupView=true</t>
  </si>
  <si>
    <t>ODC-VIN-0019-2023</t>
  </si>
  <si>
    <t>T &amp; B SYSTEM S.A.S</t>
  </si>
  <si>
    <t>COMPRA DE EQUIPOS ELECTRÓNICOS</t>
  </si>
  <si>
    <t>https://community.secop.gov.co/Public/Tendering/OpportunityDetail/Index?noticeUID=CO1.NTC.4388348&amp;isFromPublicArea=True&amp;isModal=true&amp;asPopupView=true</t>
  </si>
  <si>
    <t>ODC-VIN-0020-2023</t>
  </si>
  <si>
    <t>INSAK SAS</t>
  </si>
  <si>
    <t>COMPRA DE SENSORES EN MARCO DEL PROYECTO DE INVESTIGACIÓN EFECTO DE LA QUÍMICA DE CARBONATOS Y LA ACIDIFICACIÓN OCEÁNICA EN LA CALCIFICACIÓN Y FECUNDIDAD DE ALGAS CORALINÁCEAS COSTROSAS DE AMBIENTES CON SURGENCIA ESTACIONAL EN EL CARIBE COLOMBIANO</t>
  </si>
  <si>
    <t>ROCÍO GARCÍA URUEÑA</t>
  </si>
  <si>
    <t>https://community.secop.gov.co/Public/Tendering/OpportunityDetail/Index?noticeUID=CO1.NTC.4388652&amp;isFromPublicArea=True&amp;isModal=true&amp;asPopupView=true</t>
  </si>
  <si>
    <t>ODC-VIN-0021-2023</t>
  </si>
  <si>
    <t>COMPULAGO S.A.S</t>
  </si>
  <si>
    <t>COMPRA DE UN COMPUTADOR PORTÁTIL</t>
  </si>
  <si>
    <t>CESAR ENRIQUE TAMARIS TURIZO</t>
  </si>
  <si>
    <t>https://community.secop.gov.co/Public/Tendering/OpportunityDetail/Index?noticeUID=CO1.NTC.4395628&amp;isFromPublicArea=True&amp;isModal=true&amp;asPopupView=true</t>
  </si>
  <si>
    <t>ODC-VIN-0022-2023</t>
  </si>
  <si>
    <t>BLAMIS DOTACIONES LABORATORIO S A S</t>
  </si>
  <si>
    <t>COMPRA DE EQUIPOS DE LABORATORIO EN MARCO DEL PROYECTO DE INVESTIGACIÓN DESARROLLO DE FORMULACIONES NUTRICIONALES DE ENGORDE PARA CAMARÓN BLANCO LITOPENAEUS VANNAMEI EN LOS DEPARTAMENTOS ATLÁNTICO Y MAGDALENA</t>
  </si>
  <si>
    <t>https://community.secop.gov.co/Public/Tendering/OpportunityDetail/Index?noticeUID=CO1.NTC.4402203&amp;isFromPublicArea=True&amp;isModal=true&amp;asPopupView=true</t>
  </si>
  <si>
    <t>ODC-VIN-0023-2023</t>
  </si>
  <si>
    <t>KAIKA SAS</t>
  </si>
  <si>
    <t>COMPRA DE UN ESTEREOMICROSCOPIO NECESARIO PARA EL DESARROLLO DE LAS ACTIVIDADES Y EL FORTALECIMIENTO DEL CENTRO DE COLECCIONES CIENTÍFICAS DE LA VICERRECTORÍA DE INVESTIGACIÓN</t>
  </si>
  <si>
    <t>https://community.secop.gov.co/Public/Tendering/OpportunityDetail/Index?noticeUID=CO1.NTC.4427868&amp;isFromPublicArea=True&amp;isModal=true&amp;asPopupView=true</t>
  </si>
  <si>
    <t>ODC-VIN-0024-2023</t>
  </si>
  <si>
    <t>KRISLY MARIA PALACIO SANCHEZ</t>
  </si>
  <si>
    <t>COMPRA DE UN COMPUTADOR PORTATIL CON CORE I7 1255U 12GEN 20GB RAM 512GB SSD 15DY5011 PANTALLA 15 6 COLOR NEGRO</t>
  </si>
  <si>
    <t>GERMAN SANCHEZ TORRES</t>
  </si>
  <si>
    <t>https://community.secop.gov.co/Public/Tendering/OpportunityDetail/Index?noticeUID=CO1.NTC.4436079&amp;isFromPublicArea=True&amp;isModal=true&amp;asPopupView=true</t>
  </si>
  <si>
    <t>ODC-VIN-0025-2023</t>
  </si>
  <si>
    <t>COMPRA DE TRES COMPUTADORES PORTÁTILES CON PANTALLA FHD 14 AMD R5 5500U 16 GB DE RAM DDR4 SSD 512 GB USB 3 2 WINDOWS 11 COLOR GRIS EN MARCO DE LOS INCENTIVOS OTORGADOS A LOS DOCENTES</t>
  </si>
  <si>
    <t>57438168 - 85456124 - 85456629</t>
  </si>
  <si>
    <t xml:space="preserve">MARIA FERNANDA CABAS MANJARREZ - ERIC HERNANDEZ SASTOQUE Y VICTOR MACIAS VILLAMIZAR </t>
  </si>
  <si>
    <t>https://community.secop.gov.co/Public/Tendering/OpportunityDetail/Index?noticeUID=CO1.NTC.4445033&amp;isFromPublicArea=True&amp;isModal=true&amp;asPopupView=true</t>
  </si>
  <si>
    <t>ODC-VIN-0026-2023</t>
  </si>
  <si>
    <t>COMPRA DE UN COMPUTADOR PORTATIL EN MARCO DE LOS INCENTIVOS OTORGADOS</t>
  </si>
  <si>
    <t>https://community.secop.gov.co/Public/Tendering/OpportunityDetail/Index?noticeUID=CO1.NTC.4450372&amp;isFromPublicArea=True&amp;isModal=False</t>
  </si>
  <si>
    <t>ODC-VIN-0027-2023</t>
  </si>
  <si>
    <t>COMPRA DE ELEMENTOS DE PAPELERÍA EN MARCO DEL PROYECTO DE INVESTIGACIÓN TITULADO OSITOS DE AGUA TARDÍGRADA ASOCIADOS A BRIÓFITOS Y LÍQUENES EN FRAGMENTOS DE BOSQUE SECO TROPICAL DE LOS MONTES DE MARÍA Y LA SERRANÍA DE PIOJÓ UNA CONTRIBUCIÓN A LA BIODIVERSIDAD DE COLOMBIA</t>
  </si>
  <si>
    <t>https://community.secop.gov.co/Public/Tendering/OpportunityDetail/Index?noticeUID=CO1.NTC.4450572&amp;isFromPublicArea=True&amp;isModal=False</t>
  </si>
  <si>
    <t>ODC-VIN-0028-2023</t>
  </si>
  <si>
    <t>BOMBAS Y REPUESTOS LTDA</t>
  </si>
  <si>
    <t>COMPRA DE BOMBAS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</si>
  <si>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https://community.secop.gov.co/Public/Tendering/OpportunityDetail/Index?noticeUID=CO1.NTC.4473811&amp;isFromPublicArea=True&amp;isModal=true&amp;asPopupView=true</t>
  </si>
  <si>
    <t>ODC-VIN-0029-2023</t>
  </si>
  <si>
    <t>GRUPO MILLIGRAM SAS</t>
  </si>
  <si>
    <t>COMPRA DE EQUIPOS ELECTRONICOS EN MARCO DEL PROYECTO DE INVESTIGACION RASGOS FENOTÍPICOS INTER-POBLACIONALES ASOCIADOS AL SISTEMA DE APAREAMIENTO LEKSCRAMBLE DE ATELOPUSLAETISSIMUS ANURA BUFONIDAE EN LA SIERRA NEVADA DE SANTA MARTA COLOMBIA</t>
  </si>
  <si>
    <t>https://community.secop.gov.co/Public/Tendering/OpportunityDetail/Index?noticeUID=CO1.NTC.4473932&amp;isFromPublicArea=True&amp;isModal=true&amp;asPopupView=true</t>
  </si>
  <si>
    <t>ODC-VIN-0030-2023</t>
  </si>
  <si>
    <t>DICORLAB SAS</t>
  </si>
  <si>
    <t>COMPRA DE 15 UNIDADES DE CRIOCAJA PLASTICA CON TAPA PARA CRIOVIAL DE 2ML EN PP X UNID 3 BOLSAS DE CRIOVIAL POLIPROPILENO POLIMÉRICO ESTERIL 2ML PQX500UNID Y 2 UNIDADES DE ALCOHOL ETILICO 96% X 20LT PARA EL PROYECTO DE INVESTIGACIÓN TITULADO DIVERSIDAD TAXONÓMICA Y FUNCIONAL DE HORMIGAS ASOCIADAS A LA HOJARASCA EN ECOSISTEMAS AMENAZADOS DE BOSQUES SECO TROPICAL EN LOS MONTES DE MARÍA Y SERRANÍA DE PIOJÓ CARIBE COLOMBIANO</t>
  </si>
  <si>
    <t>https://community.secop.gov.co/Public/Tendering/OpportunityDetail/Index?noticeUID=CO1.NTC.4473853&amp;isFromPublicArea=True&amp;isModal=true&amp;asPopupView=true</t>
  </si>
  <si>
    <t>ODC-VIN-0031-2023</t>
  </si>
  <si>
    <t>COMPRA DE UNA TABLET EN MARCO DE PROYECTO DE INVESTIGACIÓN TITULADO OLIMPIADAS MEDIOAMBIENTALES PARA EL DESARROLLO DEL PENSAMIENTO MATEMÁTICO Y DE MODELAMIENTO MATEMÁTICO EN PROYECTOS AMBIENTALES EN EL DEPARTAMENTO DE MAGDALENA</t>
  </si>
  <si>
    <t>ELLERY GREGORIO CHACUTO LOPEZ</t>
  </si>
  <si>
    <t>https://community.secop.gov.co/Public/Tendering/OpportunityDetail/Index?noticeUID=CO1.NTC.4514632&amp;isFromPublicArea=True&amp;isModal=true&amp;asPopupView=true</t>
  </si>
  <si>
    <t>ODC-VIN-0032-2023</t>
  </si>
  <si>
    <t>BIOLOGIKA PROYECTOS S.A.S.</t>
  </si>
  <si>
    <t>COMPRA DE MATERIALES E INSUMOS EN MARCO DE PROYECTO DE INVESTIGACIÓN TITULADO DIVERSIDAD TAXONÓMICA Y FUNCIONAL DE HORMIGAS ASOCIADAS A LA HOJARASCA EN ECOSISTEMAS AMENAZADOS DE BOSQUES SECO TROPICAL EN LOS MONTES DE MARÍA Y SERRANÍA DE PIOJÓ CARIBE COLOMBIANO</t>
  </si>
  <si>
    <t>https://community.secop.gov.co/Public/Tendering/OpportunityDetail/Index?noticeUID=CO1.NTC.4514805&amp;isFromPublicArea=True&amp;isModal=true&amp;asPopupView=true</t>
  </si>
  <si>
    <t>ODC-VIN-0033-2023</t>
  </si>
  <si>
    <t>MULTISERVICIOS J &amp; S S.A.S.</t>
  </si>
  <si>
    <t>COMPRA DE DOCE MEDIDORES DE LLUVIA INALÁMBRICOS PLUVIÓMETROS EN MARCO DEL PROYECTO DE INVESTIGACIÓN DINÁMICA DE LA REGENERACIÓN NATURAL EN UN GRADIENTE DE HUMEDAD Y LA INFLUENCIA DE LA ENTRADA DE NUTRIENTES VÍA HOJARASCA FINA EN EL BOSQUE SECO TROPICAL DEL PARQUE NACIONAL NATURAL TAYRONA EN EL CARIBE COLOMBIANO</t>
  </si>
  <si>
    <t>https://community.secop.gov.co/Public/Tendering/OpportunityDetail/Index?noticeUID=CO1.NTC.4514819&amp;isFromPublicArea=True&amp;isModal=true&amp;asPopupView=true</t>
  </si>
  <si>
    <t>ODC-VIN-0034-2023</t>
  </si>
  <si>
    <t>COMPRA DE UNA TABLET EN MARCO DE LOS INCENTIVOS OTORGADOS</t>
  </si>
  <si>
    <t>CELINA PATRICIA ANAYA SAADE</t>
  </si>
  <si>
    <t>https://community.secop.gov.co/Public/Tendering/OpportunityDetail/Index?noticeUID=CO1.NTC.4515008&amp;isFromPublicArea=True&amp;isModal=true&amp;asPopupView=true</t>
  </si>
  <si>
    <t>ODC-VIN-0035-2023</t>
  </si>
  <si>
    <t>COMPRA DE DOS COMPUTADORES EN MARCO DEL PROYECTO DE INVESTIGACIÓN GESTIÓN PARA LA CONSERVACIÓN DE LAS ESPECIES DE ACROPORA BASADA EN SU IMPORTANCIA COMO HÁBITAT PARA LA PESCA EN EL TRABAJO COMUNITARIO Y LA EDUCACIÓN</t>
  </si>
  <si>
    <t>https://community.secop.gov.co/Public/Tendering/OpportunityDetail/Index?noticeUID=CO1.NTC.4515030&amp;isFromPublicArea=True&amp;isModal=true&amp;asPopupView=true</t>
  </si>
  <si>
    <t>ODC-VIN-0036-2023</t>
  </si>
  <si>
    <t>SOLUCIONES EN LABORATORIO Y METROLOGIA S A S</t>
  </si>
  <si>
    <t>COMPRA DE INSUMOS EN MARCO DE PROYECTO DE INVESTIGACIÓN TITULADO IMPACTO DE CULTIVOS INTERCALADOS SOBRE LA DINÁMICA SANITARIA Y LA SOSTENIBILIDAD PRODUCTIVA Y AMBIENTAL DE MANGO MANGIFERA INDICA CULTIVAR AZÚCAR EN EL DEPARTAMENTO DEL MAGDALENA COLOMBIA</t>
  </si>
  <si>
    <t>ALBERTO RAFAEL PÁEZ REDONDO</t>
  </si>
  <si>
    <t>https://community.secop.gov.co/Public/Tendering/OpportunityDetail/Index?noticeUID=CO1.NTC.4516612&amp;isFromPublicArea=True&amp;isModal=true&amp;asPopupView=true</t>
  </si>
  <si>
    <t>ODC-VIN-0037-2023</t>
  </si>
  <si>
    <t>ARTILAB SA</t>
  </si>
  <si>
    <t>COMPRA DE MATERIALES E INSUMOS DE LABORATORIO EN MARCO DEL PROYECTO DE INVESTIGACIÓN FISIOLOGÍA ENERGÉTICA DEL ERIZO BLANCO TRIPNEUSTES VENTRICOSUS EXPUESTO A DIFERENTES CONDICIONES DE CALIDAD DE ALIMENTO Y AGUA: UNA BASE PARA SU USO EN ACUICULTURA Y OTRAS APLICACIONES ECOLÓGICAS</t>
  </si>
  <si>
    <t>LUZ ADRIANA VELASCO CIFUENTES</t>
  </si>
  <si>
    <t>https://community.secop.gov.co/Public/Tendering/OpportunityDetail/Index?noticeUID=CO1.NTC.4527751&amp;isFromPublicArea=True&amp;isModal=true&amp;asPopupView=true</t>
  </si>
  <si>
    <t>ODC-VIN-0038-2023</t>
  </si>
  <si>
    <t>COMPRA DE MATERIALES E INSUMOS EN MARCO DE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</si>
  <si>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https://community.secop.gov.co/Public/Tendering/OpportunityDetail/Index?noticeUID=CO1.NTC.4533693&amp;isFromPublicArea=True&amp;isModal=true&amp;asPopupView=true</t>
  </si>
  <si>
    <t>ODC-VIN-0039-2023</t>
  </si>
  <si>
    <t>COMPRA DE CUATRO EQUIPOS TECNOLOGICOS EN MARCO DE LOS INCENTIVOS OTORGADOS</t>
  </si>
  <si>
    <t>RENATA PAOLA DE LA HOZ PERAFAN</t>
  </si>
  <si>
    <t>https://community.secop.gov.co/Public/Tendering/OpportunityDetail/Index?noticeUID=CO1.NTC.4541968&amp;isFromPublicArea=True&amp;isModal=true&amp;asPopupView=true</t>
  </si>
  <si>
    <t>ODC-VIN-0040-2023</t>
  </si>
  <si>
    <t>LOS BUZOS Y CIA LTDA</t>
  </si>
  <si>
    <t>COMPRA DE COMPUTADOR DE BUCEO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</si>
  <si>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https://community.secop.gov.co/Public/Tendering/OpportunityDetail/Index?noticeUID=CO1.NTC.4548223&amp;isFromPublicArea=True&amp;isModal=true&amp;asPopupView=true</t>
  </si>
  <si>
    <t>ODC-VIN-0041-2023</t>
  </si>
  <si>
    <t>ELEMENTOS QUIMICOS LTDA</t>
  </si>
  <si>
    <t>COMPRA DE UN MERCURIO II SULFATO ANHIDRO ACS EN MARCO DEL PROYECTO DE INVESTIGACIÓN SISTEMA BIOELECTROQUÍMICO PARA LA RECUPERACIÓN DE NUTRIENTES NITRÓGENO Y FÓSFORO Y REUTILIZACIÓN DE AGUA OPERADO CON MATERIALES DE BAJO COSTO UTILIZANDO VERTIMIENTOS LÍQUIDOS DE LA INDUSTRIA AGROPECUARIA</t>
  </si>
  <si>
    <t>ELIANA VERGARA VÁSQUEZ</t>
  </si>
  <si>
    <t>https://community.secop.gov.co/Public/Tendering/OpportunityDetail/Index?noticeUID=CO1.NTC.4547524&amp;isFromPublicArea=True&amp;isModal=true&amp;asPopupView=true</t>
  </si>
  <si>
    <t>ODC-VIN-0042-2023</t>
  </si>
  <si>
    <t>COMPRA DE OCHO CALENTADORES DE ACUARIO INASTILLABLE DE 400 VATIOS Y 15 5 PULGADAS DE LARGO EN MARCO DEL PROYECTO DE INVESTIGACIÓN FISIOLOGÍA ENERGÉTICA DEL ERIZO BLANCO, TRIPNEUSTES VENTRICOSUS EXPUESTO A DIFERENTES CONDICIONES DE CALIDAD DE ALIMENTO Y AGUA UNA BASE PARA SU USO EN ACUICULTURA Y OTRAS APLICACIONES ECOLÓGICAS</t>
  </si>
  <si>
    <t>https://community.secop.gov.co/Public/Tendering/OpportunityDetail/Index?noticeUID=CO1.NTC.4548343&amp;isFromPublicArea=True&amp;isModal=true&amp;asPopupView=true</t>
  </si>
  <si>
    <t>ODC-VIN-0043-2023</t>
  </si>
  <si>
    <t>COMPRA DE DOS COMPUTADORES PORTÁTILES EN MARCO DE LOS INCENTIVOS OTORGADOS</t>
  </si>
  <si>
    <t>DIANA PATRICIA ACOSTA SALAZAR</t>
  </si>
  <si>
    <t>https://community.secop.gov.co/Public/Tendering/OpportunityDetail/Index?noticeUID=CO1.NTC.4548452&amp;isFromPublicArea=True&amp;isModal=true&amp;asPopupView=true</t>
  </si>
  <si>
    <t>ODC-VIN-0044-2023</t>
  </si>
  <si>
    <t>COMPRA DE EQUIPOS EN MARCO DE LOS INCENTIVOS OTORGADOS</t>
  </si>
  <si>
    <t>LUCIA YESENIA BUSTAMANTE MEZA - MARIA TERESA MOJICA 28548913 Y CAMILO AGUILERA TORO 94454264</t>
  </si>
  <si>
    <t>https://community.secop.gov.co/Public/Tendering/OpportunityDetail/Index?noticeUID=CO1.NTC.4554900&amp;isFromPublicArea=True&amp;isModal=true&amp;asPopupView=true</t>
  </si>
  <si>
    <t>ODC-VIN-0045-2023</t>
  </si>
  <si>
    <t>COMPRA DE UN ESTEREOMICROSCOPIO EN MARCO DE PROYECTO DE INVESTIGACIÓN TITULADO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</si>
  <si>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https://community.secop.gov.co/Public/Tendering/OpportunityDetail/Index?noticeUID=CO1.NTC.4565505&amp;isFromPublicArea=True&amp;isModal=true&amp;asPopupView=true</t>
  </si>
  <si>
    <t>ODC-VIN-0046-2023</t>
  </si>
  <si>
    <t>COMPRA DE UNA CÁMARA CÁMARA DIGITAL COMPACTA, EN MARCO DE LOS INCENTIVOS OTORGADOS</t>
  </si>
  <si>
    <t>DIANA PATRICIA TAMARIS TURIZO</t>
  </si>
  <si>
    <t>https://community.secop.gov.co/Public/Tendering/OpportunityDetail/Index?noticeUID=CO1.NTC.4565452&amp;isFromPublicArea=True&amp;isModal=true&amp;asPopupView=true</t>
  </si>
  <si>
    <t>ODC-VIN-0047-2023</t>
  </si>
  <si>
    <t>GLOBAL INTERNATIONAL TRADING USA CORP</t>
  </si>
  <si>
    <t>COMPRA EQUIPOS EN MARCO DEL PROYECTO DE INVESTIGACIÓN CALIDAD DEL AGUA Y RECONOCIMIENTO BIOLÓGICO PORTUARIO DE REFERENCIA PARA LA GESTIÓN DE AGUAS DE LASTRE</t>
  </si>
  <si>
    <t>https://community.secop.gov.co/Public/Tendering/OpportunityDetail/Index?noticeUID=CO1.NTC.4565842&amp;isFromPublicArea=True&amp;isModal=true&amp;asPopupView=true</t>
  </si>
  <si>
    <t>ODC-VIN-0048-2023</t>
  </si>
  <si>
    <t>COMPRA DE EQUIPOS MARCO DE LOS INCENTIVOS OTORGADOS</t>
  </si>
  <si>
    <t>LUCIA YESENIA BUSTAMANTE MEZA EDILTRUDIS RAMOS DE LA CRUZ 36554737 Y HECTOR GARCIA QUIÑONES 7634997</t>
  </si>
  <si>
    <t>https://community.secop.gov.co/Public/Tendering/OpportunityDetail/Index?noticeUID=CO1.NTC.4573030&amp;isFromPublicArea=True&amp;isModal=true&amp;asPopupView=true</t>
  </si>
  <si>
    <t>ODC-VIN-0049-2023</t>
  </si>
  <si>
    <t>COMPRA DE REACTIVOS E INSUMOS EN MARCO DEL PROYECTO DE INVESTIGACION CALIDAD DEL AGUA Y RECONOCIMIENTO BIOLÓGICO PORTUARIO DE REFERENCIA PARA LA GESTIÓN DE AGUAS DE LASTRE</t>
  </si>
  <si>
    <t>https://community.secop.gov.co/Public/Tendering/OpportunityDetail/Index?noticeUID=CO1.NTC.4581118&amp;isFromPublicArea=True&amp;isModal=true&amp;asPopupView=true</t>
  </si>
  <si>
    <t>ODC-VIN-0050-2023</t>
  </si>
  <si>
    <t>COMPRA DE DOS COMPUTADORES PARA EL PROYECTO GESTIÓN PARA LA CONSERVACIÓN DE LAS ESPECIES DE ACROPORA BASADA EN SU IMPORTANCIA COMO HÁBITAT PARA LA PESCA, EN EL TRABAJO COMUNITARIO Y LA EDUCACIÓN</t>
  </si>
  <si>
    <t>ROCÍO DEL PILAR GARCÍA URUEÑA</t>
  </si>
  <si>
    <t>https://community.secop.gov.co/Public/Tendering/OpportunityDetail/Index?noticeUID=CO1.NTC.4589711&amp;isFromPublicArea=True&amp;isModal=true&amp;asPopupView=true</t>
  </si>
  <si>
    <t>ODC-VIN-0051-2023</t>
  </si>
  <si>
    <t>GEOSENSE S.A.S.</t>
  </si>
  <si>
    <t>COMPRA DE PARTES PARA EL DESARROLLO DEL EQUIPO DE CALIBRACIÓN INCLINÓMETRO EN MARCO DEL PROYECTO DE INVESTIGACIÓN DISEÑO Y FABRICACIÓN DE EQUIPO ROBUSTO PARA LA CALIBRACIÓN DE INCLINÓMETROS</t>
  </si>
  <si>
    <t xml:space="preserve">CRÍSPULO ENRIQUE DELUQUE TORO </t>
  </si>
  <si>
    <t>https://community.secop.gov.co/Public/Tendering/OpportunityDetail/Index?noticeUID=CO1.NTC.4597660&amp;isFromPublicArea=True&amp;isModal=true&amp;asPopupView=true</t>
  </si>
  <si>
    <t>ODC-VIN-0052-2023</t>
  </si>
  <si>
    <t>COMPRA DE UN COMPUTADOR UNA MEMORIA PORTATIL Y UN REGULADOR DE VOLTAJE EN MARCO DEL PROYECTO DE INVESTIGACIÓN TITULADO IMPACTO DE CULTIVOS INTERCALADOS SOBRE LA DINÁMICA SANITARIA Y LA SOSTENIBILIDAD PRODUCTIVA Y AMBIENTAL DE MANGO MANGIFERA INDICA CULTIVAR AZÚCAR EN EL DEPARTAMENTO DEL MAGDALENA COLOMBIA</t>
  </si>
  <si>
    <t>https://community.secop.gov.co/Public/Tendering/OpportunityDetail/Index?noticeUID=CO1.NTC.4615161&amp;isFromPublicArea=True&amp;isModal=true&amp;asPopupView=true</t>
  </si>
  <si>
    <t>ODC-VIN-0053-2023</t>
  </si>
  <si>
    <t>COMPRA DE EQUIPOS TECNOLOGICOS EN MARCO DE LOS INCENTIVOS OTORGADOS POR SU CATEGORIZACIÓN EN EL SISTEMA NACIONAL DE CIENCIA TECNOLOGÍA E INNOVACIÓN</t>
  </si>
  <si>
    <t>EDUINO CESAR CARBONÓ DE LA HOZ</t>
  </si>
  <si>
    <t>https://community.secop.gov.co/Public/Tendering/OpportunityDetail/Index?noticeUID=CO1.NTC.4615452&amp;isFromPublicArea=True&amp;isModal=true&amp;asPopupView=true</t>
  </si>
  <si>
    <t>ODC-VIN-0054-2023</t>
  </si>
  <si>
    <t>COMPRA DE TRES LIBROS CON EL FIN DE AVANZAR EN LAS ACTIVIDADES INVESTIGATIVAS EN EL MARCO DEL PROYECTO TITULADO HACIA UN NUEVO MODELO DE SOSTENIBILIDAD TURÍSTICA PROPUESTA METODOLÓGICA PARA PLAYAS TROPICALES BASADA EN UN SISTEMA DE INDICADORES ECONÓMICOS Y AMBIENTALES</t>
  </si>
  <si>
    <t>https://community.secop.gov.co/Public/Tendering/OpportunityDetail/Index?noticeUID=CO1.NTC.4622787&amp;isFromPublicArea=True&amp;isModal=true&amp;asPopupView=true</t>
  </si>
  <si>
    <t>ODC-VIN-0055-2023</t>
  </si>
  <si>
    <t>LABORATORIOS PETROLEROS Y BIOLOGICOS DE COLOMBIA S.A.S</t>
  </si>
  <si>
    <t>COMPRA DE INSUMOS Y MATERIALES DE LABORATORIO EN MARCO DEL PROYECTO DE INVESTIGACIÓN DIVERSIDAD DE INSECTOS Y VERTEBRADOS BIOSONIDOS Y ETNOBIOLOGÍA EN LAS VERTIENTES NORTE Y OCCIDENTAL DE LA SIERRA NEVADA DE SANTA MARTA</t>
  </si>
  <si>
    <t>https://community.secop.gov.co/Public/Tendering/OpportunityDetail/Index?noticeUID=CO1.NTC.4622081&amp;isFromPublicArea=True&amp;isModal=true&amp;asPopupView=true</t>
  </si>
  <si>
    <t>ODC-VIN-0056-2023</t>
  </si>
  <si>
    <t xml:space="preserve"> ROCHEM BIOCARE COLOMBIA SAS</t>
  </si>
  <si>
    <t>COMPRA DE INSUMOS DE LABORATORIO EN MARCO DEL PROYECTO DE INVESTIGACIÓN DIVERSIDAD DE INSECTOS Y VERTEBRADOS BIOSONIDOS Y ETNOBIOLOGÍA EN LAS VERTIENTES NORTE Y OCCIDENTAL DE LA SIERRA NEVADA DE SANTA MARTA</t>
  </si>
  <si>
    <t>https://community.secop.gov.co/Public/Tendering/OpportunityDetail/Index?noticeUID=CO1.NTC.4622280&amp;isFromPublicArea=True&amp;isModal=true&amp;asPopupView=true</t>
  </si>
  <si>
    <t>ODC-VIN-0057-2023</t>
  </si>
  <si>
    <t>COMPRA DE EQUIPOS DE LABORATORIO EN MARCO DE LOS INCENTIVOS OTORGADOS A INVESTIGADORAS E INVESTIGADORES Y GRUPOS DE INVESTIGACIÓN POR SU CATEGORIZACIÓN EN EL SISTEMA NACIONAL DE CIENCIA TECNOLOGÍA E INNOVACIÓN</t>
  </si>
  <si>
    <t>JUDITH MARGARITA BARROS GOMEZ</t>
  </si>
  <si>
    <t>https://community.secop.gov.co/Public/Tendering/OpportunityDetail/Index?noticeUID=CO1.NTC.4622442&amp;isFromPublicArea=True&amp;isModal=true&amp;asPopupView=true</t>
  </si>
  <si>
    <t>ODC-VIN-0058-2023</t>
  </si>
  <si>
    <t>COMPRA DE DOS CÁMARAS GO PRO HERO 9  HOUSING GENÉRICO EN MARCO DEL PROYECTO DE INVESTIGACIÓN GESTIÓN PARA LA CONSERVACIÓN DE LAS ESPECIES DE ACROPORA BASADA EN SU IMPORTANCIA COMO HÁBITAT PARA LA PESCA EN EL TRABAJO COMUNITARIO Y LA EDUCACIÓN</t>
  </si>
  <si>
    <t>https://community.secop.gov.co/Public/Tendering/OpportunityDetail/Index?noticeUID=CO1.NTC.4623312&amp;isFromPublicArea=True&amp;isModal=true&amp;asPopupView=true</t>
  </si>
  <si>
    <t>ODC-VIN-0059-2023</t>
  </si>
  <si>
    <t>COMPRA DE EQUIPOS TECNOLOGICOS EN MARCO DEL PROYECTO GESTIÓN PARA LA CONSERVACIÓN DE LAS ESPECIES DE ACROPORA BASADA EN SU IMPORTANCIA COMO HÁBITAT PARA LA PESCA, EN EL TRABAJO COMUNITARIO Y LA EDUCACIÓN</t>
  </si>
  <si>
    <t xml:space="preserve">ROCÍO DEL PILAR GARCÍA URUEÑA </t>
  </si>
  <si>
    <t>https://community.secop.gov.co/Public/Tendering/OpportunityDetail/Index?noticeUID=CO1.NTC.4624778&amp;isFromPublicArea=True&amp;isModal=true&amp;asPopupView=true</t>
  </si>
  <si>
    <t>ODC-VIN-0060-2023</t>
  </si>
  <si>
    <t>TECNOLOGIAS GENETICAS LTDA</t>
  </si>
  <si>
    <t>https://community.secop.gov.co/Public/Tendering/OpportunityDetail/Index?noticeUID=CO1.NTC.4640971&amp;isFromPublicArea=True&amp;isModal=true&amp;asPopupView=true</t>
  </si>
  <si>
    <t>ODC-VIN-0061-2023</t>
  </si>
  <si>
    <t>APP MACHINES SAS</t>
  </si>
  <si>
    <t>COMPRA DE UNA MÁQUINA DE CORTE DE PRECISIÓN Y DOS DISCOS DE CORTE DIAMANTADO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</si>
  <si>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https://community.secop.gov.co/Public/Tendering/OpportunityDetail/Index?noticeUID=CO1.NTC.4702670&amp;isFromPublicArea=True&amp;isModal=true&amp;asPopupView=true</t>
  </si>
  <si>
    <t>ODC-VIN-0062-2023</t>
  </si>
  <si>
    <t>COMPRA DE INSUMOS DE LABORATORIO EN MARCO DEL PROYECTO DE INVESTIGACIÓN IMPACTO DE CULTIVOS INTERCALADOS SOBRE LA DINÁMICA SANITARIA Y LA SOSTENIBILIDAD PRODUCTIVA Y AMBIENTAL DE MANGO MANGIFERA INDICA CULTIVAR AZÚCAR EN EL DEPARTAMENTO DEL MAGDALENA COLOMBIA</t>
  </si>
  <si>
    <t>https://community.secop.gov.co/Public/Tendering/OpportunityDetail/Index?noticeUID=CO1.NTC.4710208&amp;isFromPublicArea=True&amp;isModal=true&amp;asPopupView=true</t>
  </si>
  <si>
    <t>ODC-VIN-0063-2023</t>
  </si>
  <si>
    <t>COMPRA DE COMPUTADOR DE BUCEO UN CHALECO DE BUCEO Y ACCESORIOS DE BUCEO EN MARCO DEL PROYECTO DE INVESTIGACIÓN GESTIÓN PARA LA CONSERVACIÓN DE LAS ESPECIES DE ACROPORA BASADA EN SU IMPORTANCIA COMO HÁBITAT PARA LA PESCA EN
EL TRABAJO COMUNITARIO Y LA EDUCACIÓN</t>
  </si>
  <si>
    <t>https://community.secop.gov.co/Public/Tendering/OpportunityDetail/Index?noticeUID=CO1.NTC.4710219&amp;isFromPublicArea=True&amp;isModal=true&amp;asPopupView=true</t>
  </si>
  <si>
    <t>ODC-VIN-0064-2023</t>
  </si>
  <si>
    <t>COMPRA DE UN GPS PARA EL PROYECTO GESTIÓN PARA LA CONSERVACIÓN DE LAS ESPECIES DE ACROPORA BASADA EN SU IMPORTANCIA COMO HÁBITAT PARA LA PESCA EN EL TRABAJO COMUNITARIO Y LA EDUCACIÓN</t>
  </si>
  <si>
    <t>https://community.secop.gov.co/Public/Tendering/OpportunityDetail/Index?noticeUID=CO1.NTC.4716568&amp;isFromPublicArea=True&amp;isModal=true&amp;asPopupView=true</t>
  </si>
  <si>
    <t>ODC-VIN-0065-2023</t>
  </si>
  <si>
    <t>SUMINISTROS CLINICOS ISLA SAS</t>
  </si>
  <si>
    <t>COMPRA DE SUMINISTROS DE LABORATORIO EN MARCO DE PROYECTO DE INVESTIGACIÓN TITULADO DIVERSIDAD DE INSECTOS Y VERTEBRADOS, BIOSONIDOS Y ETNOBIOLOGÍA EN LAS VERTIENTES NORTE Y OCCIDENTAL DE LA SIERRA NEVADA DE SANTA MARTA</t>
  </si>
  <si>
    <t>https://community.secop.gov.co/Public/Tendering/OpportunityDetail/Index?noticeUID=CO1.NTC.4722782&amp;isFromPublicArea=True&amp;isModal=true&amp;asPopupView=true</t>
  </si>
  <si>
    <t>ODC-VIN-0066-2023</t>
  </si>
  <si>
    <t>COMPRA DE INSUMOS DE LABORATORIO NECESARIOS PARA DESARROLLAR ACTIVIDADES INVESTIGATIVAS EN EL MARCO DEL PROYECTO FISIOLOGÍA ENERGÉTICA DEL ERIZO BLANCO, TRIPNEUSTES VENTRICOSUS  EXPUESTO A DIFERENTES CONDICIONES DE CALIDAD DE ALIMENTO Y AGUA UNA BASE PARA SU USO EN ACUICULTURA Y OTRAS APLICACIONES ECOLÓGICAS</t>
  </si>
  <si>
    <t>https://community.secop.gov.co/Public/Tendering/OpportunityDetail/Index?noticeUID=CO1.NTC.4723220&amp;isFromPublicArea=True&amp;isModal=true&amp;asPopupView=true</t>
  </si>
  <si>
    <t>ODC-VIN-0067-2023</t>
  </si>
  <si>
    <t xml:space="preserve">COMPRA DE EQUIPOS DE COMPUTO EN MARCO DEL PROYECTO DE INVESTIGACIÓN LOS DERECHOS HUMANOS LABORALES EN LA JURISPRUDENCIA DE LA CORTE INTERAMERICANA DE DERECHOS HUMANOS. UNA PROPUESTA PARA LA GARANTÍA DE LOS DERECHOS DE LA GENTE DE MAR ANTE EL SISTEMA INTERAMERICANO DE DERECHOS HUMANOS </t>
  </si>
  <si>
    <t>https://community.secop.gov.co/Public/Tendering/OpportunityDetail/Index?noticeUID=CO1.NTC.4723337&amp;isFromPublicArea=True&amp;isModal=true&amp;asPopupView=true</t>
  </si>
  <si>
    <t>ODC-VIN-0068-2023</t>
  </si>
  <si>
    <t>A.R.C. ANALISIS SAS</t>
  </si>
  <si>
    <t>COMPRA DE INSUMOS DE LABORATORIO EN MARCO DEL PROYECTO DE INVESTIGACIÓN EXTERNO DIVERSIDAD DE INSECTOS Y VERTEBRADOS BIOSONIDOS Y ETNOBIOLOGÍA EN LAS VERTIENTES NORTE Y OCCIDENTAL DE LA SIERRA NEVADA DE SANTA MARTA</t>
  </si>
  <si>
    <t>https://community.secop.gov.co/Public/Tendering/OpportunityDetail/Index?noticeUID=CO1.NTC.4723480&amp;isFromPublicArea=True&amp;isModal=true&amp;asPopupView=true</t>
  </si>
  <si>
    <t>ODC-VIN-0069-2023</t>
  </si>
  <si>
    <t>ELECTRONICA I+D SAS</t>
  </si>
  <si>
    <t>COMPRA DE INSTRUMENTO ELECTRÓNICO EN MARCO DE LOS INCENTIVOS OTORGADOS A INVESTIGADORAS E INVESTIGADORES Y GRUPOS DE INVESTIGACIÓN POR SU CATEGORIZACIÓN EN EL SISTEMA NACIONAL DE CIENCIA, TECNOLOGÍA E INNOVACIÓN</t>
  </si>
  <si>
    <t>https://community.secop.gov.co/Public/Tendering/OpportunityDetail/Index?noticeUID=CO1.NTC.4728534&amp;isFromPublicArea=True&amp;isModal=true&amp;asPopupView=true</t>
  </si>
  <si>
    <t>ODC-VIN-0070-2023</t>
  </si>
  <si>
    <t>COMPRA DE UNA CÁMARA EN MARCO DE LOS INCENTIVOS OTORGADOS POR SU CATEGORIZACIÓN EN EL SISTEMA NACIONAL DE CIENCIA TECNOLOGÍA E INNOVACIÓN</t>
  </si>
  <si>
    <t>https://community.secop.gov.co/Public/Tendering/OpportunityDetail/Index?noticeUID=CO1.NTC.4728732&amp;isFromPublicArea=True&amp;isModal=true&amp;asPopupView=true</t>
  </si>
  <si>
    <t>ODC-VIN-0071-2023</t>
  </si>
  <si>
    <t>COMPRA DE UNA CÁMARA DIGITAL UN GPS Y CUATRO KIT DE PINZAS ENTOMOLOGICAS PARA DESARROLLAR ACTIVIDADES INVESTIGATIVAS EN EL MARCO DEL PROYECTO DIVERSIDAD TAXONÓMICA Y FUNCIONAL DE HORMIGAS ASOCIADAS A LA HOJARASCA EN ECOSISTEMAS AMENAZADOS DE BOSQUES SECO TROPICAL EN LOS MONTES DE MARÍA Y SERRANÍA DE PIOJÓ CARIBE COLOMBIANO</t>
  </si>
  <si>
    <t>https://community.secop.gov.co/Public/Tendering/OpportunityDetail/Index?noticeUID=CO1.NTC.4732242&amp;isFromPublicArea=True&amp;isModal=true&amp;asPopupView=true</t>
  </si>
  <si>
    <t>ODC-VIN-0072-2023</t>
  </si>
  <si>
    <t xml:space="preserve">COMPRA DE BOMBAS EN MARCO DE LOS INCENTIVOS OTORGADOS A INVESTIGADORAS E INVESTIGADORES Y GRUPOS DE INVESTIGACIÓN POR SU CATEGORIZACIÓN EN EL SISTEMA NACIONAL DE CIENCIA TECNOLOGÍA E INNOVACIÓN </t>
  </si>
  <si>
    <t>https://community.secop.gov.co/Public/Tendering/OpportunityDetail/Index?noticeUID=CO1.NTC.4732412&amp;isFromPublicArea=True&amp;isModal=true&amp;asPopupView=true</t>
  </si>
  <si>
    <t>ODC-VIN-0073-2023</t>
  </si>
  <si>
    <t>COMPRA DE INSUMOS ELECTRICOS EN MARCO DEL PROYECTO DE INVESTIGACIÓN PROTOTIPO PARA CONTROLAR LA MADURACIÓN DE LAS FRUTAS CLIMATÉRICAS EN FASE DE POSCOSECHA POR MEDIO DE ATMÓSFERA MODIFICADA</t>
  </si>
  <si>
    <t>https://community.secop.gov.co/Public/Tendering/OpportunityDetail/Index?noticeUID=CO1.NTC.4751223&amp;isFromPublicArea=True&amp;isModal=true&amp;asPopupView=true</t>
  </si>
  <si>
    <t>ODC-VIN-0074-2023</t>
  </si>
  <si>
    <t>LUMEN MARKET SAS</t>
  </si>
  <si>
    <t>COMPRA DE EQUIPO FOTOGRAFICO EN MARCO DEL PROYECTO DE INVESTIGACIÓN CARACTERIZACIÓN DE LAS INICIATIVAS DE TURISMO COMUNITARIO EN EL CORREDOR CAFETERO DE LA SIERRA NEVADA DE SANTA MARTA DEPARTAMENTO DEL MAGDALENA</t>
  </si>
  <si>
    <t>https://community.secop.gov.co/Public/Tendering/OpportunityDetail/Index?noticeUID=CO1.NTC.4751242&amp;isFromPublicArea=True&amp;isModal=true&amp;asPopupView=true</t>
  </si>
  <si>
    <t>ODC-VIN-0075-2023</t>
  </si>
  <si>
    <t>SURGENOMA S.A.S.</t>
  </si>
  <si>
    <t>COMPRA DE REACTIVOS DE LABORATORIO NECESARIOS PARA EL FUNCIONAMIENTO DEL CENTRO DE GENÉTICA Y BIOLOGÍA MOLECULAR DE LA UNIVERSIDAD DEL MAGDALENA</t>
  </si>
  <si>
    <t>https://community.secop.gov.co/Public/Tendering/OpportunityDetail/Index?noticeUID=CO1.NTC.4757164&amp;isFromPublicArea=True&amp;isModal=true&amp;asPopupView=true</t>
  </si>
  <si>
    <t>ODC-VIN-0076-2023</t>
  </si>
  <si>
    <t>COMPRA DE REACTIVOS E INSUMOS NECESARIOS PARA DESARROLLAR ACTIVIDADES INVESTIGATIVAS EN EL MARCO DEL PROYECTO DENOMINADO ACTIVIDAD BIOLÓGICA Y CARACTERIZACIÓN QUÍMICA DE LAS SAPONINAS DEL PEPINO DE MARISOSTICHOPUSSP</t>
  </si>
  <si>
    <t>https://community.secop.gov.co/Public/Tendering/OpportunityDetail/Index?noticeUID=CO1.NTC.4757545&amp;isFromPublicArea=True&amp;isModal=true&amp;asPopupView=true</t>
  </si>
  <si>
    <t>ODC-VIN-0077-2023</t>
  </si>
  <si>
    <t>COMPRA DE UN COMPUTADOR PORTATIL EN MARCO DE LOS INCENTIVOS OTORGADOS A INVESTIGADORAS E INVESTIGADORES Y GRUPOS DE INVESTIGACIÓN POR SU CATEGORIZACIÓN EN EL SISTEMA NACIONAL DE CIENCIA TECNOLOGÍA E INNOVACIÓN</t>
  </si>
  <si>
    <t>https://community.secop.gov.co/Public/Tendering/OpportunityDetail/Index?noticeUID=CO1.NTC.4757565&amp;isFromPublicArea=True&amp;isModal=true&amp;asPopupView=true</t>
  </si>
  <si>
    <t>ODC-VIN-0078-2023</t>
  </si>
  <si>
    <t>COMPRA DE TARJETA GRÁFICA CÁMARA GRUP LICENCIA ESCRITORIO Y ESTANTE DE LIBRO EN MARCO DEL INCENTIVO OTORGADO A INVESTIGADORAS E INVESTIGADORES Y GRUPOS DE INVESTIGACIÓN POR SU CATEGORIZACIÓN EN EL SISTEMA NACIONAL DE CIENCIA TECNOLOGÍA E INNOVACIÓN</t>
  </si>
  <si>
    <t>https://community.secop.gov.co/Public/Tendering/OpportunityDetail/Index?noticeUID=CO1.NTC.4762709&amp;isFromPublicArea=True&amp;isModal=true&amp;asPopupView=true</t>
  </si>
  <si>
    <t>ODC-VIN-0079-2023</t>
  </si>
  <si>
    <t>COMPRA DE UN COMPUTAR Y UNA MEMORIA PORTATIL EN MARCO DE LOS INCENTIVOS OTORGADO A INVESTIGADORAS E INVESTIGADORES Y GRUPOS DE INVESTIGACIÓN POR SU CATEGORIZACIÓN EN EL SISTEMA NACIONAL DE CIENCIA TECNOLOGÍA E INNOVACIÓN</t>
  </si>
  <si>
    <t>https://community.secop.gov.co/Public/Tendering/OpportunityDetail/Index?noticeUID=CO1.NTC.4762711&amp;isFromPublicArea=True&amp;isModal=true&amp;asPopupView=true</t>
  </si>
  <si>
    <t>ODC-VIN-0080-2023</t>
  </si>
  <si>
    <t>CARLOS ANTONIO MOSCARELLA DE LA ROSA</t>
  </si>
  <si>
    <t>COMPRA DE UTENSILIOS DE COCINA EN MARCO DEL PROYECTO DE INVESTIGACIÓN DESARROLLO DE FORMULACIONES NUTRICIONALES DE ENGORDE PARA CAMARÓN BLANCO EN LOS DEPARTAMENTOS ATLÁNTICO Y MAGDALENA</t>
  </si>
  <si>
    <t>https://community.secop.gov.co/Public/Tendering/OpportunityDetail/Index?noticeUID=CO1.NTC.4762396&amp;isFromPublicArea=True&amp;isModal=true&amp;asPopupView=true</t>
  </si>
  <si>
    <t>ODC-VIN-0081-2023</t>
  </si>
  <si>
    <t>COMPRA DE MATERIALES DE LABORATORIO EN MARCO DEL PROYECTO DE INVESTIGACIÓN ESTADO DE CONSERVACIÓN USO Y GOBERNANZA DE LOS RECURSOS NATURALES EN LA CIÉNAGA DE LA RINCONADA</t>
  </si>
  <si>
    <t>https://community.secop.gov.co/Public/Tendering/OpportunityDetail/Index?noticeUID=CO1.NTC.4762714&amp;isFromPublicArea=True&amp;isModal=true&amp;asPopupView=true</t>
  </si>
  <si>
    <t>ODC-VIN-0082-2023</t>
  </si>
  <si>
    <t>COMPRA DE MATERIALES E INSUMOS DE LABORATORIO EN MARCO DEL PROYECTO DE INVESTIGACIÓN ESTADO DE CONSERVACIÓN USO Y GOBERNANZA DE LOS RECURSOS NATURALES EN LA CIÉNAGA DE LA RINCONADA</t>
  </si>
  <si>
    <t>https://community.secop.gov.co/Public/Tendering/OpportunityDetail/Index?noticeUID=CO1.NTC.4762907&amp;isFromPublicArea=True&amp;isModal=true&amp;asPopupView=true</t>
  </si>
  <si>
    <t>ODC-VIN-0083-2023</t>
  </si>
  <si>
    <t>BIOEQUIPOS ENTOMOLOGICOS SAS</t>
  </si>
  <si>
    <t>COMPRA DE ARTICULOS DE LABORATORIO EN MARCO DE LOS INCENTIVOS OTORGADOS A INVESTIGADORAS E INVESTIGADORES Y GRUPOS DE INVESTIGACIÓN POR SU CATEGORIZACIÓN EN EL SISTEMA NACIONAL DE CIENCIA TECNOLOGÍA E INNOVACIÓN</t>
  </si>
  <si>
    <t>https://community.secop.gov.co/Public/Tendering/OpportunityDetail/Index?noticeUID=CO1.NTC.4769911&amp;isFromPublicArea=True&amp;isModal=true&amp;asPopupView=true</t>
  </si>
  <si>
    <t>OSM-VIN-0001-2023</t>
  </si>
  <si>
    <t>SUMINISTRO DE ALMUERZOS O CENA TIPO BUFET ALMUERZOS TIPO EJECUTIVO PRODUCTOS HORNEADOS Y BEBIDAS REQUERIDOS EN MARCO DE LOS EVENTOS REALIZADOS O APOYADOS POR LA VICERRECTORÍA DE INVESTIGACIÓN DESDE LA DIRECCIÓN DE TRANSFERENCIA DE CONOCIMIENTO Y PROPIEDAD INTELECTUAL.</t>
  </si>
  <si>
    <t>JORGE LUIS REYES 
CARREÑO</t>
  </si>
  <si>
    <t>https://community.secop.gov.co/Public/Tendering/OpportunityDetail/Index?noticeUID=CO1.NTC.4099367&amp;isFromPublicArea=True&amp;isModal=true&amp;asPopupView=true</t>
  </si>
  <si>
    <t>OSM-VIN-0002-2023</t>
  </si>
  <si>
    <t>VIAJES Y TURISMO MUNDIALES LTDA.</t>
  </si>
  <si>
    <t>SUMINISTRO DE TIQUETES AÉREOS NACIONALES E INTERNACIONALES PARA FUNCIONARIOS DOCENTES CONTRATISTAS INVITADOS EGRESADOS Y ESTUDIANTES DE LA UNIVERSIDAD DEL MAGDALENA EN MARCO A LOS OBJETIVOS MISIONALES DE LA VICERRECTORÍA DE INVESTIGACIÓN</t>
  </si>
  <si>
    <t>https://community.secop.gov.co/Public/Tendering/OpportunityDetail/Index?noticeUID=CO1.NTC.4151899&amp;isFromPublicArea=True&amp;isModal=true&amp;asPopupView=true</t>
  </si>
  <si>
    <t>OSM-VIN-0003-2023</t>
  </si>
  <si>
    <t xml:space="preserve">ISAI  PLATA </t>
  </si>
  <si>
    <t>SUMINISTRO DE IMPRESIÓN DE POSTERS ESTANDARTES PENDONES AFICHES PLEGABLES CERTIFICADOS PASACALLES Y DEMÁS MATERIAL GRÁFICO Y PUBLICITARIO PARA EL APOYO DE LA VICERRECTORÍA DE INVESTIGACIÓN A LA DIVULGACIÓN Y TRANSFERENCIA DE CONOCIMIENTO TECNOLOGÍA ARTE Y CULTURA A EL DESARROLLO DE EVENTOS DE LA VICERRECTORÍA DE INVESTIGACIÓN Y LA DIRECCIÓN DE TRANSFERENCIA DE CONOCIMIENTO Y PROPIEDAD INTELECTUAL</t>
  </si>
  <si>
    <t>https://community.secop.gov.co/Public/Tendering/OpportunityDetail/Index?noticeUID=CO1.NTC.4297836&amp;isFromPublicArea=True&amp;isModal=true&amp;asPopupView=true</t>
  </si>
  <si>
    <t>OSM-VIN-0004-2023</t>
  </si>
  <si>
    <t>KATHY ALEJANDRA SEGRERA ZAPATA</t>
  </si>
  <si>
    <t>SUMINISTRO DEL MOBILIARIO REQUERIDO PARA LOS DIFERENTES ESPACIOS DE DIVULGACIÓN Y TRANSFERENCIA DE CONOCIMIENTO TECNOLOGÍA ARTE Y CULTURA QUE REALICE LA UNIVERSIDAD DEL MAGDALENA</t>
  </si>
  <si>
    <t>https://community.secop.gov.co/Public/Tendering/OpportunityDetail/Index?noticeUID=CO1.NTC.4310085&amp;isFromPublicArea=True&amp;isModal=true&amp;asPopupView=true</t>
  </si>
  <si>
    <t>OSM-VIN-0005-2023</t>
  </si>
  <si>
    <t xml:space="preserve">OXIMED - MEISER S.A.S.  </t>
  </si>
  <si>
    <t>SUMINISTRO DE 336 LITROS DE NITROGENO LIQUIDO PARA REALIZAR LA CONSERVACIÓN DE MUESTRAS ENTOMOLÓGICAS COLECTADAS EN FASE DE CAMPO Y LABORATORIO EN LA EJECUCIÓN DEL PROYECTO DE INVESTIGACIÓN EVALUACIÓN DE LA DINÁMICA ESPACIO TEMPORAL DE LA COMUNIDAD DE MOSCAS DE IMPORTANCIA MÉDICO-SANITARIA Y CARACTERIZACIÓN METAGENÓMICA DE LOS PATÓGENOS ASOCIADOS EN DESTINOS TURÍSTICOS DE SANTA MARTA</t>
  </si>
  <si>
    <t>MARIA TERESA MOJICA</t>
  </si>
  <si>
    <t>https://community.secop.gov.co/Public/Tendering/OpportunityDetail/Index?noticeUID=CO1.NTC.4770307&amp;isFromPublicArea=True&amp;isModal=False</t>
  </si>
  <si>
    <t>OPSP-CPF-001</t>
  </si>
  <si>
    <t>ANDRES ALBERTO SANCHEZ LARA</t>
  </si>
  <si>
    <t>APOYAR EN LOS ASPECTOS LEGALES DE LA EJECUCION DE LOS PROYECTOS DE REGALIAS EJECUTADAS POR EL CENTRO DE POSGRADOS, ASESORAR JURIDICAMENTE EN LA ELABORACION DE CONVENIOS PARA LA VENTA DE SERVICIOS ACADEMICOS DEL CENTRO, PRESTAR ASESORIA Y ELABORAR LOS MODELOS DE LOS ACUERDOS ACADEMICOS EN LA CREACION DE LOS NUEVOS PROGRAMAS DE POSTGRADOS, PRESTAR ASESORIA JURIDICA AL CENTRO DE POSTGRADOS, REVISAR Y/O CORREGIR LAS RESOLUCIONES ELABORADAS EN EL CENTRO DE POSTGRADOS, REVISAR Y/O CORREGIR LAS ORDENES DE SERVICIOS PROFESIONALES ELABORADAS POR LA DEPENDENCIA, REVISAR Y/O CORREGIR LAS ORDENES DE COMPRA ELABORADAS EN EL CENTRO DE POSTGRADOS, COMPILAR Y ACTUALIZAR LAS NORMAS LEGALES, DE JURISPRUDENCIA DOCTRINA Y DE LOS CONCEPTOS QUE TENGAN RELACION CON EL AMBITO DE COMPETENCIA DEL CENTRO, RENDIR INFORMES MENSUALES, SOBRE LAS ACTIVIDADES DESARROLLADAS, EN CUMPLIMIENTO DE LA PRESENTE ORDEN DE PRESTACION DE SERVICIOS, CUMPLIR CON LOS PROCEDIMIENTOS DEL PROCESO DE GESTION DE LA CONTRATACION DEL SISTEMA INTEGRAL DE LA CALIDAD "COGUI",  VERIFICAR QUE LOS CONTRATISTAS APORTEN LAS HOJAS DE VIDA DE LA FUNCION PUBLICA Y DOCUMENTO SOPORTES, TENIENDO EN CUENTA LAS DIRECTRICES DADAS POR EL GRUPO DE CONTRATACION DE LA INSTITUCION, REVISAR EN LOS CONVENIOS QUE HA ESTABLECIDO EL CENTRO DE POSTGRADOS Y FORMACION CONTINUA, LA VIGENCIA Y PRORROGA DE LOS MISMOS, PROYECTAR LAS RESPUESTAS DE LOS DERECHOS DE PETICION Y TUTELAS, ELABORAR Y REVISAR LOS CONTRATOS DE CATEDRA, ORDENES DE PRESTACION DE SERVICIOS PROFESIONALES Y DE APOYO A LA GESTION, RESOLUCIONES DE PAGO Y REEMBOLSO, CONVENIOS Y DEMAS ACTOS ADMINISTRATIVOS QUE SE GENEREN, ABSOLVER CONSULTAS DE TIPO JURIDICO, REPRESENTAR JURIDICAMENTE A LA INSTITUCION EN LOS PROCESOS JUDICIALES Y/O ADMINISTRATIVOS QUE SE REQUIERAN, ELABORAR Y REVISAR LOS PROYECTOS DE RESOLUCION PARA LA FIRMA DEL DIRECTOR, REVISAR Y APOYAR EN LA ELABORACION DE CONVENIOS INTERINSTITUCIONALES, REVISAR Y APROBAR DOCUMENTACION EN GEDOCO</t>
  </si>
  <si>
    <t>JUANA MARIN PINEDA</t>
  </si>
  <si>
    <t>https://community.secop.gov.co/Public/Tendering/OpportunityDetail/Index?noticeUID=CO1.NTC.3869667&amp;isFromPublicArea=True&amp;isModal=False</t>
  </si>
  <si>
    <t>OPSP-CPF-002</t>
  </si>
  <si>
    <t>LUCY RAQUEL GRACIA GAMARRA</t>
  </si>
  <si>
    <t>APOYAR LA ORGANIZACION Y CARGUE DE LA INFORMACION DE CONTRATOS EN LA PLATAFORMA GEDOCO, APOYAR EN EL CARGUE DE INFORMACION DE CONTRATOS EN LA PLATAFORMA SIAOBSERVA, REALIZAR Y RENDIR INFORMES CONSERNIENTES A PLATAFORMA SIAOBSERVA, ASESORAR LA ORGANIZACION Y LOGISTICA DE LAS ACTIVIDADES RELACIONADAS CON LOS PROCESOS PARA EL FUNCIONAMIENTO DEL CENTRO DE POSTGRADOS Y FORMACION CONTINUA EN LOS PROCESOS DE CALIDAD, ASESORAR EN LA ORGANIZACION E IMPLEMENTACION EL MANUAL DE PROCESOS Y PROCEDIMIENTOS, REALIZAR LA REORGANIZACION DE LOS PROCESOS DE LOS PROGRAMAS DEL CENTRO DE POSTGRADOS Y FORMACION CONTINUA, REVISAR LOS PRESUPUESTOS PRESENTADOS PARA LA APERTURA DE DIPLOMADOS DEL CENTRO DE POSTGRADOS Y FORMACION CONTINUA, PRESENTAR LOS INFORMES REQUERIDOS DE LA PLANEACION ESTRATEGICA DEL CENTRO DE POSTGRADOS Y FORMACION CONTINUA, REALIZAR, IMPLEMENTAR Y EVALUAR EL PLAN ESTRATEGICO DEL CENTRO DE POSTGRADOS Y FORMACION CONTINUA, APOYAR EN LA ACTUALIZACION DEL MANUAL NORMAS ACADEMICAS Y ADMINISTRATIVAS PARA LA CONVIVENCIA EN LOS PROGRAMAS DE POSGRADOS</t>
  </si>
  <si>
    <t>https://community.secop.gov.co/Public/Tendering/OpportunityDetail/Index?noticeUID=CO1.NTC.3869678&amp;isFromPublicArea=True&amp;isModal=False</t>
  </si>
  <si>
    <t>OAG-CPF-003</t>
  </si>
  <si>
    <t>MARGARITA CECILIA LABARCES ROBLES</t>
  </si>
  <si>
    <t>APOYAR EN LA ORGANIZACION DE LA DOCUMENTACION DE CONTRATACION 2023 Y ORGANIZACION DE LA DOCUMENTACION PARA PAGOS, APOYAR A LOS COORDINADORES Y DIRECTORES EN LA ELABORACION DE LA PROGRAMACION DE LOS ESPACIOS FISICOS PARA LAS CLASES DE DIPLOMADOS, ESPECIALIZACIONES Y MAESTRIAS DEL CENTRO DE POSTGRADOS Y FORMACION CONTINUA, APOYAR EN TODO LO RELACIONADO CON EL MANEJO DE EQUIPOS AUDIOVISUALES Y REQUERIMIENTOS DE CAFETERIA PARA LOS PROGRAMAS DEL CENTRO DE POSTGRADOS Y FORMACION CONTINUA, APOYAR EN LAS DECARGAS DE COMPROBANTES DE EGRESOS DEL SINAP, VERIFICAR LAS ADECUADAS CONDICIONES LOGISTICAS PARA EL DESARROLLO DE LAS ACTIVIDADES ACADEMICAS CONTEMPLADAS EN LA PROGRAMACION SEMANAL, APOYAR EN LA ACTUALIZACION DE TABLAS DOCUMENTALES DEL CENTRO DE POSTGRADOS</t>
  </si>
  <si>
    <t>https://community.secop.gov.co/Public/Tendering/OpportunityDetail/Index?noticeUID=CO1.NTC.3953953&amp;isFromPublicArea=True&amp;isModal=False</t>
  </si>
  <si>
    <t>OAG-CPF-004</t>
  </si>
  <si>
    <t>MERCEDES NOHEMY SANTRICH MANJARRES</t>
  </si>
  <si>
    <t>APOYAR EN LA CREACION DE CUENTAS EN EL SIGEP, APOYAR EN LA VERIFICACION DE LA DOCUMENTACION CONTRACTUAL DE LOS CONTRATISTAS DEL CENTRO DE POSTGRADOS Y FORMACION CONTINUA EN EL SIGEP, APOYAR EN LA APROBACION Y CARGUE DE CONTRATOS EN LA PLATAFORMA DE SIGEP II, APOYAR EN LA ORGANIZACION Y CARGUE DE LOS MICRODISEÑOS DE LOS PROGRAMAS DE POSTGRADOS EN LA PLATAFORMA VIRTUAL, APOYAR EN LOS PROCESOS DE ACREDITACION DE LOS PROGRAMAS EXISTENTES Y ELABORACION DE LOS NUEVOS PROGRAMAS DEL CENTRO DE POSTGRADOS Y FORMACION CONTINUA, APOYAR EN LA PRESENTACION LOS INFORMES REQUERIDOS DE LA PLANEACION ESTRATEGICA DEL CENTRO DE POSTGRADOS Y FORMACION CONTINUA, APOYAR ACTIVAMENTE EN LOS PROCESOS DE AUTOEVALUACION A LOS DIRECTORES DEL PROGRAMA O AL EQUIPO DESIGNADO PARA TAL FIN, APOYAR EN LA REALIZACION, IMPLEMENTACION Y EVALUACION DEL PLAN ESTRATEGICO DEL CENTRO DE POSTGRADOS Y FORMACION CONTINUA</t>
  </si>
  <si>
    <t>https://community.secop.gov.co/Public/Tendering/OpportunityDetail/Index?noticeUID=CO1.NTC.3871971&amp;isFromPublicArea=True&amp;isModal=False</t>
  </si>
  <si>
    <t>OPSP-CPF-005</t>
  </si>
  <si>
    <t>JAIME ALONSO BAENA FERNANDEZ</t>
  </si>
  <si>
    <t>APOYAR EN LA ORGANIZACION Y SEGUIMIENTO PRESUPUESTAL DEL CENTRO DE POSTGRADOS Y TODOS LOS PROGRAMAS DE POSTGRADOS DE LA UNIVERSIDAD DEL MAGDALENA, APOYO AL AREA FINANCIERA DEL CENTRO DE POSTGRADOS Y FORMACION CONTINUA DE LA UNIVERSIDAD DEL MAGDALENA, APOYAR EN LA CONTRATACION DEL CENTRO DE POSTGRADOS, APOYAR EN LA ELABORACION Y RENDICION DE INFORMES PRESUPUESTALES, APOYAR EN LA VALIDACION Y ELABORACION DE PRESUPUESTOS, APOYAR EN LA GENERACION Y PRESENTACION DE INFORMES DE CONTRATACION, APOYAR EN LOS PROYECTOS Y CONVENIOS INTERINSTITUCIONALES PARA VENTA DE SERVICIO, APOYAR EN EL CARGE DE LA INFORMACION DEL PLAN DE ACCION DEL CENTRO DE POSTGRADOS EN LA PLATAFORMA SISPLAN, APOYAR EN LA ELABORACION Y RENDICION DE INFORMES RELACIONADOS CON LA INFORMACION CARGADA EN SISPLAN DEL PLAN DE ACCION DEL CENTRO DE POSTGRADOS</t>
  </si>
  <si>
    <t>https://community.secop.gov.co/Public/Tendering/OpportunityDetail/Index?noticeUID=CO1.NTC.3872022&amp;isFromPublicArea=True&amp;isModal=Fals</t>
  </si>
  <si>
    <t>OPSP-CPF-006</t>
  </si>
  <si>
    <t>ASESORAR EN LOS PROCESOS DE CREACION DE NUEVOS PROGRAMAS VIRTUALES DEL CENTRO DE POSTGRADOS Y FORMACION CONTINUA (MAESTRIA EN GESTION DEL TURISMO SOSTENIBLE) EN ARTICULACION CON LA OFICINA DE ASEGURAMIENTO DE LA CALIDAD, APOYAR EN LOS PROCESOS DE CARGUE Y REVISION DE LOS DOCUMENTOS NECESARIOS PARA LA SOLICITUD DE LOS REGISTROS CALIFICADOS NUEVOS (MAESTRIA EN GESTION HOSPITALARIA DE LA FACULTAD CIENCIAS DE LA SALUD) Y LAS RENOVACIONES DE PROGRAMAS, REALIZAR LA REVISION DE ESTILO, GRAMATICA Y REDACCION DE LOS DOCUMENTOS PARA SOLICITUD DE REGISTRO CALIFICADO, ORGANIZAR LAS EVIDENCIAS, ANEXOS TECNICOS Y DEMAS DOCUMENTOS QUE REQUIERA LA PLATAFORMA SACES, PARA OBTENCION DE REGISTROS CALIFICADOS, SEGUIMIENTO Y CONTROL A LOS PROGRAMAS PARA SOLICITUD DE REGISTRO CALIFICADO EN ARTICULACION CON LA OFICINA DE ASEGURAMIENTO DE LA CALIDAD, APOYAR EN LAS SOLICITUDES DE RENOVACION DE REGISTRO CALIFICADOS DE LOS PROGRAMAS ACTIVOS DEL CENTRO DE POSGRADOS Y FORMACION CONTINUA, APOYAR EN LA RECOPILACION DE INFORMACION PARA LA CREACION DE NUEVOS PROGRAMAS (CONSULTA A PAGINAS DEL GOBIERNO NACIONAL, PLANES DE GOBIERNO, PLANES DE ACCION, SNIES, OBSERVATORIO LABORAL ETC), PRESENTAR INFORMES MENSUALES DEL AVANCE DE LA CREACION DE LOS PROGRAMAS ASIGNADOS, ASISTIR A TODAS LAS REUNIONES PROGRAMADAS POR LA OFICINA DE ASEGURAMIENTO DE LA CALIDAD, LAS FACULTADES Y EL MINISTERIO DE EDUCACION CORRESPONDIENTE A CAPACITACIONES Y SOCIALIZACIONES CON RESPECTO A LA NORMATIVIDAD VIGENTE</t>
  </si>
  <si>
    <t>https://community.secop.gov.co/Public/Tendering/OpportunityDetail/Index?noticeUID=CO1.NTC.3870156&amp;isFromPublicArea=True&amp;isModal=False</t>
  </si>
  <si>
    <t>OPSP-CPF-007</t>
  </si>
  <si>
    <t>APOYAR AL CENTRO DE POSGRADOS Y FORMACION CONTINUA EN ARTICULACION CON LA OFICINA DE ASEGURAMIENTO DE LA CALIDAD Y LAS FACULTADES LOS PROCESOS DE AUTOEVALUACION, MODIFICACION Y RENOVACION DE LOS REGISTROS CALIFICADOS DE LOS PROGRAMAS DE POSGRADOS DE LA FACULTAD DE HUMANIDADES, ESPECIALIZACION DE DERECHOS ADMINISTRATIVOS, APOYAR EN LOS PROCESOS DE CREACIÓN DE LOS PROGRAMAS NUEVOS DE DOCTORADO EN HUMANIDADES, APOYAR EN LA CREACIÓN DE PROGRAMA NUEVO EN LA MAESTRIA EN DERECHO PROCESAL Y JUSTICIA DIGITAL DE LA FACULTAD DE HUMANIDADES, APOYAR EN LA LOGÍSTICA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</si>
  <si>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ROSANA MARGARITA LIZCANO OROZCO</t>
  </si>
  <si>
    <t>https://community.secop.gov.co/Public/Tendering/OpportunityDetail/Index?noticeUID=CO1.NTC.3885910&amp;isFromPublicArea=True&amp;isModal=False</t>
  </si>
  <si>
    <t>OPSP-CPF-008</t>
  </si>
  <si>
    <t>DIANA PATRICIA LOBO OSORIO</t>
  </si>
  <si>
    <t>APOYAR EN LOS PROCESOS DE CONSTRUCCION DE LOS PROGRAMAS NUEVOS DE POSGRADOS MEDICO QUIRURGICAS (ESPECIALIZACION EN MEDICINA INTERNA Y MAESTRIA EN GESTION HOSPITALARIA), APOYO EN EL COMITE DE GESTION DE LA CALIDAD EN SALUD PARA LA HABILITACION DEL SISTEMA DE GESTION DE LA CALIDAD A LAS UNIDADES QUE PRESTAN SERVICIOS DE SALUD EN LA UNIVERSIDAD DEL MAGDALENA, LABORATORIO DE BIOLOGIA MOLECULAR, PROGRAMA DE ATENCION SICOLOGICA, SERVICIO DE BIENESTAR UNIVERSITARIO, CENTRO DE INNOVACION EN SALUD, Y DEMAS ACTIVIDADES DEL SISTEMA DE GESTION DE GARANTIA DE LA CALIDAD EN SERVICIOS DE SALUD DE LA UNIVERSIDAD DEL MAGDALENA, ASISTENCIA A LOS EVENTOS PROGRAMADOS POR LA RED COLOMBIANA DE POSGRADOS,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CREACION Y AUTOEVALUACION, CAPACITACIONES Y SOCIALIZACIONES CON RESPECTO A LA NORMATIVIDAD VIGENTE,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</si>
  <si>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ÁNGELA ROMERO CÁRDENAS</t>
  </si>
  <si>
    <t>OAG-CPF-009</t>
  </si>
  <si>
    <t>YADIRA MARIA CABAS AGUILAR</t>
  </si>
  <si>
    <t>APOYAR EN LA ORGANIZACION DE LOS ESPACIOS FISICOS DE LOS DIPLOMADOS, ESPECIALIZACIONES Y MAESTRIAS Y DOCTORADOS DEL CENTRO DE POSTGRADOS Y FORMACION CONTINUA, APOYO EN LA ATENCION DE LOS USUARIOS DEL CENTRO DE POSTGRADOS Y FORMACION CONTINUA, APOYAR EN LA REALIZACION DE LLAMADAS PARA LAS PERSONAS DE LAS BASES DE DATOS DE POSTGRADOS, APOYO LOGISTICO EN LOS EVENTOS Y SESIONES EDUCATIVAS REALIZADOS POR EL CENTRO DE POSTGRADOS Y FORMACION CONTINUA, SUMINISTRAR INFORMACION Y MOTIVAR A LOS ESTUDIANTES EN LOS ULTIMOS SEMESTRES DE LAS UNIVERSIDADES DE LA REGION, APOYAR EN LA ORGANIZACION DE LOS PROCESOS DE MERCADEO Y MARKETING</t>
  </si>
  <si>
    <t>https://community.secop.gov.co/Public/Tendering/OpportunityDetail/Index?noticeUID=CO1.NTC.3872030&amp;isFromPublicArea=True&amp;isModal=False</t>
  </si>
  <si>
    <t>OPSP-CPF-010</t>
  </si>
  <si>
    <t>SANDRA MARIA GAMARRA PINEDA</t>
  </si>
  <si>
    <t>APOYAR EN LA LOGISTICA DE LOS EVENTOS ACADÉMICOS, ACTIVIDADES DE AUTOEVALUACION Y PLANES DE MEJORAMIENTO DEL PROGRAMA DE POSGRADOS DE LA FACULTAD DE CIENCIAS DE LA EDUCACION, APOYAR AL CENTRO DE POSGRADOS Y FORMACION CONTINUA EN ARTICULACION CON LA OFICINA DE ASEGURAMIENTO DE LA CALIDAD LOS PROCESOS DE AUTOEVALUACION, MODIFICACION Y RENOVACION DE LOS REGISTROS CALIFICADOS DE LOS PROGRAMAS DE POSGRADOS DE LA FACULTAD DE CIENCIAS DE LA EDUCACION (MAESTRIA EN ENSEÑANZA DEL LENGUAJE Y LA LENGUA CASTELLANA, MAESTRIA EN ENSEÑANZA DE LAS MATEMATICAS, DOCTORADO EN CIENCIAS DE LA EDUCACION,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</si>
  <si>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JOSÉ MANUEL PACHECO RICAURTE</t>
  </si>
  <si>
    <t>https://community.secop.gov.co/Public/Tendering/OpportunityDetail/Index?noticeUID=CO1.NTC.3871983&amp;isFromPublicArea=True&amp;isModal=False</t>
  </si>
  <si>
    <t>OPSP-CPF-011</t>
  </si>
  <si>
    <t>CLAUDIA PATRICIA ILLIDGE BUITRAGO</t>
  </si>
  <si>
    <t>APOYAR EN LA REALIZACION DE VISITAS A EMPRESAS, INFORMANDO Y MOTIVANDO A ESTUDIANTES EN LOS ULTIMOS SEMESTRES DE LAS UNIVERSIDADES DE LA REGION Y PUBLICO EN GENERAL, APOYAR EN LAS ACTIVIDADES RELACIONADAS CON ESTABLECER RELACIONES Y CONVENIOS CON EMPRESAS DEL SECTOR PUBLICO Y SECTOR PRIVADO EN APOYO EN LA ELABORACION DE ESTO A TRAVES DE PLANIFICACION DE VISITAS COMERCIALES, SEGUIMIENTO Y CONTROL, APOYAR EN LOS PROCESOS DE CONSTRUCCION DE LOS PROGRAMAS DE POSGRADOS DE MAESTRIA Y DOCTORADOS,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</si>
  <si>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https://community.secop.gov.co/Public/Tendering/OpportunityDetail/Index?noticeUID=CO1.NTC.3873422&amp;isFromPublicArea=True&amp;isModal=False</t>
  </si>
  <si>
    <t>OPSP-CPF-012</t>
  </si>
  <si>
    <t>NATALIA CAMILA OSORIO MARIN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</si>
  <si>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(MAESTRIA EN ADMINISTRACION, ESPECIALIZACION EN GERENCIA DE MERCADEO, ESPECIALIZACION EN ALTA GERENCIA, ESPECIALIZACION EN FORMULACION Y GESTION INTEGRAL DE PROYECTOS,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</si>
  <si>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RAFAEL ROIMAN GARCIA LUNA</t>
  </si>
  <si>
    <t>https://community.secop.gov.co/Public/Tendering/OpportunityDetail/Index?noticeUID=CO1.NTC.3873426&amp;isFromPublicArea=True&amp;isModal=False</t>
  </si>
  <si>
    <t>OPSP-CPF-013</t>
  </si>
  <si>
    <t>GENITH ISABEL GARZON ALVAREZ</t>
  </si>
  <si>
    <t>APOYAR LOS TRABAJOS RELATIVOS A LA GESTORIA DE COBRANZA Y RECUPERACION DE CARTERA CONSISTENTES EN EL LEVANTAMIENTO, VERIFICACION, DEPURACION, CONSOLIDACION Y COBRO DE LAS OBLIGACIONES EN MORA DE LOS CREDITOS EDUCATIVOS QUE CONCEDE UNIMAGDALENA A LOS EDUCANDOS DEL CENTRO DE POSTGRADOS Y FORMACION CONTINUA SEGUN LAS CONDICIONES ESTABLECIDAS EN LA REGLAMENTACION DEL SISTEMA DE FINANCIACION DE MATRICULAS DE LA ALMA MATER, APOYAR EN LA ATENCION AL PUBLICO CON CARTERA MOROSA EN COBRO PRE JURIDICO Y/O JURIDICO, APOYAR EN LA ELABORACION DE VOLANTES DE CONSIGNACION PARA EL PAGO DE LAS CUOTAS MENSUALES (RECAUDO VIGENCIAS ANTERIORES), INTIMAR AL PAGO A LOS DEUDORES Y CODEUDORES MOROSOS, MEDIANTE LA ELABORACION Y ENVIO DE NOTIFICACIONES Y/O COMUNICACIONES A SU DOMICILIO REAL Y LABORAL, LLAMADAS TELEFONICAS, VISITAS PERSONALES Y CUALQUIER OTRO MEDIO EFICAZ PARA COMUNICAR AL DEUDOR Y CODEUDOR DE SU SITUACION; DE ESTAS ACTIVIDADES, SE LLEVARA UN CONTROL VERIFICABLE DE ESTAS ACTIVIDADES PREFERENCIALMENTE EN CUADROS DE EXCEL, ELABORAR Y VERIFICAR LA SUSCRIPCION DE LOS ACUERDOS DE PAGO QUE SE LOGRE CON LOS DEUDORES Y CODEUDORES Y HACERLE SEGUIMIENTO, ACTUALIZAR LOS DATOS DE CONTACTO DE LOS DEUDORES Y CODEUDORES QUE LOGRE CONSOLIDAR Y REPORTARLOS A UNIMAGDALENA, APOYAR EN LA EXPEDICION DE CERTIFICACIONES RELACIONADAS CON LAS OBLIGACIONES COBRADAS Y REQUERIDAS POR LOS DEUDORES Y/O CODEUDORES, DIAGNOSTICAR Y REPORTAR LOS CREDITOS QUE NO PUDO RECUPERAR, EJECUTAR LOS PROCEDIMIENTOS COGUI RELACIONADAS CON LAS ACTIVIDADES DESARROLLADAS, REALIZAR INFORMES DETALLADO DEL RESULTADO Y CONCLUSIONES DE LA COBRANZA REALIZADA, LOS CONVENIOS DE PAGO FIRMADOS Y LAS DEMANDAS PRESENTADAS, DONDE SE INCLUIRA UNA RELACION DE LOS TRAMITES ADELANTADOS INDICANDO EN QUE ESTADO SE ENCUENTRA CADA COBRO, CONVENIO O PROCESO PRESENTADO, APLICAR ENCUESTAS DE SATISFACCION, ORGANIZAR, RELACIONAR Y ENTREGAR PARA SU ARCHIVO TODA LA DOCUMENTACION QUE GENERE EL DESARROLLO DE SUS ACTIVIDADES PARA EL ARCHIVO DE GESTION</t>
  </si>
  <si>
    <t>https://community.secop.gov.co/Public/Tendering/OpportunityDetail/Index?noticeUID=CO1.NTC.3873430&amp;isFromPublicArea=True&amp;isModal=False</t>
  </si>
  <si>
    <t>OPSP-CPF-014</t>
  </si>
  <si>
    <t>MIGUEL ANTONIO SILVA ARRIETA</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</si>
  <si>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PSICOLOGIA CLINICA, JURIDICA Y FORENSE), APOYAR EN LA CREACION DE NUEVOS PROGRAMAS MEDICO - QUIRURGICAS EN ESPECILAIZACION EN GINECOLOGIA,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</si>
  <si>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https://community.secop.gov.co/Public/Tendering/OpportunityDetail/Index?noticeUID=CO1.NTC.3873577&amp;isFromPublicArea=True&amp;isModal=False</t>
  </si>
  <si>
    <t>OAG-CPF-015</t>
  </si>
  <si>
    <t>DARY LUZ FONTALVO MUÑOZ</t>
  </si>
  <si>
    <t>APOYAR EN LA ATENCION DE LOS USUARIOS DEL CENTRO DE POSTGRADOS Y FORMACION CONTINUA, APOYAR EN LA DIGITACION DE LA CONTRATACION DE AÑOS ANTERIORES PARA SER REPORTADA AL SISTEMA IMPLEMENTADO POR LA UNIVERSIDAD LLAMADO GEDOCO, APOYAR EN LA REALIZACION DE LLAMADAS A LAS PERSONAS DE LAS BASES DE DATOS DEL CENTRO DE POSTGRADOS, APOYAR EN LA LOGISTICA DE LOS EVENTOS VIRTUALES, PRESENCIALES Y SESIONES EDUCATIVAS REALIZADOS POR EL CENTRO DE POSTGRADOS Y FORMACION CONTINUA, APOYAR EN LA ENTREGA DE INFORMACION DE LA OFERTA ACADEMICA DEL CENTRO DE POSGRADOS Y MOTIVAR A LOS ESTUDIANTES EN LOS ULTIMOS SEMESTRES DE LAS UNIVERSIDADES DE LA REGION Y A NIVEL NACIONAL PARA QUE INGRESE A LOS POSGRADOS DE LA UNIVERSIDAD DEL MAGDALENA, APOYAR EN LA ORGANIZACION DE LOS PROCESOS DE MERCADEO Y MARKETING</t>
  </si>
  <si>
    <t>https://community.secop.gov.co/Public/Tendering/OpportunityDetail/Index?noticeUID=CO1.NTC.3929349&amp;isFromPublicArea=True&amp;isModal=False</t>
  </si>
  <si>
    <t>OPSP-CPF-016</t>
  </si>
  <si>
    <t>LUIS CARLOS MENDOZA BERMUDEZ</t>
  </si>
  <si>
    <t>APOYAR EN LOS PROCESOS DE CREACION DE LOS PROGRAMAS NUEVOS DE DOCTORADO DE LA FACULTAD EMPRESARIALES (DOCTORADO GESTION ECONOMIA Y DESARROLLO) DEL CENTRO DE POSGRADOS Y FORMACION CONTINUA, REALIZAR LA REVISION DE ESTILO, GRAMATICA Y REDACCION DE LOS DOCUMENTOS PARA SOLICITUD DE REGISTRO CALIFICADO, DESARROLLAR EN LAS PLANTILLAS DEFINIDAS POR EL MINISTERIO DE EDUCACION LA ESTRUCTURA DE LOS PROGRAMAS DE POSGRADOS A VIRTUALIZAR SEGUN LAS CONDICIONES DE CALIDAD DESCRITAS EN LA NORMATIVIDAD VIGENTE, APOYO EN LA ORGANIZACION DE LAS EVIDENCIAS Y ANEXOS TECNICOS PARA EL CARGUE DE LOS DOCUMENTOS EN EL SACES, APOYAR AL CENTRO DE POSGRADOS Y FORMACION CONTINUA EN ARTICULACION CON LA OFICINA DE ASEGURAMIENTO DE LA CALIDAD Y LAS FACULTADES LOS PROCESOS DE MODIFICACION Y RENOVACION DE LOS REGISTROS CALIFICADOS DE LOS PROGRAMAS DE POSGRADOS, ASISTIR A TODAS LAS REUNIONES PROGRAMADAS POR LA OFICINA DE ASEGURAMIENTO DE LA CALIDAD, LAS FACULTADES Y EL MINISTERIO DE EDUCACION CORRESPONDIENTE A CAPACITACIONES Y SOCIALIZACIONES CON RESPECTO A LA NORMATIVIDAD VIGENTE, ORGANIZAR LAS EVIDENCIAS Y DEMAS DOCUMENTOS QUE REQUIERAN LOS PROGRAMAS A VIRTUALIZAR PARA EL CARGUE EN EL APLICATIVO SACES DE LOS PROGRAMAS DE POSGRADOS ASIGNADOS (CONSULTA A PAGINAS DEL GOBIERNO NACIONAL, PLANES DE GOBIERNO, PLANES DE ACCION, SNIES, OBSERVATORIO LABORAL, NORMATIVIDAD INTERNA ETC), PRESENTAR INFORMES MENSUALES DEL AVANCE DE LA CREACION DE LOS PROGRAMAS ASIGNADOS</t>
  </si>
  <si>
    <t>https://community.secop.gov.co/Public/Tendering/OpportunityDetail/Index?noticeUID=CO1.NTC.3886025&amp;isFromPublicArea=True&amp;isModal=False</t>
  </si>
  <si>
    <t>OPSP-CPF-017</t>
  </si>
  <si>
    <t>BIATNETT ELIANA CAMPO HUGUETT</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</si>
  <si>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EN EPIDEMIOLOGIA),  APOYAR EN LA CREACION DE PROGRAMAS NUEVOS MEDICO – QUIRURGICAS EN ESPECIALIZACION EN CIRUGIA,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</si>
  <si>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https://community.secop.gov.co/Public/Tendering/OpportunityDetail/Index?noticeUID=CO1.NTC.3885860&amp;isFromPublicArea=True&amp;isModal=False</t>
  </si>
  <si>
    <t>OPSP-CPF-018</t>
  </si>
  <si>
    <t>JAVIER ALONSO MARTINEZ CUVIDES</t>
  </si>
  <si>
    <t>APOYAR EN LA FORMULACIÓN, PRESENTACION Y LEGALIZACION DE PROYECTOS DE REGALIAS QUE SE POSTULEN Y SE APRUEBEN POR MINCIENCIAS PARA SER SUPERVISADOS POR LA DIRECCION DEL CENTRO DE POSGRADOS Y FORMACION CONTINUA, 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CREACION DE NUEVOS PROGRAMAS DEL CENTRO DE POSGRADOS EN ARTICULACION CON LA OFICINA ASEGURAMIENTO DE LA CALIDAD, APOYO EN EL SEGUIMIENTO ADMINISTRATIVO Y FINANCIERO DEL PROYECTO BPIN 2019000100048 "FORMACION DE CAPITAL HUMANO DE ALTO NIVEL UNIVERSIDAD DEL MAGDALENA", CONVOCATORIA BECAS DE EXCELENCIA DOCTORADO DEL BICENTENARIO, APOYAR EN LA PRESENTACION DE INFORMES AL DNP Y OFICINA DE PLANEACION DE UNIMAGDALENA CON RESPECTO A LA EJECUCION MENSUAL DE LOS PROYECTOS A CARGO DEL CENTRO DE POSGRADOS Y FORMACION CONTINUA, APOYAR EN LA BUSQUEDA DE INFORMACION EN LAS PLATAFORMAS DEL OBSERVATORIO LABORAL, SNIES PARA LA CREACION DE NUEVOS PROGRAMAS DEL CENTRO DE POSGRADOS Y FORMACION CONTINUA, REVISAR EL ESTILO Y LA GRAMATICA DE LOS DOCUMENTOS, TABLAS, PLANTILLAS Y ANEXOS TECNICOS QUE REQUIERA EL MINISTERIO DE EDUCACION PARA LA RADICACION DE NUEVOS PROGRAMAS DE POSGRADOS</t>
  </si>
  <si>
    <t>ANETH RIVAS CASTRO</t>
  </si>
  <si>
    <t>https://community.secop.gov.co/Public/Tendering/OpportunityDetail/Index?noticeUID=CO1.NTC.3929482&amp;isFromPublicArea=True&amp;isModal=False</t>
  </si>
  <si>
    <t>OPSP-CPF-019</t>
  </si>
  <si>
    <t>ALBERTO EDUARDO DUARTE FLOREZ</t>
  </si>
  <si>
    <t>APOYAR EN EL SEGUIMIENTO ACADEMICO Y FINANCIERO DE LOS BENEFICIARIOS DEL PROYECTO "FORMACION DE CAPITAL HUMANO DE ALTO NIVEL DE FORMACION II CONVOCATORIA UNIVERSIDAD DEL MAGDALENA" CON BPIN2020000100480 FCTEL DEPARTAMENTO DEL MAGDALENA Y CESAR, APOYAR AL CENTRO DE POSGRADOS Y FORMACION CONTINUA EN ARTICULACION CON LA OFICINA DE ASEGURAMIENTO DE LA CALIDAD Y LAS FACULTADES LOS PROCESOS DE AUTOEVALUACION, MODIFICACION Y RENOVACION DE LOS REGISTROS CALIFICADOS DE LOS PROGRAMAS DE POSGRADOS DE LA FACULTAD DE CIENCIA EMPRESARIALES Y ECONOMICAS, APOYAR EN LA CREACION DE NUEVOS PROGRAMAS DEL CENTRO DE POSGRADOS EN ARTICULACION CON LA OFICINA ASEGURAMIENTO DE LA CALIDAD, APOYAR EN LA SUPERVISION DEL PROYECTO "FORMACION DE CAPITAL HUMANO DE ALTO NIVEL II CONVOCATORIA UNIVERSIDAD DEL MAGDALENA" CON BPIN2020000100480 FCTEL DEPARTAMENTO DEL MAGDALENA Y CESAR REFERENTE AL MANEJO DEL APLICATIVO GESPROY 3,0 DEL DNP, APOYAR EN EL CARGUE DE LA PROGRAMACION, CONTRATACION, EJECUCION Y REVISION DE ALERTAS GENERADAS EN EL APLICATIVO GESPROY 3,0 CORRESPONDIENTE AL PROYECTO BPIN2020000100480, APOYAR EN LA GESTION DEL ARCHIVO DIGITAL Y FISICO EN CARPETAS DE TODA LA INFORMACION CORRESPONDIENTE A CADA BENEFICIARIO DEL PROYECTO QUE DEN CUENTA DE LA EJECUCION DEL PROYECTO "FORMACION DE CAPITAL HUMANO DE ALTO NIVEL II CONVOCATORIA UNIVERSIDAD DEL MAGDALENA" CON BPIN2020000100480 FCTEL DEPARTAMENTO DEL MAGDALENA Y CESAR, APOYAR EN LA REALIZACION DE LOS INFORMES MENSUALES DEL PROYECTO PARA ENVIAR A LA OFICINA DE PLANEACION UNIMAGDALENA, ACOMPAÑAR EN LA ASISTENCIA A TODAS LAS REUNIONES, CAPACITACIONES Y SOCIALIZACIONES PROGRAMADAS POR UNIMAGDALENA, MINCIENCIAS Y EL DNP</t>
  </si>
  <si>
    <t>https://community.secop.gov.co/Public/Tendering/OpportunityDetail/Index?noticeUID=CO1.NTC.3929490&amp;isFromPublicArea=True&amp;isModal=False</t>
  </si>
  <si>
    <t>OPSP-CPF-020</t>
  </si>
  <si>
    <t>JOHANA BARROS PEREZ</t>
  </si>
  <si>
    <t>OPSP-CPF-021</t>
  </si>
  <si>
    <t>DILZO RAFAEL RADA CANTILLO</t>
  </si>
  <si>
    <t>REALIZAR Y ASESORAR TODO LO REFERENTE AL DISEÑO Y PUBLICIDAD PARA EL MEJORAMIENTO DE LA IMAGEN DEL CENTRO DE POSGRADOS Y FORMACION CONTINUA, ELABORAR TODO LO REFERENTE A LA IDENTIDAD CORPORATIVA DEL CENTRO DE POSGRADOS, REALIZAR TODO LO REFERENTE AL DISEÑO DEL ARTE GRAFICO DE LOS PROGRAMAS DEL CENTRO DE POSGRADOS Y FORMACION CONTINUA, CREAR LOS DISEÑOS DE LA PUBLICIDAD DE LOS PROGRAMAS EXISTENTES Y DE LOS NUEVOS PROGRAMAS DEL CENTRO DE POSGRADOS Y FORMACION CONTINUA, REALIZAR LOS INTROS INTERACTIVOS DE LOS CURSOS VIRTUALES, DISEÑAR LAS ACTIVIDADES INTERACTIVAS DE LOS MATERIALES DE ESTUDIO DE TODOS LOS MODULOS DE LOS PROGRAMAS VIRTUALES, DETERMINAR Y CREAR TODA LA PUBLICIDAD AUDIOVISUAL DE LOS PROGRAMAS EXISTENTES Y DE LOS NUEVOS PROGRAMAS DEL CENTRO DE POSGRADOS Y FORMACION CONTINUA, CREAR TODOS LOS DISEÑOS DE LA PUBLICIDAD SOBRE EL DISEÑO WEB Y DE APPS, REALIZAR TODAS LA CREACIONES DE LAS ANIMACIONES 2D Y 3D CON REFERENCIA DE LOS PROGRAMAS EXISTENTES Y DE LOS NUEVOS PROGRAMAS DEL CENTRO DE POSGRADOS Y FORMACION CONTINUA, APOYAR ACTIVAMENTE EN LOS PROCESOS DE PUBLICIDAD Y MERCADEO O AL EQUIPO DESIGNADO PARA TAL FIN</t>
  </si>
  <si>
    <t>https://community.secop.gov.co/Public/Tendering/OpportunityDetail/Index?noticeUID=CO1.NTC.3973910&amp;isFromPublicArea=True&amp;isModal=False</t>
  </si>
  <si>
    <t>OPSP-CPF-022</t>
  </si>
  <si>
    <t>RIDET DELFINA SANJUANELO GUZMAN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</si>
  <si>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(ESPECIALIZACION EN FINANZA, ESPECIALIZACION EN GESTION PARA EL DESARROLLO TERRITORIAL Y MAESTRIA EN DESARROLLO TERRITORIAL,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PÁGINAS DEL GOBIERNO NACIONAL, PLANES DE GOBIERNO, PLANES DE ACCION, SNIES, OBSERVATORIO LABORAL, NORMATIVIDAD INTERNA ETC), RENDIR INFORMES MENSUALES A LA DIRECCION DEL CENTRO DE POSGRADOS ACERCA DE LOS PROCESOS DE AUTOEVALUACION DE LOS PROGRAMAS ASIGNADOS Y DEMAS ACTIVIDADES, SEGUIMIENTO A PROYECTOS DE POSGRADOS</t>
  </si>
  <si>
    <t>https://community.secop.gov.co/Public/Tendering/OpportunityDetail/Index?noticeUID=CO1.NTC.3985501&amp;isFromPublicArea=True&amp;isModal=False</t>
  </si>
  <si>
    <t>OAG-CPF-023</t>
  </si>
  <si>
    <t>MIGUEL ANGEL DURAN GOMEZ</t>
  </si>
  <si>
    <t>APOYAR EN LA REALIZACION DE VISITAS A EMPRESAS DE LA REGION, APOYAR EN LAS ACTIVIDADES RELACIONADAS CON ESTABLECER RELACIONES Y CONVENIOS CON EMPRESAS DEL SECTOR PUBLICO Y SECTOR PRIVADO, APOYO EN LA ELABORACION DE ESTO A TRAVES DE PLANIFICACION DE VISITAS COMERCIALES, SEGUIMIENTO Y CONTROL</t>
  </si>
  <si>
    <t>https://community.secop.gov.co/Public/Tendering/OpportunityDetail/Index?noticeUID=CO1.NTC.3985338&amp;isFromPublicArea=True&amp;isModal=False</t>
  </si>
  <si>
    <t>OAG-CPF-024</t>
  </si>
  <si>
    <t>CLAUDIA MARCELA CLARO ZARAZA</t>
  </si>
  <si>
    <t>APOYAR EN EL CARGUE DE LA DOCUMENTACION E INFORMACION EN LA PLATAFORMA GEDOCO, ALIMENTAR EN LA BASE DATOS E INFORMACION NECESARIA EN LO REFERENTE LA CONTRATACION NECESARIA EN LOS ORGANOS DE CONTROL, APOYAR EN LA VERIFICACION DE LA DOCUMENTACION CONTRACTUAL DE LOS CONTRATISTAS DEL CENTRO DE POSTGRADOS Y FORMACION CONTINUA</t>
  </si>
  <si>
    <t>https://community.secop.gov.co/Public/Tendering/OpportunityDetail/Index?noticeUID=CO1.NTC.3991056&amp;isFromPublicArea=True&amp;isModal=False</t>
  </si>
  <si>
    <t>OPSP-CPF-025</t>
  </si>
  <si>
    <t>BIVIANA AMADOR OROZCO</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</si>
  <si>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NUEVOS PROGRAMAS MEDICO - QUIRURGICAS EN ESPECIALIZACION EN PEDIATRIA</t>
  </si>
  <si>
    <t>https://community.secop.gov.co/Public/Tendering/OpportunityDetail/Index?noticeUID=CO1.NTC.3990674&amp;isFromPublicArea=True&amp;isModal=False</t>
  </si>
  <si>
    <t>OAG-CPF-026</t>
  </si>
  <si>
    <t>ERIKA DE JESUS LOPEZ ESTRADA</t>
  </si>
  <si>
    <t>APOYO A LA SUPERVISION PARA SEGUIMIENTO ADMINISTRATIVO Y FINANCIERO DE LOS PROYECTOS BPIN2019000100048 "FORMACION DE CAPITAL HUMANO DE ALTO NIVEL UNIVERSIDAD DEL MAGDALENA NACIONAL" Y BPIN 2020000100480 "FORMACION DE CAPITAL HUMANO DE ALTO NIVEL II CONVOCATORIA UNIVERSIDAD DEL MAGDALENA" CONVOCATORIA BECAS DE EXCELENCIA DOCTORAL DEL BICENTENARIO, APOYAR EN LA PRESENTACION DE INFORMES AL DNP Y OFICINA DE PLANEACION DE UNIMAGDALENA CON RESPECTO A LA EJECUCION MENSUAL DE LOS PROYECTOS BPIN2019000100048 "FORMACION DE CAPITAL HUMANO DE ALTO NIVEL UNIVERSIDAD DEL MAGDALENA NACIONAL", Y BPIN 2020000100480 "FORMACION CAPITAL HUMANO DE ALTO NIVEL II CONVOCATORIA UNIVERSIDAD DEL MAGDALENA", A CARGO DEL CENTRO DE POSGRADOS Y FORMACION CONTINUA, APOYO EN EL CARGUE DE INFORMACION DE AVANCES DE EJECUCION DE LOS PROYECTOS EN EL APLICATIVO GESPROY DE LOS PROYECTOS BPIN 2019000100048 "FORMACION DE CAPITAL HUMANO DE ALTO NIVEL UNIVERSIDAD DEL MAGDALENA NACIONAL", Y BPIN 2020000100480 "FORMACION DE CAPITAL HUMANO DE ALTO NIVEL II CONVOCATORIA UNIVERSIDAD DEL MAGDALENA", ASISTENCIA A TODAS LAS REUNIONES CONVOCADAS POR LAS VICERRECTORIAS DE LA UNIVERSIDAD DEL MAGDALENA Y LOS ENTES DE CONTROL, APOYO EN LA GENERACION DE INFORMES DE LOS PROYECTOS BPIN 2019000100048 "FORMACION DE CAPITAL HUMANO DE ALTO NIVEL UNIVERSIDAD DEL MAGDALENA NACIONAL", Y BPIN 2020000100480 "FORMACION DE CAPITAL HUMANO DE ALTO NIVEL II CONVOCATORIA UNIVERSIDAD DEL MAGDALENA", PARA LOS ENTES DE CONTROL, MANTENER ACTUALIZADO LOS ARCHIVOS DIGITALES DE LA EJECUCION ADMINISTRATIVA Y FINANCIERA DE LOS PROYECTOS BPIN 2019000100048 "FORMACION DE CAPITAL HUMANO DE ALTO NIVEL UNIVERSIDAD DEL MAGDALENA NACIONAL", Y BPIN 2020000100480 "FORMACION DE CAPITAL HUMANO DE ALTO NIVEL II CONVOCATORIA UNIVERSIDAD DEL MAGDALENA", ATENDER TODAS LAS CONSULTAS Y SOLICITUDES POR PARTE DE LOS BECARIOS DE LOS PROYECTOS BPIN 2019000100048 "FORMACION DE CAPITAL HUMANO DE ALTO NIVEL UNIVERSIDAD DEL MAGDALENA NACIONAL", Y BPIN 2020000100480 "FORMACION DE CAPITAL HUMANO DE ALTO NIVEL II CONVOCATORIA UNIVERSIDAD DEL MAGDALENA", APOYAR EN LA ORGANIZACIÓN DE LA INFORMACIÓN, ORGANIZACIÓN Y LOGÍSTICA DE LAS REUNIONES DE PRESENTACION DE INFORMES DE CIERRE DE SEMESTRE CON LA UNIVERSIDAD DEL MAGDALENA Y COLFUTUROS</t>
  </si>
  <si>
    <t>https://community.secop.gov.co/Public/Tendering/OpportunityDetail/Index?noticeUID=CO1.NTC.4005577&amp;isFromPublicArea=True&amp;isModal=False</t>
  </si>
  <si>
    <t>TERMINADO Y LIQUIDADO</t>
  </si>
  <si>
    <t>OPSP-CPF-027</t>
  </si>
  <si>
    <t>ALFREDO DANIEL FLOREZ MARTINEZ</t>
  </si>
  <si>
    <t>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CREACIÓN DE NUEVOS PROGRAMAS MÉDICO - QUIRURGICAS EN ESPECIALIZACION DE LA FACULTAD CIENCIAS DE LA SALUD, APOYAR EN LOS CARGUES DE PROGRAMAS NUEVOS Y RENOVACION DE REGISTROS CALIFICADOS DEL CENTRO DE POSGRADOS EN ARTICULACION CON LA OFICINA ASEGURAMIENTO DE LA CALIDAD, APOYAR EN LA REDACCION Y PRESENTACION DE LOS INFORMES DE AUTOEVALUACION, DE LOS PROGRAMAS DE POSGRADOS ASIGNADOS CON LAS EVIDENCIAS CORRESPONDIENTES, ASISTIR A TODAS LAS REUNIONES PROGRAMADAS POR LA OFICINA DE ASEGURAMIENTO DE LA CALIDAD, LAS FACULTADES Y EL MINISTERIO DE EDUCACIÓN CORRESPONDIENTE A PROCESOS DE AUTOEVALUACION, CAPACITACIONES Y SOCIALIZACIONES CON RESPECTO A LA NORMATIVIDAD VIGENTE, APOYAR EN LA RECOPILACION Y ORGANIZACION DE LAS EVIDENCIAS Y DEMÁS DOCUMENTOS QUE REQUIERAN LOS INFORMES DE AUTOEVALUACIÓN (CONSULTA A PAGINAS DEL GOBIERNO NACIONAL, PLANES DE GOBIERNO, PLANES DE ACCION, SNIES, OBSERVATORIO LABORAL, NORMATIVIDAD INTERNA ETC.), RENDIR INFORMES MENSUALES A LA DIRECCION DEL CENTRO DE POSGRADOS ACERCA DE LOS PROCESOS DE AUTOEVALUACIÓN DE LOS PROGRAMAS ASIGNADOS Y DEMAS ACTIVIDADES</t>
  </si>
  <si>
    <t>https://community.secop.gov.co/Public/Tendering/ContractNoticePhases/View?PPI=CO1.PPI.23544695&amp;isFromPublicArea=True&amp;isModal=False</t>
  </si>
  <si>
    <t>OPSP-CPF-028</t>
  </si>
  <si>
    <t>INGRID YOHANA COQUIES PACHECO</t>
  </si>
  <si>
    <t>APOYAR EN EL CUMPLIMIENTO DE LOS PROCEDIMIENTOS, PROTOCOLOS, GUIAS Y AGENDAS DISEÑADOS PARA EL ÓPTIMO FUNCIONAMIENTO DEL PROGRAMA, APOYAR EN LA PROYECCION, RADICACION Y GESTION DE LAS COMUNICACIONES INTERNAS Y EXTERNAS DEL PROGRAMA, APOYAR EN LA ACTUALIZACION DEL ARCHIVO DE GESTION DEL PROGRAMA Y VERIFICAR SU ADECUADO USO Y CONSERVACION, CUMPLIENDO CON LAS NORMAS Y PROCEDIMIENTOS DISPUESTOS PARA TAL FIN, APOYAR EN LA ADMINISTRACION Y ACTUALIZACION DEL INVENTARIO DE BIENES, MATERIALES E INSUMOS DEL PROGRAMA, VERIFICANDO SU EFICIENTE Y ADECUADO USO, ASÍ COMO ELABORAR Y PRESENTAR LOS INFORMES RESPECTIVOS, APOYAR EL DISEÑO Y MEDICIÓN DE INDICADORES DE GESTION DEL AREA DEL PROGRAMA, APOYAR LA ELABORACIÓN Y PRESENTACIÓN DE RESULTADOS DE LA GESTION DEL PROGRAMA, APOYAR EN LA ADECUADA, OPORTUNA, EFICIENTE, EFICAZ Y AMABLE ATENCIÓN AL USUARIO, EN LA PRESTACIÓN DE SERVICIOS DE ESTUDIANTES Y DOCENTES, INFORMAR OPORTUNAMENTE SOBRE SITUACIONES QUE AFECTEN EL DESARROLLO DE LAS ACTIVIDADES DEL PROGRAMA, APOYAR EN LA ATENCION OPORTUNA Y ADECUADA DE LAS PETICIONES, QUEJAS, RECLAMOS Y SUGERENCIAS, RELACIONADAS CON LOS SERVICIOS DEL PROGRAMA, DE ESTUDIANTES Y DOCENTES, APOYAR EN EL CUMPLIMIENTO DE LAS NORMAS Y PROTOCOLOS DEL PLAN INSTITUCIONAL DE GESTION AMBIENTAL – PIGA, APOYAR EL CUMPLIMIENTO DE LAS RESPONSABILIDADES Y COMPETENCIAS ESTABLECIDAS EN LOS SISTEMAS DE GESTIÓN INTEGRAL Y EL MODELO ESTÁNDAR DE CONTROL INTERNO, ASÍ COMO FACILITAR LOS DOCUMENTOS Y SOPORTES QUE LE SEAN SOLICITADOS POR LAS INSTANCIAS COMPETENTES, CUMPLIR CON LAS ACTIVIDADES Y RESPONSABILIDADES ESTABLECIDAS EN LAS LEYES QUE ENMARCAN EL SISTEMA DE GESTIÓN DE SEGURIDAD Y SALUD EN EL TRABAJO, APOYAR LA PLANEACIÓN, EJECUCIÓN Y SEGUIMIENTO DE LAS ACTIVIDADES ACADÉMICO-ADMINISTRATIVAS Y PROYECTOS DEL PROGRAMA, ELABORAR COMUNICACIONES, ACTOS ADMINISTRATIVOS, DOCUMENTOS E INFORMES DE GESTIÓN DEL PROGRAMA, PROYECTAR, DESARROLLAR, RECOMENDAR Y EJECUTAR ACCIONES QUE PERMITAN MEJORAR LA GESTIÓN DE LOS SERVICIOS A CARGO DEL PROGRAMA, APOYAR LOS PROCESOS DE REGISTRO, ANÁLISIS Y PROCESAMIENTO DE BASES DE DATOS Y ESTADÍSTICAS DEL PROGRAMA, APOYAR EN LA ACTUALIZACION Y PROTECCIÓN DE LOS REGISTROS EN LOS SISTEMAS DE INFORMACION ASOCIADOS A SUS ACTIVIDADES EN ELABORACIÓN TECNICA DEL PRESUPUESTO ANUAL DE FUNCIONAMIENTO DEL PROGRAMA, GESTION, SEGUIMIENTO, CONTROL Y EVALUACIÓN TÉCNICA DE LA EJECUCION PRESUPUESTAL DEL PROGRAMA, EN EL MARCO DE LOS PROCESOS Y PROCEDIMIENTOS INSTITUCIONALES, SEGUIMIENTO Y GESTIÓN DE LA CARTERA FINANCIERA DEL DOCTORADO, ELABORACIÓN Y ANÁLISIS DE REPORTES ADMINISTRATIVOS Y FINANCIEROS DEL DOCTORADO, APOYAR EN LA CONSTRUCCION Y MANEJO DE BASES DE DATOS, GESTION DE LOS PROCESOS DE VINCULACIÓN Y EVALUACIÓN DE LOS DOCENTES INVITADOS AL DOCTORADO</t>
  </si>
  <si>
    <t>IVAN MANUEL SANCHEZ</t>
  </si>
  <si>
    <t>https://community.secop.gov.co/Public/Tendering/ContractNoticePhases/View?PPI=CO1.PPI.23545174&amp;isFromPublicArea=True&amp;isModal=False</t>
  </si>
  <si>
    <t>OPS-CPF-029</t>
  </si>
  <si>
    <t>HOTEL GRAN MARINA SAS</t>
  </si>
  <si>
    <t>SERVICIO DE HOSPEDAJE Y ALIMENTACION PARA LOS DOCENTES E INVITADOS DE LOS DIFERENTES PROGRAMAS DE POSTGRADOS DE LA UNIVESIDAD DEL MAGDALNEA, EN EL AC HOTEL MARRIOT EN LA CIUDAD DE SANTA MARTA (MAGDLAENA)</t>
  </si>
  <si>
    <t>https://community.secop.gov.co/Public/Tendering/ContractNoticePhases/View?PPI=CO1.PPI.23676132&amp;isFromPublicArea=True&amp;isModal=False</t>
  </si>
  <si>
    <t>OPS-CPF-030</t>
  </si>
  <si>
    <t>INVERSIONES FERNATH SAS</t>
  </si>
  <si>
    <t>SERVICIO DE HOSPEDAJE Y ALIMENTACION PARA LOS DOCENTES E INVITADOS DE LOS DIFERENTES PROGRAMAS DE POSTGRADOS DE LA UNIVESIDAD DEL MAGDALNEA, EN EL AC HOTEL BOUTIQUE CHUNÚÚ EN LA CIUDAD DE SANTA MARTA (MAGDLAENA)</t>
  </si>
  <si>
    <t>https://community.secop.gov.co/Public/Tendering/ContractNoticePhases/View?PPI=CO1.PPI.23676365&amp;isFromPublicArea=True&amp;isModal=False</t>
  </si>
  <si>
    <t>OPS-CPF-031</t>
  </si>
  <si>
    <t>LA PRESENTE ORDEN TIENE POR OBJETO EL SERVICIO DE HOSPEDAJE Y ALIMENTACION, PARA LOS DOCENTES E INVITADOS DE LOS DIFERENTES PROGRAMAS DE POSGRADOS DE LA UNIVERSIDAD DEL MAGDALENA, EN EL BEST WESTER PLUS EN LA CIUDAD DE SANTA MARTA (MAGDALENA)</t>
  </si>
  <si>
    <t>https://community.secop.gov.co/Public/Tendering/ContractNoticePhases/View?PPI=CO1.PPI.23872000&amp;isFromPublicArea=True&amp;isModal=False</t>
  </si>
  <si>
    <t>OPSP-CPF-032</t>
  </si>
  <si>
    <t xml:space="preserve">APOYAR EN LOS ASPECTOS LEGALES DE LA EJECUCIÓN DE LOS PROYECTOS DE REGALÍAS EJECUTADAS POR EL CENTRO DE POSGRADOS. ASESORAR JURÍDICAMENTE EN LA ELABORACION DE CONVENIOS PARA LA VENTA DE SERVICIOS ACADÉMICOS DEL CENTRO DE POSTRADOS. PRESTAR ASESORÍA Y ELABORAR LOS MODELOS DE LOS ACUERDOS ACADÉMICOS EN LA CREACIÓN DE LOS NUEVOS PROGRAMAS DE POSTGRADOS. PRESTAR ASESORÍA JURÍDICA AL CENTRO DE POSTGRADOS, REVISAR Y/O CORREGIR LAS RESOLUCIONES ELABORADAS EN EL CENTRO DE POSTGRADOS. REVISAR Y/O CORREGIR LAS ÓRDENES ELABORADAS POR LA DEPENDENCIA. COMPILAR Y ACTUALIZAR LAS NORMAS LEGALES, DE JURISPRUDENCIA DOCTRINA Y DE LOS CONCEPTOS QUE TENGAN RELACIÓN CON EL ÁMBITO DE COMPETENCIA DEL CENTRO DE POSTGRADOS. CUMPLIR CON LOS PROCEDIMIENTOS DEL PROCESO DE GESTIÓN DE LA CONTRATACIÓN DEL SISTEMA INTEGRAL DE LA CALIDAD "COGUI". VERIFICAR QUE LOS CONTRATISTAS APORTEN LAS HOJAS DE VIDA DE LA FUNCIÓN PÚBLICA Y DOCUMENTO SOPORTES, TENIENDO EN CUENTA LAS DIRECTRICES DADAS POR EL GRUPO DE CONTRATACIÓN DE LA INSTITUCIÓN. REVISAR EN LOS CONVENIOS QUE HA ESTABLECIDO EL CENTRO DE POSTGRADOS Y FORMACIÓN CONTINUA, LA VIGENCIA Y PRÓRROGA DE LOS MISMOS. PROYECTAR LAS RESPUESTAS DE LOS DERECHOS DE PETICIÓN Y TUTELAS. ELABORAR Y REVISAR LOS CONTRATOS DE CÁTEDRA,  RESOLUCIONES DE PAGO Y REEMBOLSO, CONVENIOS Y DEMÁS ACTOS ADMINISTRATIVOS QUE SE GENEREN. ABSOLVER CONSULTAS DE TIPO JURÍDICO. REPRESENTAR JURÍDICAMENTE A LA INSTITUCIÓN EN LOS PROCESOS JUDICIALES Y/O ADMINISTRATIVOS QUE SE REQUIERAN. REVISAR Y APROBAR DOCUMENTACIÓN EN GEDOCO. </t>
  </si>
  <si>
    <t>https://community.secop.gov.co/Public/Tendering/ContractNoticePhases/View?PPI=CO1.PPI.24592416&amp;isFromPublicArea=True&amp;isModal=False</t>
  </si>
  <si>
    <t>OPSP-CPF-033</t>
  </si>
  <si>
    <t xml:space="preserve">APOYAR EN EL CARGUE DE INFORMACIÓN DE CONTRATOS EN LA PLATAFORMA SIAOBSERVA. REALIZAR Y RENDIR INFORMES CONCERNIENTES A PLATAFORMA SIAOBSERVA, INFORME F20 LEY DE TRANSPARENCIA E INFORME F20 CONTRALORIA. APOYAR LA ORGANIZACIÓN Y CARGUE DE LA INFORMACIÓN DE CONTRATOS EN LA PLATAFORMA GEDOCO. ASESORAR LA ORGANIZACIÓN Y LOGÍSTICA DE LAS ACTIVIDADES RELACIONADAS CON LOS PROCESOS PARA EL FUNCIONAMIENTO DEL CENTRO DE POSTGRADOS Y FORMACIÓN CONTINUA EN LOS PROCESOS DE CALIDAD. REVISAR LOS PRESUPUESTOS PRESENTADOS PARA LA APERTURA DE DIPLOMADOS DEL CENTRO DE POSTGRADOS Y FORMACIÓN CONTINUA. REALIZAR, IMPLEMENTAR Y EVALUAR EL PLAN ESTRATÉGICO DEL CENTRO DE POSTGRADOS Y FORMACIÓN CONTINUA. </t>
  </si>
  <si>
    <t>https://community.secop.gov.co/Public/Tendering/ContractNoticePhases/View?PPI=CO1.PPI.24599381&amp;isFromPublicArea=True&amp;isModal=False</t>
  </si>
  <si>
    <t>OPSP-CPF-034</t>
  </si>
  <si>
    <t xml:space="preserve">APOYAR EN LA ORGANIZACIÓN Y SEGUIMIENTO PRESUPUESTAL DEL CENTRO DE POSTGRADOS Y TODOS LOS PROGRAMAS DE POSTGRADOS DE LA UNIVERSIDAD DEL MAGDALENA. APOYAR EL ÁREA FINANCIERA DEL CENTRO DE POSTGRADOS Y FORMACIÓN CONTINUA DE LA UNIVERSIDAD DEL MAGDALENA. APOYAR EN LA CONTRATACIÓN DEL CENTRO DE POSTGRADOS. APOYAR EN LA ELABORACIÓN Y RENDICIÓN DE INFORMES PRESUPUESTALES. APOYAR EN LA VALIDACIÓN Y ELABORACIÓN DE PRESUPUESTOS. APOYAR EN LA GENERACIÓN Y PRESENTACIÓN DE INFORMES DE CONTRATACIÓN. APOYAR EN LOS PROYECTOS Y CONVENIOS INTERINSTITUCIONALES PARA VENTA DE SERVICIO. APOYAR EN EL CARGE DE LA INFORMACIÓN DEL PLAN DE ACCIÓN DEL CENTRO DE POSTGRADOS EN LA PLATAFORMA SISPLAN. APOYAR EN LA ELABORACIÓN Y RENDICIÓN DE INFORMES RELACIONADOS CON LA INFORMACIÓN CARGADA EN SISPLAN DEL PLAN DE ACCIÓN DEL CENTRO DE POSTGRADOS. </t>
  </si>
  <si>
    <t>YAJAIRA LILIANA MACHADO ZARAZA</t>
  </si>
  <si>
    <t>https://community.secop.gov.co/Public/Tendering/ContractNoticePhases/View?PPI=CO1.PPI.24605911&amp;isFromPublicArea=True&amp;isModal=False</t>
  </si>
  <si>
    <t>OPSP-CPF-035</t>
  </si>
  <si>
    <t>https://community.secop.gov.co/Public/Tendering/ContractNoticePhases/View?PPI=CO1.PPI.24606418&amp;isFromPublicArea=True&amp;isModal=False</t>
  </si>
  <si>
    <t>OPSP-CPF-036</t>
  </si>
  <si>
    <t>APOYAR LOS TRABAJOS RELATIVOS A LA GESTORÍA DE COBRANZA Y RECUPERACIÓN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ELABORAR Y VERIFICAR LA SUSCRIPCIÓN DE LOS ACUERDOS DE PAGO QUE SE LOGRE CON LOS DEUDORES Y CODEUDORES Y HACERLE SEGUIMIENTO. ACTUALIZAR LOS DATOS DE CONTACTO DE LOS DEUDORES Y CODEUDORES QUE LOGRE CONSOLIDAR Y REPORTARLOS A UNIMAGDALENA. APOYAR EN LA EXPEDICIÓN DE CERTIFICACIONES RELACIONADAS CON LAS OBLIGACIONES COBRADAS Y REQUERIDAS POR LOS DEUDORES Y/O CODEUDORES. DIAGNOSTICAR Y REPORTAR LOS CRÉDITOS QUE NO PUDO RECUPERAR. EJECUTAR LOS PROCEDIMIENTOS COGUI RELACIONADAS CON LAS ACTIVIDADES DESARROLLADAS.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APLICAR ENCUESTAS DE SATISFACCIÓN. ORGANIZAR, RELACIONAR Y ENTREGAR PARA SU ARCHIVO TODA LA DOCUMENTACIÓN QUE GENERE EL DESARROLLO DE SUS ACTIVIDADES PARA EL ARCHIVO DE GESTIÓN.</t>
  </si>
  <si>
    <t>https://community.secop.gov.co/Public/Tendering/ContractNoticePhases/View?PPI=CO1.PPI.24620995&amp;isFromPublicArea=True&amp;isModal=False</t>
  </si>
  <si>
    <t>OPSP-CPF-037</t>
  </si>
  <si>
    <t>APOYAR AL CENTRO DE POSGRADOS Y FORMACIÓN CONTINUA EN ARTICULACIÓN CON LA OFICINA DE ASEGURAMIENTO DE LA CALIDAD Y LAS FACULTADES EN LOS PROCESOS DE CREACIÓN, MODIFICACIÓN Y RENOVACIÓN DE LOS REGISTROS CALIFICADOS DE LOS PROGRAMAS DE POSGRADOS DE LA FACULTAD DE INGENIERÍA. RENOVACIÓN DEL REGISTRO CALIFICADO DE LA MAESTRÍA EN CIENCIAS AGRARIAS, MAESTRÍA EN PESQUERIAS TROPICALES Y MAESTRÍA EN INGENIERÍA. APOYAR EN LOS CARGUES DE PROGRAMAS ANTE LA PLATAFORMA SACES DEL MINISTERIO DE EDUCACIÓN EN ARTICULACIÓN CON LA OFICINA ASEGURAMIENTO DE LA CALIDAD. APOYAR EN LAS ACTIVIDADES ACADÉMICAS,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</si>
  <si>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YINIVA CAMARGO CAICEDO</t>
  </si>
  <si>
    <t>https://community.secop.gov.co/Public/Tendering/ContractNoticePhases/View?PPI=CO1.PPI.24634351&amp;isFromPublicArea=True&amp;isModal=False</t>
  </si>
  <si>
    <t>OPSP-CPF-038</t>
  </si>
  <si>
    <t>APOYAR AL CENTRO DE POSGRADOS Y FORMACIÓN CONTINUA EN ARTICULACIÓN CON LA OFICINA DE ASEGURAMIENTO DE LA CALIDAD Y LAS FACULTADES EN LOS PROCESOS DE CREACIÓN, MODIFICACIÓN Y RENOVACIÓN DE LOS REGISTROS CALIFICADOS DE LOS PROGRAMAS DE POSGRADOS DE LA FACULTAD DE CIENCIAS EMPRESARIALES Y ECONÓMICAS. RENOVACIÓN DEL REGISTRO CALIFICADO DE LA ESPECIALIZACION EN ALTA GERENCIA, ESPECIALIZACION EN FORMULACION Y GESTIÓN INTEGRAL DE PROYECTOS. APOYAR EN LOS CARGUES DE PROGRAMAS ANTE LA PLATAFORMA SACES DEL MINISTERIO DE EDUCACIÓN EN ARTICULACIÓN CON LA OFICINA ASEGURAMIENTO DE LA CALIDAD. APOYAR EN LAS ACTIVIDADES ACADÉMICAS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</si>
  <si>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https://community.secop.gov.co/Public/Tendering/ContractNoticePhases/View?PPI=CO1.PPI.24634285&amp;isFromPublicArea=True&amp;isModal=False</t>
  </si>
  <si>
    <t>OPSP-CPF-039</t>
  </si>
  <si>
    <t xml:space="preserve">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 CREAR LOS DISEÑOS DE LA PUBLICIDAD DE LOS PROGRAMAS EXISTENTES Y DE LOS NUEVOS PROGRAMAS DEL CENTRO DE POSGRADOS Y FORMACIÓN CONTINUA. REALIZAR LOS INTROS INTERACTIVOS DE LOS CURSOS VIRTUALES. DISEÑAR LAS ACTIVIDADES INTERACTIVAS DE LOS MATERIALES DE ESTUDIO DE TODOS LOS MÓDULOS DE LOS PROGRAMAS VIRTUALES. CREAR TODOS LOS DISEÑOS DE LA PUBLICIDAD SOBRE EL DISEÑO WEB Y DE APPS. REALIZAR TODAS LA CREACIONES DE LAS ANIMACIONES 2D Y 3D CON REFERENCIA DE LOS PROGRAMAS EXISTENTES Y DE LOS NUEVOS PROGRAMAS DEL CENTRO DE POSGRADOS Y FORMACIÓN CONTINUA. APOYAR ACTIVAMENTE EN LOS PROCESOS DE PUBLICIDAD Y MERCADEO O AL EQUIPO DESIGNADO PARA TAL FIN. </t>
  </si>
  <si>
    <t>https://community.secop.gov.co/Public/Tendering/ContractNoticePhases/View?PPI=CO1.PPI.24634636&amp;isFromPublicArea=True&amp;isModal=False</t>
  </si>
  <si>
    <t>OPSP-CPF-040</t>
  </si>
  <si>
    <t>APOYAR AL CENTRO DE POSGRADOS Y FORMACIÓN CONTINUA EN ARTICULACIÓN CON LA OFICINA DE ASEGURAMIENTO DE LA CALIDAD Y LAS FACULTADES LOS PROCESOS DE CREACIÓN, MODIFICACIÓN Y RENOVACIÓN DE LOS REGISTROS CALIFICADOS DE LOS PROGRAMAS DE POSGRADOS DE LA FACULTAD DE CIENCIAS DE LA SALUD, RENOVACIÓN DEL REGISTRO CALIFICADO DE LA MAESTRÍA PSICOLOGÍA CLÍNICA, JURÍDICA Y FORENSE, APOYAR EN LOS CARGUES DE PROGRAMAS ANTE LA PLATAFORMA SACES DEL MINISTERIO DE EDUCACIÓN EN ARTICULACIÓN CON LA OFICINA ASEGURAMIENTO DE LA CALIDAD, APOYAR EN LA CREACIÓN DEL PROGRAMA DE ESPECIALIZACIÓN EN  MEDICO – QUIRÚRGICAS, APOYAR EN LA LOGÍSTICA DE LOS EVENTOS ACADÉMICOS, ACTIVIDADES DE AUTOEVALUACIÓN Y PLANES DE MEJORAMIENTO DE LOS PROGRAMAS DE POSGRADOS, 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APOYAR EN LOS PROCESOS DE CALIDAD, MATRIZ DE RIESGOS DE LOS PROGRAMAS DEL CENTRO DE POSGRADOS</t>
  </si>
  <si>
    <t>https://community.secop.gov.co/Public/Tendering/ContractNoticePhases/View?PPI=CO1.PPI.24737489&amp;isFromPublicArea=True&amp;isModal=False</t>
  </si>
  <si>
    <t>OAG-CPF-041</t>
  </si>
  <si>
    <t>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LOS PROCESOS DE ACREDITACIÓN DE LOS PROGRAMAS EXISTENTES Y ELABORACIÓN DE LOS NUEVOS PROGRAMAS DEL CENTRO DE POSTGRADOS Y FORMACIÓN CONTINUA)</t>
  </si>
  <si>
    <t>https://community.secop.gov.co/Public/Tendering/ContractNoticePhases/View?PPI=CO1.PPI.24740347&amp;isFromPublicArea=True&amp;isModal=False</t>
  </si>
  <si>
    <t>OAG-CPF-042</t>
  </si>
  <si>
    <t>APOYAR EN LA ORGANIZACIÓN DE LA DOCUMENTACIÓN DE CONTRATACIÓN 2022 Y  ORGANIZACIÓN DE LA DOCUMENTACIÓN PARA PAGOS, APOYAR A LOS COORDINADORES Y DIRECTORES EN LA ELABORACIÓN DE LA  PROGRAMACIÓN DE LOS ESPACIOS FISICOS PARA LAS CLASES DE DIPLOMADOS, ESPECIALIZACIONES Y MAESTRÍAS DEL CENTRO DE POSTGRADOS Y FORMACIÓN CONTINUA, APOYAR EN TODO LO RELACIONADO CON EL MANEJO DE EQUIPOS AUDIOVISUALES Y REQUERIMIENTOS DE CAFETERIA PARA LOS PROGRAMAS DEL CENTRO DE POSTGRADOS Y FORMACIÓN CONTINUA, APOYAR EN LAS DECARGAS DE COMPROBANTES DE EGRESOS DEL SINAP, VERIFICAR LAS ADECUADAS CONDICIONES LOGÍSTICAS PARA EL DESARROLLO DE LAS ACTIVIDADES ACADÉMICAS CONTEMPLADAS EN LA PROGRAMACIÓN SEMANAL, APOYAR EN LA ACTUALIZACIÓN DE TABLAS DOCUMENTALES DEL CENTRO DE POSTGRADOS</t>
  </si>
  <si>
    <t>https://community.secop.gov.co/Public/Tendering/ContractNoticePhases/View?PPI=CO1.PPI.24740920&amp;isFromPublicArea=True&amp;isModal=False</t>
  </si>
  <si>
    <t>OAG-CPF-043</t>
  </si>
  <si>
    <t>APOYAR EN LA ORGANIZACIÓN DE LOS ESPACIOS FÍSICOS DE LOS DIPLOMADOS, ESPECIALIZACIONES Y MAESTRÍAS Y DOCTORADOS DEL CENTRO DE POSTGRADOS Y FORMACIÓN CONTINUA, APOYO EN LA ATENCIÓN DE LOS USUARIOS DEL CENTRO DE POSTGRADOS Y FORMACIÓN CONTINUA, APOYAR EN LA REALIZACIÓN DE LLAMADAS PARA LAS PERSONAS DE LAS BASES DE DATOS DE POSTGRADOS, APOYO LOGÍSTICO EN LOS EVENTOS   Y SESIONES EDUCATIVAS REALIZADOS POR EL CENTRO DE POSTGRADOS Y FORMACIÓN CONTINUA, SUMINISTRAR  INFORMACIÓN Y MOTIVAR A LOS ESTUDIANTES EN LOS ÚLTIMOS SEMESTRES DE LAS UNIVERSIDADES DE LA REGIÓN, APOYAR EN LA ORGANIZACIÓN DE LOS PROCESOS DE MERCADEO Y MARKETING</t>
  </si>
  <si>
    <t>https://community.secop.gov.co/Public/Tendering/ContractNoticePhases/View?PPI=CO1.PPI.24741119&amp;isFromPublicArea=True&amp;isModal=False</t>
  </si>
  <si>
    <t>OAG-CPF-044</t>
  </si>
  <si>
    <t>APOYAR EN LA DIGITALIZACIÓN DEL ARCHIVO DE POSTGRADOS DESDE EL AÑO 2014, PARA SER REPORTADA AL SISTEMA IMPLEMENTADO POR LA UNIVERSIDAD LLAMADO GEDOCO, APOYAR EN LA ATENCIÓN DE LOS USUARIOS DEL CENTRO DE POSTGRADOS Y FORMACIÓN CONTINUA, APOYAR EN LA ENTREGA DE INFORMACIÓN DE LA OFERTA ACADÉMICA DEL CENTRO DE POSGRADOS, APOYAR AL CENTRO DE POSGRADOS EN LA LOGÍSTICA EN LA ELABORACIÓN DE LA PROGRAMACIÓN DE LOS ESPACIOS FÍSICOS PARA LAS CLASES DE DIPLOMADOS, ESPECIALIZACIONES Y MAESTRÍAS</t>
  </si>
  <si>
    <t>https://community.secop.gov.co/Public/Tendering/ContractNoticePhases/View?PPI=CO1.PPI.24846908&amp;isFromPublicArea=True&amp;isModal=False</t>
  </si>
  <si>
    <t>OPSP-CPF-045</t>
  </si>
  <si>
    <t>IRIS TAHIRÍ CASTRO ROMERO</t>
  </si>
  <si>
    <t>APOYAR EN LA ELABORACIÓN DE UN ANÁLISIS FINANCIERO DEL COMPORTAMIENTO DE LA MATRÍCULA DE LOS PROGRAMAS DE POSTGRADOS EN LOS ÚLTIMOS 5 AÑOS, APOYAR EN LA REALIZACIÓN DE ANÁLISIS DE VIABILIDAD DE COSTOS DE LOS PROGRAMAS DE POSTGRADOS, APOYAR EN EL ANALISIS Y FORMULACIÓN DE PLANES DE CHOQUE PARA EL AUMENTO DE MATRÍCULAS PRESENTADOS POR LAS FACULTADES, APOYAR EL DISEÑO DE PRESENTACIONES UTILIZANDO POWER BI</t>
  </si>
  <si>
    <t>https://community.secop.gov.co/Public/Tendering/ContractNoticePhases/View?PPI=CO1.PPI.25192592&amp;isFromPublicArea=True&amp;isModal=False</t>
  </si>
  <si>
    <t>OPSP-CPF-046</t>
  </si>
  <si>
    <t>IRENE PATRICIA LEGUISAMO PEÑATE</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</si>
  <si>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EDUCACIÓN  (MAESTRIA EN ENSEÑANZA DEL LENGUALE Y LA LENGUA CASTELLANA MAESTRIA EN ENSEÑANZA DE LAS MATEMATICAS Y DOCTORADO EN CIENCIAS DE LA EDUCACION APOYAR EN LA LOGÍSTICA DE LOS EVENTOS ACADEMICO ACTIVIDADES DE AUTOEVALUACION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t>
  </si>
  <si>
    <t>https://community.secop.gov.co/Public/Tendering/ContractNoticePhases/View?PPI=CO1.PPI.25467582&amp;isFromPublicArea=True&amp;isModal=False</t>
  </si>
  <si>
    <t>OPSP-CPF-0047</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</si>
  <si>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LAS ESPECIALIDADES MEDICO QUIRURGICAS APOYAR EN LA LOGÍSTICA DE LOS EVENTOS ACADEMICOS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t>
  </si>
  <si>
    <t>https://community.secop.gov.co/Public/Tendering/ContractNoticePhases/View?PPI=CO1.PPI.25509224&amp;isFromPublicArea=True&amp;isModal=False</t>
  </si>
  <si>
    <t>OPSP-CPF-0048</t>
  </si>
  <si>
    <t>APOYAR EN LOS PROCESOS DE CREACIÓN Y PRESENTACION DE LOS PROGRAMAS NUEVOS DE DOCTORADO DE LA FACULTAD DE CIENCIAS EMPRESARIALES Y ECONÓMICAS (DOCTORADO GESTION ECONOMIA Y DESARROLLO) DEL CENTRO DE POSTGRADOS Y FORMACIÓN CONTINUA APOYAR AL CENTRO DE POSGRADOS Y FORMACIÓN CONTINUA EN ARTICULACION CON LA OFICINA DE ASEGURAMIENTO DE LA CALIDAD Y LAS FACULTADES EN LOS PROCESOS DE AUTOEVALUACIÓN MODIFICACION Y RENOVACION DE LOS REGISTROS CALIFICADOS DE LOS PROGRAMAS DE POSGRADOS DE LA FACULTAD DE CIENCIAS EMPRESARIALES Y ECONÓMICAS (ESPECIALIZACIÓN EN FINANZAS), REALIZAR LA REVISIÓN DE ESTILO, GRAMÁTICA Y REDACCIÓN DE LOS DOCUMENTOS PARA SOLICITUD DE REGISTRO CALIFICADO, APOYAR A LA FACULTAD DE CIENCIAS EMPRESARIALES Y ECONÓMICAS EN LA VIRTUALIZACIÓN DE LA MAESTRÍA EN GESTIÓN DEL TURISMO SOSTENIBLE, APOYAR EN EL DESARROLLO DE LAS PLANTILLAS DEFINIDAS POR EL MINISTERIO DE EDUCACIÓN, LA ESTRUCTURA DE LOS PROGRAMAS DE POSTGRADOS A VIRTUALIZAR (MAESTRÍA EN GESTIÓN DEL TURISMO SOSTENIBLE) SEGÚN LAS CONDICIONES DE CALIDAD DESCRITAS EN LA NORMATIVIDAD VIGENTE, APOYAR EN LA ORGANIZACIÓN DE LAS EVIDENCIAS Y ANEXOS TÉCNICOS PARA EL CARGUE DE LOS DOCUMENTOS EN EL SACES,  ASISTIR A TODAS LAS REUNIONES PROGRAMADAS POR LA OFICINA DE ASEGURAMIENTO DE LA CALIDAD, LAS FACULTADES Y EL MINISTERIO DE EDUCACIÓN CORRESPONDIENTE A CAPACITACIONES Y SOCIALIZACIONES CON RESPECTO A LA NORMATIVIDAD VIGENTE,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PRESENTAR INFORMES MENSUALES DEL AVANCE DE LA CREACIÓN DE LOS PROGRAMAS ASIGNADOS</t>
  </si>
  <si>
    <t>https://community.secop.gov.co/Public/Tendering/ContractNoticePhases/View?PPI=CO1.PPI.25635328&amp;isFromPublicArea=True&amp;isModal=False</t>
  </si>
  <si>
    <t>OPSP-CPF-0049</t>
  </si>
  <si>
    <t>APOYAR AL CENTRO DE POSGRADOS Y FORMACIÓN CONTINUA EN ARTICULACION CON LA OFICINA DE ASEGURAMIENTO DE LA CALIDAD Y LAS FACULTADES EN LOS PROCESOS DE AUTOEVALUACION MODIFICACION Y RENOVACION DE LOS REGISTROS CALIFICADOS DE LOS PROGRAMAS DE POSGRADOS DE LA FACULTAD DE CIENCIAS EMPRESARIALES Y ECONOMICAS (ESPECIALIZACION EN GERENCIA DEL MERCADEO Y MAESTRIA EN ADMINISTRACION)  APOYAR A LA FACULTAD CIENCIAS EMPRESARIALES Y ECONÓMICAS EN LA CREACION DE LA MAESTRIA EN GESTION DE LA TRANSFORMACION PRODUCTIVA Y COMPETITIVIDAD,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t>
  </si>
  <si>
    <t>https://community.secop.gov.co/Public/Tendering/ContractNoticePhases/View?PPI=CO1.PPI.25643215&amp;isFromPublicArea=True&amp;isModal=False</t>
  </si>
  <si>
    <t>OPSP-CPF-0050</t>
  </si>
  <si>
    <t>APOYAR AL CENTRO DE POSGRADOS Y FORMACION CONTINUA EN ARTICULACION CON LA OFICINA DE ASEGURAMIENTO DE LA CALIDAD Y LAS FACULTADES LOS PROCESOS DE CREACION, MODIFICACIÓN Y RENOVACIÓN DE LOS REGISTROS CALIFICADOS DE LOS PROGRAMAS DE POSGRADOS DE LA FACULTAD DE CIENCIAS DE LA SALUD,                                                                                                                                  APOYAR EN LA RENOVACION DEL REGISTRO CALIFICADO DE LA MAESTRiA PSICOLOGÍA CLÍNICA, JURÍDICA Y FORENSE, APOYAR EN LOS CARGUES DE PROGRAMAS ANTE LA PLATAFORMA SACES DEL MINISTERIO DE EDUCACIoN EN ARTICULACIÓN CON LA OFICINA ASEGURAMIENTO DE LA CALIDAD, APOYAR EN LA CREACIÓN DEL PROGRAMA DE ESPECIALIZACIÓN EN MÉDICO-QUIRÚRGICAS, APOYAR EN LA LOGÍSTICA DE LOS EVENTOS ACADÉMICOS, ACTIVIDADES DE AUTOEVALUACIÓN Y PLANES DE MEJORAMIENTO DE LOS PROGRAMAS DE POSGRADOS, APOYAR EN LA REDACCION Y PRESENTACION DE LOS INFORMES DE AUTOEVALUACION, DE LOS PROGRAMAS DE POSGRADOS ASIGNADOS CON LAS EVIDENCIAS CORRESPONDIENTE, APOYAR EN LA ASISTENCIA A REUNIONES PROGRAMADAS POR LA OFICINA DE ASEGURAMIENTO DE LA CALIDAD, LAS FACULTADES Y EL MINISTERIO DE EDUCACION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APOYAR EN LOS PROCESOS DE CALIDAD, MATRIZ DE RIESGOS DE LOS PROGRAMAS DEL CENTRO DE POSGRADOS</t>
  </si>
  <si>
    <t>https://community.secop.gov.co/Public/Tendering/ContractNoticePhases/View?PPI=CO1.PPI.26178052&amp;isFromPublicArea=True&amp;isModal=False</t>
  </si>
  <si>
    <t>JOHN ALEXANDER TABORDA</t>
  </si>
  <si>
    <t>819006702-0</t>
  </si>
  <si>
    <t>901409855-6</t>
  </si>
  <si>
    <t>900.576.339-8</t>
  </si>
  <si>
    <t>JEAN ROGELIO LINERO CUETO</t>
  </si>
  <si>
    <t xml:space="preserve">OAG-VEX-0635-2023 </t>
  </si>
  <si>
    <t>LAURA MARIA CORREA GONZALEZ</t>
  </si>
  <si>
    <t>PRESTAR SERVICIOS DE APOYO A LA GESTIÓN EN EL MARCO DEL CONVENIO ESPECÍFICO NO. 3051459 DE 2022, SUSCRITO ENTRE ECOPETROL S.A Y LA UNIVERSIDAD DEL MAGDALENA, PARA EL DESARROLLO DE LAS SIGUIENTES ACTIVIDADES: 1). DESARROLLAR EL MÓDULO INGLÉS PARA EL TURISMO EN EL DIPLOMADO DISEÑO Y COMERCIALIZACIÓN DE PRODUCTOS ARTESANALES - GRUPO CABECERA, CABO DE LA VELA Y PUERTO ESTRELLA</t>
  </si>
  <si>
    <t>https://community.secop.gov.co/Public/Tendering/OpportunityDetail/Index?noticeUID=CO1.NTC.4550026&amp;isFromPublicArea=True&amp;isModal=False</t>
  </si>
  <si>
    <t>OPSP-VEX-0634-2023</t>
  </si>
  <si>
    <t>CLARA MARCELA MONTES MORENO</t>
  </si>
  <si>
    <t xml:space="preserve">
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 GRUPO CABECERA.
</t>
  </si>
  <si>
    <t>https://community.secop.gov.co/Public/Tendering/OpportunityDetail/Index?noticeUID=CO1.NTC.4550323&amp;isFromPublicArea=True&amp;isModal=False</t>
  </si>
  <si>
    <t>OAG-VEX-0633-2023</t>
  </si>
  <si>
    <t>MIRIAM LUZ CASTILLO VIANA</t>
  </si>
  <si>
    <t>PRESTAR SERVICIOS DE APOYO A LA GESTIÓN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GRUPO CABO DE LA VELA.</t>
  </si>
  <si>
    <t>https://community.secop.gov.co/Public/Tendering/OpportunityDetail/Index?noticeUID=CO1.NTC.4550259&amp;isFromPublicArea=True&amp;isModal=False</t>
  </si>
  <si>
    <t>OPSP-VEX-0674-2023</t>
  </si>
  <si>
    <t>JESUS ANTONIO CORREA HELBRUM</t>
  </si>
  <si>
    <t>PRESTAR SERVICIOS PROFESIONALES COMO ANALISTA, EN EL MARCO DEL CONVENIO  NO. 343 DE 2023, SUSCRITO ENTRE LA AUTORIDAD NACIONAL DE ACUICULTURA Y PESCA (AUNAP) Y LA UNIVERSIDAD DEL MAGDALENA, PARA EL DESARROLLO DE LAS SIGUIENTES ACTIVIDADES: 1) REALIZAR EL PROCESO DE VERIFICACIÓN, DEPURACIÓN Y ANÁLISIS DE LAS BASES DE DATOS DE CYE Y BIOLÓGICOS DE LOS LITORALES CARIBE Y PACÍFICO, EN EL MARCO DEL CONVENIO NO. 343 DE 2023 REFERENTE AL PROGRAMA DE OBSERVADORES PESQUEROS DE COLOMBIA (POPC). 2) ENTREGAR MENSUALMENTE UN DOCUMENTO QUE CONTENGA EL PROCESAMIENTO Y ANÁLISIS EXPLORATORIO DE LA COMPOSICIÓN DE LAS CAPTURAS Y LOS REGISTROS BIOLÓGICOS DE LAS PRINCIPALES VARIABLES DE DESEMPEÑO PESQUERO DE LA FLOTA PESQUERA INDUSTRIAL Y ARTESANAL QUE OPERAN EN EL CARIBE Y PACIFICO COLOMBIANO. 3) REPORTAR A LOS SUPERVISORES Y OBSERVADORES PESQUEROS RESPECTIVOS LAS CORRECCIONES QUE DEBEN EFECTUARSE EN LAS DIFERENTES BASES DE DATOS (CYE Y BIOLÓGICOS) DEL POPC Y VERIFICAR SU COMPLETA SUBSANACIÓN EN EL SISTEMA.  4) ELABORAR MATRICES DE SEGUIMIENTO DEL CUMPLIMIENTO DEL NÚMERO DE DÍAS DE EMBARQUE ESTABLECIDOS PARA CADA TIPO DE PESQUERÍA REGISTRADOS EN LOS DOS LITORALES. 5) REALIZAR TRES ENTRENAMIENTOS EN ASPECTOS RELACIONADOS CON LA BIOLOGÍA PESQUERA Y LA TEORÍA DEL MUESTREO A LOS OBSERVADORES DE CADA FLOTA DEL CARIBE Y EL PACÍFICO COLOMBIANO. 6) REALIZAR LOS CAPITULOS UNO Y DOS DEL BOLETIN TECNICO FINAL, DE CONFORMIDAD CON LO ESTABLECIDO EN EL PLAN OPERATIVO DEL CONVENIO.  7) ARCHIVAR LA INFORMACIÓN GENERADA EN EL MARCO DEL PROYECTO EN LOS MEDIOS TECNOLÓGICOS DESIGNADOS POR LA VICERRECTORIA DE EXTENSIÓN Y PROYECCIÓN SOCIAL</t>
  </si>
  <si>
    <t>HARLEY ZUÑIGA</t>
  </si>
  <si>
    <t xml:space="preserve">https://community.secop.gov.co/Public/Tendering/OpportunityDetail/Index?noticeUID=CO1.NTC.4681409&amp;isFromPublicArea=True&amp;isModal=False
</t>
  </si>
  <si>
    <t>OPSP-VEX-0675-2023</t>
  </si>
  <si>
    <t>SERGIO IVAN JIMENEZ SUAREZ</t>
  </si>
  <si>
    <t>PRESTAR SERVICIOS PROFESIONALES COMO SUPERVISOR, EN EL MARCO DEL CONVENIO  NO. 343 DE 2023, SUSCRITO ENTRE LA AUTORIDAD NACIONAL DE ACUICULTURA Y PESCA (AUNAP) Y LA UNIVERSIDAD DEL MAGDALENA, PARA: 1) COORDINAR Y SUPERVISAR LAS ACTIVIDADES DE LOS OBSERVADORES PESQUEROS DEL MUNICIPIO DE TUMACO, DE ACUERDO CON EL MUESTREO A BORDO ESTABLECIDO EN EL MARCO DEL PROGRAMA DE OBSERVADORES PESQUEROS DE COLOMBIA (POPC). 2) ELABORAR MATRICES DE SEGUIMIENTO Y VALIDAR LA INFORMACIÓN REGISTRADA DE LOS DÍAS DE EMBARQUES EN EL MUNICIPIO DE TUMACO.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DEL MUNICIPIO DE TUMACO Y ENVIARLOS A LA SEDE CENTRAL EN SANTA MARTA.  6) ORGANIZAR LA LOGISTICA PARA EL ENTRENAMIENTO DE LOS OBSERVADORES PESQUEROS DEL MUNICIPIO DE TUMACO EN EL LITORAL PACÍFICO COLOMBIANO.  7) ARCHIVAR LA INFORMACIÓN GENERADA EN EL MARCO DEL PROYECTO EN LOS MEDIOS TECNOLÓGICOS DESIGNADOS POR LA VICERRECTORÍA DE EXTENSIÓN Y PROYECCIÓN SOCIAL</t>
  </si>
  <si>
    <t xml:space="preserve">https://community.secop.gov.co/Public/Tendering/OpportunityDetail/Index?noticeUID=CO1.NTC.4681269&amp;isFromPublicArea=True&amp;isModal=False
</t>
  </si>
  <si>
    <t>OPSP-VEX-0676-2023</t>
  </si>
  <si>
    <t>HUGUER ALBERTO REYES ARDILA</t>
  </si>
  <si>
    <t>PRESTAR SERVICIOS PROFESIONALES COMO INGENIRO DE SOPORTE INFORMÁTICO, EN EL MARCO DEL CONVENIO  NO. 343 DE 2023, SUSCRITO ENTRE LA AUTORIDAD NACIONAL DE ACUICULTURA Y PESCA (AUNAP) Y LA UNIVERSIDAD DEL MAGDALENA, PARA: 1) ALIMENTAR MENSUALMENTE LAS TABLAS DE REFERENCIAS DE LAS ESPECIES, EMBARCACIONES Y ZONAS DE PESCA EN LA BASE DE DATOS DEL POPC. 2) ACTUALIZAR MENSUALMENTE LOS INFORMES TABULARES DE CAPTURA POR UNIDAD DE ESFUERZO, BYCATCH/OBJETIVO Y COMPOSICIÓN POR ESPECIE EN EL MÓDULO DEL POPC. 3) MODIFICAR LOS FORMULARIOS DE INGRESO DE INFORMACIÓN EN EL MÓDULO POPC DE ACUERDO CON LA ESTRUCTURA DE LOS FORMULARIOS FÍSICOS DE CAPTURA Y ESFUERZO DE LAS DIFERENTES FLOTAS ARTESANALES E INDUSTRIALES QUE OPERAN EN EL CARIBE Y EL PACÍFICO COLOMBIANO. 4) ARCHIVAR LA INFORMACIÓN GENERADA EN EL MARCO DEL PROYECTO EN LOS MEDIOS TECNOLÓGICOS DESIGNADOS POR LA VICERRECTORIA DE EXTENSIÓN Y PROYECCIÓN SOCIAL</t>
  </si>
  <si>
    <t xml:space="preserve">https://community.secop.gov.co/Public/Tendering/OpportunityDetail/Index?noticeUID=CO1.NTC.4681285&amp;isFromPublicArea=True&amp;isModal=False
</t>
  </si>
  <si>
    <t>OPSP-VEX-0677-2023</t>
  </si>
  <si>
    <t>SANDRA PATRICIA ZAPATA FRAGOSO</t>
  </si>
  <si>
    <t>PRESTAR SERVICIOS PROFESIONALES COMO COORDINADORA LOGÍSTICA, EN EL MARCO DEL CONVENIO  NO. 343 DE 2023, SUSCRITO ENTRE LA AUTORIDAD NACIONAL DE ACUICULTURA Y PESCA (AUNAP) Y LA UNIVERSIDAD DEL MAGDALENA, PARA: 1) EFECTUAR LA LOGÍSTICA DE CONTRATACIÓN PARA LA REALIZACIÓN DE LOS EMBARQUES POR FLOTA EN EL CARIBE Y EL PACIFICO COLOMBIANO. 2) REALIZAR LA CONTRATACIÓN DE INSUMOS REQUERIDOS POR LOS OBSERVADORES PESQUEROS PARA LA TOMA DE INFORMACIÓN A BORDO DE LAS FLOTAS INDUSTRIALES Y ARTESANALES DEL CARIBE Y PACIFICO COLOMBIANO. 3) ELABORAR LOS INFORMES DE PLANEACIÓN Y SEGUIMIENTO  MENSUALES Y EL INFORME DE EJECUCIÓN FINAL COMPROMETIDO EN EL CONVENIO. 4)  ARCHIVAR LA INFORMACIÓN GENERADA EN EL MARCO DEL PROYECTO EN LOS MEDIOS TECNOLÓGICOS DESIGNADOS POR LA VICERRECTORÍA DE EXTENSIÓN Y PROYECCIÓN SOCIAL</t>
  </si>
  <si>
    <t>https://community.secop.gov.co/Public/Tendering/OpportunityDetail/Index?noticeUID=CO1.NTC.4681529&amp;isFromPublicArea=True&amp;isModal=False</t>
  </si>
  <si>
    <t>OPSP-VEX-0678-2023</t>
  </si>
  <si>
    <t>DANETCY PATRICIA MARMOL RADA</t>
  </si>
  <si>
    <t>PRESTAR SERVICIOS PROFESIONALES COMO COORDINADORA TÉCNICA, EN EL MARCO DEL CONVENIO NO. 343 DE 2023, SUSCRITO ENTRE LA AUTORIDAD NACIONAL DE ACUICULTURA Y PESCA (AUNAP) Y LA UNIVERSIDAD DEL MAGDALENA, PARA EL DESARROLLO DE LAS SIGUIENTES ACTIVIDADES: 1) DIRIGIR LOS ASPECTOS ADMINISTRATIVOS Y CIENTÍFICOS DEL CONVENIO NO. 343 DE 2023 CELEBRADO ENTRE LA AUTORIDAD NACIONAL DE ACUICULTURA Y PESCA AUNAP Y LA UNIVERSIDAD DEL MAGDALENA, RELACIONADO CON EL PROGRAMA DE OBSERVADORES PESQUEROS DE COLOMBIA (POPC). 2) COORDINAR AL EQUIPO TÉCNICO VINCULADO AL CONTRATO PARA LAS ACTIVIDADES DE COLECTA, DIGITACIÓN, ANÁLISIS Y DEPURACIÓN DE DATOS DEL POPC. 3) ATENDER LOS REQUERIMIENTOS TÉCNICOS DE LA AUNAP Y LAS REUNIONES CON EL COMITÉ DE SUPERVISIÓN DEL CONVENIO. 4) COORDINAR LOS TALLERES DE CAPACITACIÓN Y SOCIALIZACIÓN DE RESULTADOS DEL POPC, ASÍ COMO LA INTERLOCUCIÓN CON LOS TÉCNICOS DE LA AUNAP PARA COORDINAR LA LOGÍSTICA DE LOS EMBARQUES DE LOS OBSERVADORES. 5) ENTREGAR LOS PRODUCTOS COMPROMETIDOS EN EL CONVENIO. 6) REALIZAR EL INFORME TÉCNICO FINAL Y LOS INFORMES DE AVANCE COMPROMETIDOS EN EL CONVENIO. 7) EFECTUAR SEGUIMIENTO A LAS ACTIVIDADES DEL EQUIPO ADMINISTRATIVO VINCULADO AL CONVENIO. 8) REALIZAR SEGUIMIENTO AL CUMPLIMIENTO DE LAS ÓRDENES DE SERVICIOS Y ORDENES DE COMPRAS RELACIONADAS CON EL CONVENIO. 9) ARCHIVAR LA INFORMACIÓN GENERADA EN EL MARCO DEL PROYECTO EN LOS MEDIOS TECNOLÓGICOS DESIGNADOS POR LA VICERRECTORÍA DE EXTENSIÓN Y PROYECCIÓN SOCIAL.</t>
  </si>
  <si>
    <t>https://community.secop.gov.co/Public/Tendering/OpportunityDetail/Index?noticeUID=CO1.NTC.4681602&amp;isFromPublicArea=True&amp;isModal=False</t>
  </si>
  <si>
    <t>OPSP-VEX-0679-2023</t>
  </si>
  <si>
    <t>FELIX DE JESUS CUELLO</t>
  </si>
  <si>
    <t>PRESTAR SERVICIOS PROFESIONALES EN EL MARCO DEL CONVENIO  NO. 343 DE 2023, SUSCRITO ENTRE LA AUTORIDAD NACIONAL DE ACUICULTURA Y PESCA (AUNAP) Y LA UNIVERSIDAD DEL MAGDALENA, PARA EL DESARROLLO DE LAS SIGUIENTES ACTIVIDADES: 1) CONSOLIDAR LA BASE DE DATOS (GEODATABASE) EN FORMATO COMPATIBLE CON ARCGIS DE LA INFORMACIÓN REGISTRADA A BORDO DE LAS DIFERENTES FLOTAS PESQUERAS INDUSTRIALES Y ARTESANALES DE LOS LITORALES CARIBE Y PACÍFICO. 2) REALIZAR LA CARTOGRAFÍA DE LA ABUNDANCIA, LA CAPTURA POR UNIDAD DE ESFUERZO Y LA ESTRUCTURA DE LAS PRINCIPALES ESPECIES POR TIPO DE CAPTURA (OBJETIVO, INCIDENTAL Y DESCARTE). 3) ARCHIVAR  LA INFORMACIÓN GENERADA EN EL MARCO DEL PROYECTO EN LOS MEDIOS TECNOLÓGICOS DESIGNADOS POR LA VICERRECTORIA DE EXTENSIÓN Y PROYECCIÓN SOCIAL</t>
  </si>
  <si>
    <t xml:space="preserve">https://community.secop.gov.co/Public/Tendering/OpportunityDetail/Index?noticeUID=CO1.NTC.4681610&amp;isFromPublicArea=True&amp;isModal=False
</t>
  </si>
  <si>
    <t>OPSP-VEX-0680-2023</t>
  </si>
  <si>
    <t>LINA MARCELA PIMIENTA RODRIGUEZ</t>
  </si>
  <si>
    <t>PRESTAR SERVICIOS PROFESIONALES EN EL MARCO DEL CONVENIO  NO. 343 DE 2023, SUSCRITO ENTRE LA AUTORIDAD NACIONAL DE ACUICULTURA Y PESCA (AUNAP) Y LA UNIVERSIDAD DEL MAGDALENA, PARA EL DESARROLLO DE LAS SIGUIENTES ACTIVIDADES: 1) DIGITAR Y DIGITALIZAR LOS FORMULARIOS QUE SE REGISTRAN A BORDO DE LAS DIFERENTES FLOTAS ARTESANALES E INDUSTRIALES QUE OPERAN EN EL CARIBE COLOMBIANO. 2) COORDINAR LA DISTRIBUCIÓN Y RECEPCIÓN DE LOS FORMULARIOS E IMPLEMENTOS UTILIZADOS POR LOS OBSERVADORES EN EL MONITOREO A BORDO DE LAS DIFERENTES FLOTAS ARTESANALES E INDUSTRIALES QUE OPERAN EN EL CARIBE COLOMBIANO.  3) REVISAR Y VALIDAR LAS VARIABLES TECNOLÓGICAS DE LOS ARTES DE PESCA EN LA BASE DE DATOS DE CAPTURA Y ESFUERZO Y REALIZAR UN DOCUMENTO CON EL ANÁLISIS DE LOS CAMBIOS HISTÓRICOS DEL PODER DE PESCA Y LA SELECTIVIDAD DE LOS ARTES MUESTREADOS, EN EL LITORAL CARIBE. 4) ARCHIVAR  LA INFORMACIÓN GENERADA EN EL MARCO DEL PROYECTO EN LOS MEDIOS TECNOLÓGICOS DESIGNADOS POR LA VICERRECTORIA DE EXTENSIÓN Y PROYECCIÓN SOCIAL</t>
  </si>
  <si>
    <t xml:space="preserve">https://community.secop.gov.co/Public/Tendering/OpportunityDetail/Index?noticeUID=CO1.NTC.4681620&amp;isFromPublicArea=True&amp;isModal=False
</t>
  </si>
  <si>
    <t>OPSP-VEX-0681-2023</t>
  </si>
  <si>
    <t>LUIS ALBERTO ERAZO CARO</t>
  </si>
  <si>
    <t xml:space="preserve">PRESTAR SERVICIOS PROFESIONALES EN EL MARCO DEL CONVENIO  NO. 343 DE 2023, SUSCRITO ENTRE LA AUTORIDAD NACIONAL DE ACUICULTURA Y PESCA (AUNAP) Y LA UNIVERSIDAD DEL MAGDALENA, PARA: 1) DIGITAR Y DIGITALIZAR LOS FORMULARIOS QUE SE REGISTRAN A BORDO DE LAS DIFERENTES FLOTAS ARTESANALES E INDUSTRIALES QUE OPERAN EN EL PACÍFICO COLOMBIANO.2) COORDINAR LA DISTRIBUCIÓN Y RECEPCIÓN DE LOS FORMULARIOS E IMPLEMENTOS UTILIZADOS POR LOS OBSERVADORES EN EL MONITOREO A BORDO DE LAS DIFERENTES FLOTAS ARTESANALES E INDUSTRIALES QUE OPERAN EN EL PACÍFICO COLOMBIANO. 3) REVISAR Y VALIDAR LAS VARIABLES TECNOLÓGICAS DE LOS ARTES DE PESCA EN LA BASE DE DATOS DE CAPTURA Y ESFUERZO Y REALIZAR UN DOCUMENTO CON EL ANÁLISIS DE LOS CAMBIOS HISTÓRICOS DEL PODER DE PESCA Y LA SELECTIVIDAD DE LOS ARTES MUESTREADOS EN EL LITORAL PACÍFICO.4) ARCHIVAR  LA INFORMACIÓN GENERADA EN EL MARCO DEL PROYECTO EN LOS MEDIOS TECNOLÓGICOS DESIGNADOS POR LA VICERRECTORIA DE EXTENSIÓN Y PROYECCIÓN SOCIAL. </t>
  </si>
  <si>
    <t xml:space="preserve">https://community.secop.gov.co/Public/Tendering/OpportunityDetail/Index?noticeUID=CO1.NTC.4681446&amp;isFromPublicArea=True&amp;isModal=False
</t>
  </si>
  <si>
    <t>OPSP-VEX-0682-2023</t>
  </si>
  <si>
    <t>EMILIANO ZAMBRANO RODRIGUEZ</t>
  </si>
  <si>
    <t>PRESTAR SERVICIOS PROFESIONALES COMO SUPERVISOR, EN EL MARCO DEL CONVENIO  NO. 343 DE 2023, SUSCRITO ENTRE LA AUTORIDAD NACIONAL DE ACUICULTURA Y PESCA (AUNAP) Y LA UNIVERSIDAD DEL MAGDALENA, PARA: 1) COORDINAR Y SUPERVISAR LAS ACTIVIDADES DE LOS OBSERVADORES PESQUEROS EN LA CIUDAD DE BUENAVENTURA, DE ACUERDO CON EL MUESTREO A BORDO ESTABLECIDO EN EL MARCO DEL PROGRAMA DE OBSERVADORES PESQUEROS DE COLOMBIA (POPC). 2) ELABORAR MATRICES DE SEGUIMIENTO Y VALIDAR LA INFORMACIÓN REGISTRADA DE LOS DÍAS DE EMBARQUES EN LA CIUDAD DE BUENAVENTURA.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 LA CIUDAD DE BUENAVENTURA Y ENVIARLOS A LA SEDE CENTRAL EN SANTA MARTA. 6) ORGANIZAR LA LOGISTICA PARA EL ENTRENAMIENTO DE LOS OBSERVADORES PESQUEROS DE LA CIUDAD DE BUENAVENTURA. 7) ARCHIVAR LA INFORMACIÓN GENERADA EN EL MARCO DEL PROYECTO EN LOS MEDIOS TECNOLÓGICOS DESIGNADOS POR LA VICERRECTORÍA DE EXTENSIÓN Y PROYECCIÓN SOCIAL</t>
  </si>
  <si>
    <t>https://community.secop.gov.co/Public/Tendering/OpportunityDetail/Index?noticeUID=CO1.NTC.4681461&amp;isFromPublicArea=True&amp;isModal=False</t>
  </si>
  <si>
    <t>OPSP-VEX-0683-2023</t>
  </si>
  <si>
    <t>DIEGO FERNANDO CORDOBA ROJAS</t>
  </si>
  <si>
    <t xml:space="preserve">PRESTAR SERVICIOS PROFESIONALES COMO TAXÓNOMO, EN EL MARCO DEL CONVENIO  NO. 343 DE 2023, SUSCRITO ENTRE LA AUTORIDAD NACIONAL DE ACUICULTURA Y PESCA (AUNAP) Y LA UNIVERSIDAD DEL MAGDALENA, PARA: 1) ACTUALIZAR LAS TABLAS DE REFERENCIA (NOMBRES CIENTÍFICOS DE LAS DIFERENTES CATEGORÍAS TAXONÓMICAS Y NOMBRES VERNACULARES) DE LAS ESPECIES CAPTURADAS EN EL LITORAL PACÍFICO.  2) BRINDAR ORIENTACIÓN POR MEDIO VIRTUAL O PRESENCIAL A LOS OBSERVADORES PESQUEROS, SUPERVISORES Y ANALISTA, PARA LA IDENTIFICACIÓN TAXONÓMICA DE LAS ESPECIES CAPTURADAS EN EL LITORAL PACÍFICO. 3) EMITER REPORTE MENSUAL AL SUPERVISOR RESPECTIVO DE LOS ERRORES U OMISIONES DETECTADOS EN LAS BASES DE DATOS DE LAS DIFERENTES FLOTAS MUESTREAS EN EL LITORAL PACÍFICO. 5) REALIZAR DOS ENTRENAMIENTOS PRESENCIALES EN ASPECTOS RELACIONADOS CON LA TAXONOMÍA DE LAS ESPECIES A LOS OBSERVADORES DE CADA FLOTA DEL PACÍFICO COLOMBIANO. 6) REVISAR Y VERIFICAR LA CLASIFICACIÓN TAXONÓMICA DE LAS ESPECIES REPORTADAS PARA LA ELABORACIÓN DEL BOLETÍN TÉCNICO FINAL A ENTREGAR A LA AUNAP. 7) ARCHIVAR LA INFORMACIÓN GENERADA EN EL MARCO DEL PROYECTO EN LOS MEDIOS TECNOLÓGICOS DESIGNADOS POR LA VICERRECTORÍA DE EXTENSIÓN Y PROYECCIÓN SOCIAL. </t>
  </si>
  <si>
    <t xml:space="preserve">https://community.secop.gov.co/Public/Tendering/OpportunityDetail/Index?noticeUID=CO1.NTC.4681565&amp;isFromPublicArea=True&amp;isModal=False
</t>
  </si>
  <si>
    <t>OPSP-VEX-0684-2023</t>
  </si>
  <si>
    <t>MAURICIO VERGARA CAUSIL</t>
  </si>
  <si>
    <t>PRESTAR SERVICIOS PROFESIONALES COMO SUPERVISOR, EN EL MARCO DEL CONVENIO  NO. 343 DE 2023, SUSCRITO ENTRE LA AUTORIDAD NACIONAL DE ACUICULTURA Y PESCA (AUNAP) Y LA UNIVERSIDAD DEL MAGDALENA, PARA: 1) COORDINAR Y SUPERVISAR LAS ACTIVIDADES DE LOS OBSERVADORES PESQUEROS DEL CARIBE, DE ACUERDO CON EL MUESTREO A BORDO ESTABLECIDO EN EL MARCO DEL PROGRAMA DE OBSERVADORES PESQUEROS DE COLOMBIA (POPC).  2) ELABORAR MATRICES DE SEGUIMIENTO Y VALIDAR LA INFORMACIÓN REGISTRADA DE LOS DÍAS DE EMBARQUES EN EL LITORAL CARIBE. 3) RETROALIMENTAR A LOS OBSERVADORES MENSUALMENTE CON LOS REPORTES GENERADOS POR EL ANALISTA DEL POPC Y ESTABLECER LAS ACCIONES CORRECTORAS. 4) COMPARAR MENSUALMENTE LAS CAPTURAS REGISTRADAS CON LOS DATOS DEL MES ANTERIOR PARA CADA FLOTA MONITOREADA, A FIN DE IDENTIFICAR LA OCURRENCIA O NO DE DIFERENCIAS NOTORIAS Y ENTREGAR LA BITACORA CON EL ANALISIS DE LAS POSIBLES CAUSAS DE ACUERDO CON EVENTUALIDADES SOCIALES, AMBIENTALES Y ECONÓMICAS. 5) REVISAR Y ORDENAR LOS FORMULARIOS DILIGENCIADOS A BORDO POR LOS OBSERVADORES PESQUEROS DEL CARIBE Y ENVIARLOS A LA SEDE CENTRAL EN SANTA MARTA. 6) ORGANIZAR LA LOGISTICA PARA EL ENTRENAMIENTO DE LOS OBSERVADORES PESQUEROS DEL CARIBE COLOMBIANO. 7) ARCHIVAR LA INFORMACIÓN GENERADA EN EL MARCO DEL PROYECTO EN LOS MEDIOS TECNOLÓGICOS DESIGNADOS POR LA VICERRECTORÍA DE EXTENSIÓN Y PROYECCIÓN SOCIAL</t>
  </si>
  <si>
    <t xml:space="preserve">https://community.secop.gov.co/Public/Tendering/OpportunityDetail/Index?noticeUID=CO1.NTC.4681805&amp;isFromPublicArea=True&amp;isModal=False
</t>
  </si>
  <si>
    <t>OPSP-VEX-0685-2023</t>
  </si>
  <si>
    <t>MIRLA YANETH SANCHEZ PIMIENTA</t>
  </si>
  <si>
    <t xml:space="preserve">PRESTAR SERVICIOS PROFESIONALES COMO TAXÓNOMO, EN EL MARCO DEL CONVENIO  NO. 343 DE 2023, SUSCRITO ENTRE LA AUTORIDAD NACIONAL DE ACUICULTURA Y PESCA (AUNAP) Y LA UNIVERSIDAD DEL MAGDALENA, PARA: 1) ACTUALIZAR LAS TABLAS DE REFERENCIA (NOMBRES CIENTÍFICOS DE LAS DIFERENTES CATEGORÍAS TAXONÓMICAS Y NOMBRES VERNACULARES) DE LAS ESPECIES CAPTURADAS EN EL LITORAL CARIBE COLOMBIANO. 2) BRINDAR ORIENTACIÓN POR MEDIO VIRTUAL O PRESENCIAL A LOS OBSERVADORES PESQUEROS, SUPERVISORES Y ANALISTA, PARA LA IDENTIFICACIÓN TAXONÓMICA DE LAS ESPECIES CAPTURADAS EN EL LITORAL CARIBE COLOMBIANO. 3) EMITER REPORTE MENSUAL AL SUPERVISOR RESPECTIVO DE LOS ERRORES U OMISIONES DETECTADOS EN LAS BASES DE DATOS DE LAS DIFERENTES FLOTAS MUESTREAS EN EL LITORAL CARIBE COLOMBIANO.  5) REALIZAR DOS ENTRENAMIENTOS PRESENCIALES EN ASPECTOS RELACIONADOS CON LA TAXONOMÍA DE LAS ESPECIES A LOS OBSERVADORES DE CADA FLOTA DEL CARIBE COLOMBIANO. 6) REVISAR Y VERIFICAR LA CLASIFICACIÓN TAXONÓMICA DE LAS ESPECIES REPORTADAS PARA LA ELABORACIÓN DEL BOLETÍN TÉCNICO FINAL A ENTREGAR A LA AUNAP. 7) ARCHIVAR LA INFORMACIÓN GENERADA EN EL MARCO DEL PROYECTO EN LOS MEDIOS TECNOLÓGICOS DESIGNADOS POR LA VICERRECTORÍA DE EXTENSIÓN Y PROYECCIÓN SOCIAL. </t>
  </si>
  <si>
    <t xml:space="preserve">https://community.secop.gov.co/Public/Tendering/OpportunityDetail/Index?noticeUID=CO1.NTC.4681807&amp;isFromPublicArea=True&amp;isModal=False
</t>
  </si>
  <si>
    <t>OAG-VEX-0700-2023</t>
  </si>
  <si>
    <t>CESAR ALBERTO MERA RUIZ</t>
  </si>
  <si>
    <t>PRESTAR SERVICIOS DE APOYO A LA GESTIÓN EN EL MARCO DEL CONVENIO ESPECÍFICO NO.3051459 DE 2022, SUSCRITO ENTRE ECOPETROL S.A Y LA UNIVERSIDAD DEL MAGDALENA, PARA EL DESARROLLO DE LAS SIGUIENTES ACTIVIDADES: 1). DESARROLLAR LOS MÓDULOS DE FORMALIZACIÓN EMPRESARIAL Y GESTIÓN DE RELACIONES ESTRATÉGICAS EN EL DIPLOMADO FORMACIÓN Y ORGANIZACIÓN EMPRESARIAL GRUPO PUNTA GALLINAS. 2) ARCHIVAR LA INFORMACIÓN GENERADA EN EL MARCO DEL CONVENIO EN LOS MEDIOS TECNOLÓGICOS DESIGNADOS POR LA VICERRECTORÍA DE EXTENSIÓN Y PROYECCIÓN SOCIAL</t>
  </si>
  <si>
    <t>https://community.secop.gov.co/Public/Tendering/OpportunityDetail/Index?noticeUID=CO1.NTC.4730620&amp;isFromPublicArea=True&amp;isModal=False</t>
  </si>
  <si>
    <t>OPSP-VEX-0702-2023</t>
  </si>
  <si>
    <t>HERNANDO JOSE MOGOLLON ROCHA</t>
  </si>
  <si>
    <t>PRESTAR SERVICIOS PROFESIONALES PARA EL DESARROLLO DE LAS SIGUIENTES ACTIVIDADES: 1) REGISTRAR ORDENES DE SERVICIO EN LAS PLATAFORMA SIA OBSERVA, SECOP Y SIGEP II. 2) REGISTRAR LOS PAGOS DE LAS ORDENES DE SERVICIO EN LAS PLATAFORMA SIA OBSERVA Y SECOP.  3) ELABORAR Y ACTUALIZAR MATRIZ DE LOS PROCESOS CONTRACTUALES 4) REALIZAR LA REVISIÓN Y CODIFICACIÓN DE SOPORTES CONTABLES.  5) VERIFICAR LOS REGISTROS SISTEMATIZADOS. 6) ARCHIVAR  LA INFORMACIÓN GENERADA EN EL MARCO DEL PROYECTO EN LOS MEDIOS TECNOLÓGICOS DESIGNADOS POR LA VICERECTORIA DE EXTENSIÓN Y PROYECCIÓN SOCIAL</t>
  </si>
  <si>
    <t>https://community.secop.gov.co/Public/Tendering/OpportunityDetail/Index?noticeUID=CO1.NTC.4730967&amp;isFromPublicArea=True&amp;isModal=False</t>
  </si>
  <si>
    <t xml:space="preserve">OPSP-VEX-0703-2023 </t>
  </si>
  <si>
    <t>ESPERANZA MOSQUERA MATURANA</t>
  </si>
  <si>
    <t>PRESTAR SERVICIOS PROFESIONALES EN EL MARCO DEL CONVENIO ESPECÍFICO NO. 3051459 DE 2022, SUSCRITO ENTRE ECOPETROL S.A Y LA UNIVERSIDAD DEL MAGDALENA, PARA EL DESARROLLO DE LAS SIGUIENTES ACTIVIDADES: 1) DESARROLLAR EL MÓDULO DE FORMACIÓN EMPRESARIAL EN EL DIPLOMADO FORMACIÓN Y ORGANIZACIÓN EMPRESARIAL GRUPO PUNTA GALLINAS.</t>
  </si>
  <si>
    <t>https://community.secop.gov.co/Public/Tendering/OpportunityDetail/Index?noticeUID=CO1.NTC.4730991&amp;isFromPublicArea=True&amp;isModal=False</t>
  </si>
  <si>
    <t>OPSP-VEX-0519-2023</t>
  </si>
  <si>
    <t xml:space="preserve">VIVERLYS LEINITH DIAZ GUTIERREZ </t>
  </si>
  <si>
    <t xml:space="preserve">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DEL CUMPLIMIENTO DE LA LEGISLACIÓN AMBIENTAL VIGENTE, ESPECIALMENTE AQUELLA QUE DE MANERA DIRECTA IMPACTE EN EL CONTRATO DE OBRA. 2. SOLICITAR AL EJECUTOR DE OBRA LA ELABORACIÓN DEL PLAN DE MANEJO AMBIENTAL Y REALIZAR SEGUIMIENTO. 3. APOYAR EN LA VERIFICACIÓN DE LOS PERMISOS REQUERIDOS POR LAS AUTORIDADES AMBIENTALES COMPETENTES, PARA LA EJECUCIÓN DE ACTIVIDADES CONSTRUCTIVAS Y OPERATIVAS, SEGÚN SEA EL CASO. 4. APOYAR EN LA SUPERVISIÓN DE LA IMPLEMENTACIÓN EN LAS MEDIDAS ESTIPULADAS DEL PLAN DE MANEJO AMBIENTAL, ASÍ COMO EN LOS PERMISOS O AUTORIZACIONES EMITIDOS POR LAS AUTORIDADES AMBIENTALES COMPETENTES Y REPORTAR LAS INCONFORMIDADES QUE SE EVIDENCIEN AL COORDINADOR DE LA INTERVENTORÍA.5. APOYAR EN LA VERIFICACIÓN DE LOS REQUERIMIENTOS SOCIO AMBIENTALES (SOCIALIZAR ANTE LA COMUNIDAD Y AUTORIDADES LOCALES, Y FACILITAR EL CONTROL CIUDADANO). 6. ATENDER LAS SOLICITUDES DE INFORMACIÓN, VISITAS DE INSPECCIÓN Y CUALQUIER ACTIVIDAD QUE PROGRAMEN LAS PARTES INTERESADAS EN EL MANEJO AMBIENTAL DEL PROYECTO. 7. APOYAR EN LA EVALUACIÓN CONTINUA DE LA APLICACIÓN DEL PLAN DE MANEJO AMBIENTAL ANEXANDO EVIDENCIAS OBJETIVAS DE SU IMPLEMENTACIÓN Y EL REGISTRO FOTOGRÁFICO. 8. APOYAR EN EL REPORTE DE TODA CONTRAVENCIÓN O ACCIONES DE PERSONAS QUE RESIDAN O TRABAJEN EN LA OBRA Y QUE ORIGINEN DAÑO AMBIENTAL, A FIN DE QUE SE ADOPTEN LOS CORRECTIVOS Y SE TOMEN LAS ACCIONES PERTINENTES. 9. SOLICITAR AL EJECUTOR DE OBRA EL PLAN DE CONTINGENCIA Y APOYAR EN LA VERIFICACIÓN DE SU CUMPLIMIENTO, CON MIRAS A MINIMIZAR IMPACTOS EN CASO DE PERTURBACIÓN INVOLUNTARIA A LOS RECURSOS NATURALES RENOVABLES. 10. ELABORAR LOS REPORTES E INFORMES QUE SOLICITE EL COORDINADOR DE INTERVENTORÍA. </t>
  </si>
  <si>
    <t>PEDRO MERCADO GONZALEZ</t>
  </si>
  <si>
    <t>https://community.secop.gov.co/Public/Tendering/OpportunityDetail/Index?noticeUID=CO1.NTC.4226504&amp;isFromPublicArea=True&amp;isModal=False</t>
  </si>
  <si>
    <t>OPSP-VEX-0518-2023</t>
  </si>
  <si>
    <t xml:space="preserve">DIOMARA MARGARITA SUAREZ SEGURA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</si>
  <si>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EN CAMPO DEL CUMPLIMIENTO OPORTUNO A LAS OBLIGACIONES A CARGO DEL EJECUTOR DE OBRA, CON EL FIN DE EVITAR PARALIZACIONES EN LAS ACTIVIDADES. 2. PRESENTAR LOS INFORMES Y REPORTE QUE SEAN SOLICITADOS POR EL DIRECTOR DE LA INTERVENTORÍA. 3. APOYAR EN LA CONSOLIDACIÓN DE PAGOS Y REGISTRO CRONOLÓGICO DE DESEMBOLSOS, AJUSTES Y DEDUCCIONES REALIZADOS POR CORPAMAG 4. APOYAR AL DIRECTOR DE LA INTERVENTORÍA A TRAMITAR EN FORMA OPORTUNA LAS SOLICITUDES DE MODIFICACIÓN, ADICIÓN O PRÓRROGA DEL PROYECTO. 5.  CONSOLIDAR Y PRESENTAR AL DIRECTOR, LA DOCUMENTACIÓN REQUERIDA PARA LA LIQUIDACIÓN DEL CONTRATO DE INTERVENTORÍA. 6. APOYAR EN LA ELABORACIÓN DEL ACTA DE LIQUIDACIÓN DEL PROYECTO. 7. MANTENER INFORMADO AL DIRECTOR CUANDO SE EVIDENCIE MORA EN LOS PLAZOS PREVISTOS PARA LA PRESENTACIÓN DE INFORMES, TRABAJOS U OBRAS, O DEFICIENCIAS EN EL CUMPLIMIENTO DE LAS ESPECIFICACIONES TÉCNICAS DE LOS BIENES, OBRAS O SERVICIOS CONTRATADOS POR PARTE DEL EJECUTOR DE OBRA 8. APOYAR EN LA CONSOLIDACIÓN DE LA INFORMACIÓN DE EJECUCIÓN DEL PROYECTO CON EL FIN DE IDENTIFICAR INCUMPLIMIENTO EN LOS PLAZOS DE EJECUCIÓN Y EN CASO DE PERSISTIR EL INCUMPLIMIENTO, INFORMAR OPORTUNAMENTE Y POR ESCRITO AL DIRECTOR, ANEXANDO TODOS LOS ANTECEDENTES Y PRUEBAS QUE PUEDAN SERVIR DE SOPORTE PARA LA ADOPCIÓN DE LAS MEDIDAS DEL CASO. 9. REALIZAR EL SEGUIMIENTO Y VERIFICACIÓN DEL CUMPLIMIENTO DE REQUISITOS LEGALES Y CONTRACTUALES.  10.APOYAR EN EL SEGUIMIENTO INTEGRAL DEL PROYECTO OBJETO DE INTERVENTORÍA Y REPORTAR AL DIRECTOR. 11. APOYAR EN LA REVISIÓN Y VERIFICACIÓN DE LAS GARANTÍAS DEL PROYECTO SOBRE EL CUAL EJERCE LAS FUNCIONES DE INTERVENTORÍA. 12. APOYAR EN LA REVISIÓN Y VERIFICACIÓN  DE LOS PRECIOS UNITARIOS DE LAS ACTIVIDADES A CARGO DEL EJECUTOR DE  OBRA. 13. APOYAR EN LA REVISIÓN PREVIA SUSCRIPCIÓN DEL ACTA DE INICIO  LOS SIGUIENTES ASPECTOS E INFORMAR AL DIRECTOR DE LA INTERVENTORÍA. -ANÁLISIS DE PRECIOS UNITARIOS PROGRAMA DE OBRA - PROGRAMA DE  INVERSIONES - HOJAS DE VIDA DEL PERSONAL DEL PROYECTO - PLAN DE  MANEJO AMBIENTAL - PLANOS Y ESPECIFICACIONES DEL PROYECTO; - EQUIPO  DISPONIBLE CON SU RESPECTIVA PRUEBA - REQUERIMIENTOS DE MANO DE OBRA; - LOS DEMÁS ASPECTOS QUE EN SU CRITERIO SEAN FUNDAMENTALES  PARA EL NORMAL DESARROLLO DEL CONTRATO. 14. ACTUALIZAR CONSTANTEMENTE DE LA INFORMACIÓN CORRESPONDIENTE AL AVANCE FÍSICO Y FINANCIERO DEL CONTRATO A CARGO DEL EJECUTOR DE OBRA Y PRESENTARLO AL DIRECTOR DE LA INTERVENTORÍA CADA SEMANA, 15. APOYAR EN LA REVISIÓN DE LAS FACTURAS DE PAGO PRESENTADAS POR EL EJECUTOR DE OBRA. 16.  APOYAR EN LA SUPERVISIÓN DEL CRONOGRAMA Y FLUJO DE INVERSIÓN DEL CONTRATO. 17. ELABORAR Y PRESENTAR AL DIRECTOR INFORME FINAL QUE, CONTENGA LA INFORMACIÓN TÉCNICA Y FINANCIERA DEL PROYECTO</t>
  </si>
  <si>
    <t>https://community.secop.gov.co/Public/Tendering/OpportunityDetail/Index?noticeUID=CO1.NTC.4226264&amp;isFromPublicArea=True&amp;isModal=False</t>
  </si>
  <si>
    <t>OPSP-VEX-0517-2023</t>
  </si>
  <si>
    <t xml:space="preserve">HERNAN QUINTANA ESCALANTE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</si>
  <si>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 LAS CANTIDADES DE OBRA ESTABLECIDAS EN EL CONTRATO DEL EJECUTOR DE OBRA, A PARTIR DE LAS MEDICIONES QUE SE REALICEN EN CAMPO E INFORMARLAS AL DIRECTOR. 2.CONSTRUIR Y PRESENTAR ANTE EL COORDINADOR DE LA INTERVENTORÍA LOS INFORMES TÉCNICOS QUE CONTENGAN AQUELLOS ASPECTOS QUE REPERCUTAN EN EL NORMAL DESARROLLO DEL CONTRATO DE INTERVENTORÍA Y QUE PUEDAN IMPLICAR MODIFICACIONES AL MISMO.3.INFORMAR AL COORDINADOR DE LA INTERVENTORÍA CUANDO SEA NECESARIO LAS CORRECCIONES EXISTENTES POR LAS DIFERENCIAS ENTRE LAS NECESIDADES TÉCNICAS DEFINIDAS EN EL CONTRATO Y LAS ACTIVIDADES REALIZADAS POR EL EJECUTOR DE OBRA.4.APOYAR EN LA SUPERVISIÓN DE LA  LOCALIZACIÓN DE LOS TRABAJOS QUE SE REQUIEREN EN CAMPO PARA EL CORRECTO DESARROLLO DEL PROYECTO.5.CONSTRUIR Y SUPERVISAR EL DIARIO O BITÁCORA DEL PROYECTO, EN EL CUAL SE CONSIGNARÁN TODAS LAS INSTRUCCIONES, OBSERVACIONES, EJECUCIONES Y DETERMINACIONES RELACIONADAS CON EL DESARROLLO DEL PROYECTO. ESTE DOCUMENTO DEBERÁ PERMANECER DISPONIBLE EN CAMPO QUE REGISTRARÁ TODAS LAS ACTIVIDADES REALIZADAS DESDE EL ACTA DE INICIO HASTA LA FINALIZACIÓN DEL CONTRATO DE INTERVENTORÍA. 6. APOYAR EN LA VERIFICACIÓN DE LOS ENSAYOS DE LABORATORIO O PRUEBAS DE CAMPO DE LOS EQUIPOS, MATERIALES, BIENES, INSUMOS Y PRODUCTOS QUE SE REALICEN EL PROYECTO.7. APOYAR EN LA CONSOLIDACIÓN DE LAS SOLICITUDES QUE EMITA EL EJECUTOR DE OBRA. 8.INFORMAR AL DIRECTOR DE LA INTERVENTORÍA SOBRE EL AVANCE TÉCNICO DEL CONTRATO. 9. PRESENTAR INFORME MENSUAL AL DIRECTOR DE LA INTERVENTORÍA QUE INDIQUE Y SEÑALE LOS POSIBLES RIESGOS DE CARÁCTER TÉCNICO, AMBIENTAL, HIDRÁULICO, O DE CUALQUIER TIPO QUE PUDIERA AFECTAR LA CORRECTA EJECUCIÓN Y AVANCE DEL PROYECTO.10. ELABORAR TODOS LOS REPORTES E INFORMES, CON LA PERIODICIDAD QUE AL RESPECTO ESTABLEZCA EL DIRECTOR DE LA INTERVENTORÍA.11. APOYAR EN LA ELABORACIÓN DE ACTAS DE RECIBO PARCIAL EN CAMPO O DE OBRA.12. ELABORAR LOS REPORTES E INFORMES QUE SOLICITE EL COORDINADOR DE LA INTERVENTORÍA</t>
  </si>
  <si>
    <t>https://community.secop.gov.co/Public/Tendering/OpportunityDetail/Index?noticeUID=CO1.NTC.4226000&amp;isFromPublicArea=True&amp;isModal=False</t>
  </si>
  <si>
    <t>OPSP-VEX-0487-2023</t>
  </si>
  <si>
    <t>MARTHA LILIANA DE HOYOS BAÑOS</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</si>
  <si>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t>
  </si>
  <si>
    <t>GUSTAVO ADOLFO HERNANDEZ CORTES</t>
  </si>
  <si>
    <t>https://community.secop.gov.co/Public/Tendering/OpportunityDetail/Index?noticeUID=CO1.NTC.4205388&amp;isFromPublicArea=True&amp;isModal=False</t>
  </si>
  <si>
    <t>OPSP-VEX-0489-2023</t>
  </si>
  <si>
    <t>OSCAR DE JESUS CANCHANO ALMANZA</t>
  </si>
  <si>
    <t>LA PRESENTE ORDEN TIENE POR OBJETO, LA PRESTACION DE SERVICIOS PROFESIONALES EN EL MARCO DE CONTRATO INTERADMINISTRATIVO NO 5882022, SUSCRITO ENTRE CORPAMAG Y LA UNIVERSIDAD DEL MAGDALENA, PARA DESEMPEÑARSE COMO ESPECIALISTA EN GEOTECNIA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</si>
  <si>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https://community.secop.gov.co/Public/Tendering/OpportunityDetail/Index?noticeUID=CO1.NTC.4206298&amp;isFromPublicArea=True&amp;isModal=False</t>
  </si>
  <si>
    <t>OAG-VEX-0488-2023</t>
  </si>
  <si>
    <t>EDGARDO JOSE ORTIZ VEGA</t>
  </si>
  <si>
    <t>LA PRESENTE ORDEN TIENE POR OBJETO, LA PRESTACION DE SERVICIOS DE APOYO A LA GESTION, EN EL MARCO DE CONTRATO INTERADMINISTRATIVO NO 5882022, SUSCRITO ENTRE CORPAMAG Y LA UNIVERSIDAD DEL MAGDALENA, PARA DESEMPEÑARSE COMO TOPOGRAFO EN EL PROYECTO CONSTRUCCION DE OBRAS EN LA QUEBRADA JAPON PARA EL CONTROL DE INUNDACIONES Y MANEJO DE AGUAS LLUVIAS EN DIFERENTES SECTORES DEL DISTRITO DE SANTA MARTA Y DESARROLLAR LAS SIGUIENTES ACTIVIDADES...</t>
  </si>
  <si>
    <t>https://community.secop.gov.co/Public/Tendering/OpportunityDetail/Index?noticeUID=CO1.NTC.4208156&amp;isFromPublicArea=True&amp;isModal=False</t>
  </si>
  <si>
    <t>OAG-VEX-0486-2023</t>
  </si>
  <si>
    <t>JUAN CARLOS OBREGON HERNANDEZ</t>
  </si>
  <si>
    <t>LA PRESENTE ORDEN TIENE POR OBJETO, LA PRESTACION DE SERVICIOS DE APOYO A LA GESTION, EN EL MARCO DE 
CONTRATO INTERADMINISTRATIVO NO 5882022, SUSCRITO ENTRE CORPAMAG Y LA UNIVERSIDAD DEL MAGDALENA, PARA
DESEMPEÑARSE COMO TOPOGRAFO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</si>
  <si>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https://community.secop.gov.co/Public/Tendering/OpportunityDetail/Index?noticeUID=CO1.NTC.4208029&amp;isFromPublicArea=True&amp;isModal=False</t>
  </si>
  <si>
    <t>OAG-VEX-0484-2023</t>
  </si>
  <si>
    <t>KATTY GONZALEZ FONSECA</t>
  </si>
  <si>
    <t>LA PRESENTE ORDEN TIENE POR OBJETO, LA PRESTACION DE SERVICIOS DE APOYO A LA GESTION, EN EL MARCO DEL
CONTRATO INTERADMINISTRATIVO NO 5882022, SUSCRITO ENTRE CORPAMAG Y LA UNIVERSIDAD DEL MAGDALENA, PARA
DESEMPEÑARSE COMO COORDINADORA ADMINISTRATIVA Y FINANCIERA DE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SUSCRITO ENTRE LA 
CORPORACION AUTONOMA REGIONAL DEL MAGDALENA CORPAMAG Y LA UNIVERSIDAD DEL 
MAGDALENA  UNIMAGDALENA</t>
  </si>
  <si>
    <t>https://community.secop.gov.co/Public/Tendering/OpportunityDetail/Index?noticeUID=CO1.NTC.4205566&amp;isFromPublicArea=True&amp;isModal=False</t>
  </si>
  <si>
    <t>OPSP-VEX-0490-2023</t>
  </si>
  <si>
    <t>JOHNNER FERNANDEZ ESTRADA</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</si>
  <si>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</si>
  <si>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https://community.secop.gov.co/Public/Tendering/OpportunityDetail/Index?noticeUID=CO1.NTC.4207040&amp;isFromPublicArea=True&amp;isModal=False</t>
  </si>
  <si>
    <t>OPSP-VEX-0491-2023</t>
  </si>
  <si>
    <t>YOHELY PAOLA PADILLA MAZENETT</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</si>
  <si>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 Y ...</t>
  </si>
  <si>
    <t>https://community.secop.gov.co/Public/Tendering/OpportunityDetail/Index?noticeUID=CO1.NTC.4205592&amp;isFromPublicArea=True&amp;isModal=False</t>
  </si>
  <si>
    <t>OPSP-VEX-0492-2023</t>
  </si>
  <si>
    <t>OSWALTH HELMUNTH BARRETO QUIROGA</t>
  </si>
  <si>
    <t>LA PRESENTE ORDEN TIENE POR OBJETO, LA PRESTACION DE SERVICIOS PROFESIONALES EN EL MARCO DE CONTRATO 
INTERADMINISTRATIVO NO 5882022, SUSCRITO ENTRE CORPAMAG Y LA UNIVERSIDAD DEL MAGDALENA, PARA
DESEMPEÑARSE COMO INGENIERO ELECTRICO EN EL O LOS PROYECTOS CONSTRUCCION DE LA PRIMERA ETAPA 
DEL PARQUE AMBIENTAL Y OBRAS DE RECUPERACION HIDRAULICA Y AMBIENTAL EN EL RIO 
MANZANARES EN LA CIUDAD DE SANTA MARTA, DEPARTAMENTO DEL MAGDALENA</t>
  </si>
  <si>
    <t>https://community.secop.gov.co/Public/Tendering/OpportunityDetail/Index?noticeUID=CO1.NTC.4206661&amp;isFromPublicArea=True&amp;isModal=False</t>
  </si>
  <si>
    <t>OPSP-VEX-0493-2023</t>
  </si>
  <si>
    <t>CARLOLINA ESTER OWEN JACQUIN</t>
  </si>
  <si>
    <t>LA PRESENTE ORDEN TIENE POR OBJETO, LA PRESTACION DE SERVICIOS PROFESIONALES EN EL MARCO DE CONTRATO INTERADMINISTRATIVO NO 5882022, SUSCRITO ENTRE CORPAMAG Y LA UNIVERSIDAD DEL MAGDALENA, PARA DESEMPEÑARSE COMO ESP. AMBIENTAL EN EL O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t>
  </si>
  <si>
    <t>https://community.secop.gov.co/Public/Tendering/OpportunityDetail/Index?noticeUID=CO1.NTC.4208686&amp;isFromPublicArea=True&amp;isModal=False</t>
  </si>
  <si>
    <t>OPSP-VEX-0503-2023</t>
  </si>
  <si>
    <t>LIZETH CAROLINA PALACIO MAESTRE</t>
  </si>
  <si>
    <t>LA PRESENTE ORDEN TIENE POR OBJETO, LA PRESTACION DE SERVICIOS PROFESIONALES EN EL MARCO DE CONTRATO INTERADMINISTRATIVO NO 5882022, SUSCRITO ENTRE CORPAMAG Y LA UNIVERSIDAD DEL MAGDALENA, PARA DESEMPEÑARSE COMO TRABAJADOR SOCIAL EN EL PROYECTO CONSTRUCCION DE LA PRIMERA ETAPA DEL PARQUE AMBIENTAL Y OBRAS DE RECUPERACION HIDRAULICA Y AMBIENTAL EN EL RIO MANZANARES EN LA CIUDAD DE SANTA MARTA, DEPARTAMENTO DEL MAGDALENA Y DESARROLLAR...</t>
  </si>
  <si>
    <t>https://community.secop.gov.co/Public/Tendering/OpportunityDetail/Index?noticeUID=CO1.NTC.4210463&amp;isFromPublicArea=True&amp;isModal=False</t>
  </si>
  <si>
    <t>OAG-VEX-0516-2023</t>
  </si>
  <si>
    <t>DELMIRA MONTERO</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</si>
  <si>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t>
  </si>
  <si>
    <t>https://community.secop.gov.co/Public/Tendering/OpportunityDetail/Index?noticeUID=CO1.NTC.4218823&amp;isFromPublicArea=True&amp;isModal=False</t>
  </si>
  <si>
    <t>OPSP-VEX-0502-2023</t>
  </si>
  <si>
    <t>JOHN ANTHONY FIGUEROA GARCIA</t>
  </si>
  <si>
    <t>LA PRESENTE ORDEN TIENE POR OBJETO, LA PRESTACION DE SERVICIOS PROFESIONALES EN EL MARCO DE CONTRATO INTERADMINISTRATIVO NO 5882022, SUSCRITO ENTRE CORPAMAG Y LA UNIVERSIDAD DEL MAGDALENA, PARA DESEMPEÑARSE COMO ESPECIALISTA SST EN LOS PROYECTOS CONSTRUCCION DE LA PRIMERA ETAPA DEL PARQUE AMBIENTAL Y OBRAS DE RECUPERACION HIDRAULICA Y AMBIENTAL DEL RIO MANZANARES DE LA CIUDAD DE SANTA MARTA Y LA CONSTRUCCION DE OBRAS EN LA...</t>
  </si>
  <si>
    <t>https://community.secop.gov.co/Public/Tendering/OpportunityDetail/Index?noticeUID=CO1.NTC.4210429&amp;isFromPublicArea=True&amp;isModal=False</t>
  </si>
  <si>
    <t>OAG-VEX-0515-2023</t>
  </si>
  <si>
    <t>MARIA MERCEDES PACHECO PACHECO</t>
  </si>
  <si>
    <t>LA PRESENTE ORDEN TIENE POR OBJETO, LA PRESTACION DE SERVICIOS DE APOYO A LA GESTION, EN EL MARCO DE CONTRATO INTERADMINISTRATIVO NO 5882022, SUSCRITO ENTRE CORPAMAG Y LA UNIVERSIDAD DEL MAGDALENA, PARA DESEMPEÑARSE COMO AUXILIAR O APOYO ADMINISTRATIVO EN LOS PROYECTOS CONSTRUCCION DE OBRAS EN LA QUEBRADA JAPON PARA EL CONTROL DE INUNDACIONES Y MANEJO DE AGUAS LLUVIAS EN DIFERENTES SECTORES DEL DISTRITO DE SANTA MARTA Y CONSTRUCCION DE LA PRIMERA ETAPA DEL PARQUE AMBIENTAL Y OBRAS DE RECUPER</t>
  </si>
  <si>
    <t>https://community.secop.gov.co/Public/Tendering/OpportunityDetail/Index?noticeUID=CO1.NTC.4219025&amp;isFromPublicArea=True&amp;isModal=False</t>
  </si>
  <si>
    <t>OPSP-VEX-0544-2023</t>
  </si>
  <si>
    <t>JAIRO RAFAEL BARRERA CUELLAR</t>
  </si>
  <si>
    <t>LA PRESENTE ORDEN TIENE POR OBJETO, LA PRESTACION DE SERVICIOS PROFESIONALES EN EL MARCO DE CONTRATO INTERADMINISTRATIVO NO 588 DE 2022, SUSCRITO ENTRE CORPAMAG Y LA UNIVERSIDAD DEL MAGDALENA, PARA DESEMPEÑARSE COMO ABOGADO EN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 LAS SIGUIENTES ACTIVIDADES 1 PRESTAR ASESORIA JURIDICA Y RESOLVER CONSULTAS DE TIPO LEGAL SOBRE LA EJECUCION DEL PROYECTO...</t>
  </si>
  <si>
    <t>https://community.secop.gov.co/Public/Tendering/OpportunityDetail/Index?noticeUID=CO1.NTC.4314148&amp;isFromPublicArea=True&amp;isModal=False</t>
  </si>
  <si>
    <t>OPSP-VEX-0562-2023</t>
  </si>
  <si>
    <t>ANDRES FELIPE RODRIGUEZ ALVAREZ</t>
  </si>
  <si>
    <t>LA PRESENTE ORDEN TIENE POR OBJETO, LA PRESTACIÓN DE SERVICIOS PROFESIONALES EN EL MARCO DE CONTRATO INTERADMINISTRATIVO NO 588-2022, SUSCRITO ENTRE CORPAMAG Y LA UNIVERSIDAD DEL MAGDALENA, PARA DESEMPEÑARSE COMO INGENIERO CIVIL EN EL PROYECTO “CONSTRUCCIÓN DE LA PRIMERA ETAPA DEL PARQUE AMBIENTAL Y OBRAS DE RECUPERACIÓN HIDRÁULICA Y AMBIENTAL EN EL RÍO MANZANARES EN LA CIUDAD DE SANTA MARTA, DEPARTAMENTO DEL MAGDALENA.” Y DESARROLLAR LAS SIGUIENTES ACTIVIDADES: 1) DAR APOYO A LOS RESIDENTES DE INTERVENTORÍA EN LAS LABORES DE SEGUIMIENTO DE OBRA. 2) LLEVAR REGISTRO FOTOGRÁFICO DIARIO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INTERVENTORÍA.</t>
  </si>
  <si>
    <t>https://community.secop.gov.co/Public/Tendering/OpportunityDetail/Index?noticeUID=CO1.NTC.4394277&amp;isFromPublicArea=True&amp;isModal=False</t>
  </si>
  <si>
    <t>OAG-VEX-0573-2023</t>
  </si>
  <si>
    <t>EUCLIDES EMILIO YEPES BOTELLO</t>
  </si>
  <si>
    <t>LA PRESENTE ORDEN TIENE POR OBJETO, LA PRESTACIÓN DE SERVICIOS DE APOYO A LA GESTIÓN EN EL MARCO DE CONTRATO INTERADMINISTRATIVO NO 588 DEL 2022, SUSCRITO ENTRE CORPAMAG Y LA UNIVERSIDAD DEL MAGDALENA, PARA DESEMPEÑARSE COMO MENSAJERO EN EL PROYECTO “CONSTRUCCIÓN DE LA PRIMERA ETAPA DEL PARQUE AMBIENTAL Y OBRAS DE RECUPERACIÓN HIDRÁULICA Y AMBIENTAL EN EL RÍO MANZANARES EN LA CIUDAD DE SANTA MARTA, DEPARTAMENTO DEL MAGDALENA.” Y DESARROLLAR LAS SIGUIENTES ACTIVIDADES: 1) RECOGER DOCUMENTOS Y PAQUETES PARA LLEVARLOS A SU DESTINATARIO.</t>
  </si>
  <si>
    <t>https://community.secop.gov.co/Public/Tendering/OpportunityDetail/Index?noticeUID=CO1.NTC.4401411&amp;isFromPublicArea=True&amp;isModal=False</t>
  </si>
  <si>
    <t>ODC-VEX-0006-2023</t>
  </si>
  <si>
    <t>900763287-5</t>
  </si>
  <si>
    <t>LA PRESENTE ORDEN TIENE POR OBJETO LA COMPRA DE EQUIPOS DE OFICINA, EN EL MARCO DEL CONTRATO INTERADMINISTRATIVO NO 588 DEL 2022, SUSCRITO ENTRE CORPAMAG Y LA UNIVERSIDAD DEL MAGDALENA. LA PROPUESTA HACE PARTE INTEGRAL DE LA PRESENTE ORDEN.</t>
  </si>
  <si>
    <t>https://community.secop.gov.co/Public/Tendering/OpportunityDetail/Index?noticeUID=CO1.NTC.4402862&amp;isFromPublicArea=True&amp;isModal=False</t>
  </si>
  <si>
    <t>OAG-VEX-0575-2023</t>
  </si>
  <si>
    <t>ROVIRA BEATRIZ LOPEZ OYAGA</t>
  </si>
  <si>
    <t>LA PRESENTE ORDEN TIENE POR OBJETO, LA PRESTACIÓN DE SERVICIOS DE APOYO A LA GESTIÓN EN EL MARCO DE CONTRATO INTERADMINISTRATIVO NO 588-2022, SUSCRITO ENTRE CORPAMAG Y LA UNIVERSIDAD DEL MAGDALENA, PARA DESEMPEÑARSE COMO AUXILIAR ADMINISTRATIVO EN EL PROYECTO “CONSTRUCCIÓN DE LA PRIMERA ETAPA DEL PARQUE AMBIENTAL Y OBRAS DE RECUPERACIÓN HIDRÁULICA Y AMBIENTAL EN EL RÍO MANZANARES EN LA CIUDAD DE SANTA MARTA, DEPARTAMENTO DEL MAGDALENA.” Y PARA: 1). DESARROLLAR ACTIVIDADES DE GESTIÓN Y SEGUIMIENTO A LOS PROCESOS ADMINISTRATIVOS Y FINANCIEROS. 2). MANTENER ACTUALIZADAS LAS BASES DE DATOS Y REPOSITORIOS DE INFORMACIÓN RELACIONADAS CON EL PROYECTO. 3). APOYAR CON EL REGISTRO Y CARGUE DE DOCUMENTOS DERIVADOS DEL PROCESO DE CONTRATACIÓN, EN LAS PLATAFORMAS ASIGNADAS POR EL PROYECTO.</t>
  </si>
  <si>
    <t>https://community.secop.gov.co/Public/Tendering/OpportunityDetail/Index?noticeUID=CO1.NTC.4406449&amp;isFromPublicArea=True&amp;isModal=False</t>
  </si>
  <si>
    <t>OPSP-VEX-0603-2023</t>
  </si>
  <si>
    <t>PAOLA ANDREA GONZALEZ FONSECA</t>
  </si>
  <si>
    <t>LA PRESENTE ORDEN TIENE POR OBJETO, LA PRESTACIÓN DE SERVICIOS PROFESIONALES EN EL MARCO DE CONTRATO INTERADMINISTRATIVO NO 588-2022, SUSCRITO ENTRE CORPAMAG Y LA UNIVERSIDAD DEL MAGDALENA, PARA DESEMPEÑARSE COMO PROFESIONAL DE SEGUIMIENTO FINANCIERO EN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Y PARA DESARROLLAR LAS SIGUIENTES ACTIVIDADES: 1). DESARROLLAR ACTIVIDADES FINANCIERAS NECESARIAS PARA EL BUEN DESARROLLO DEL PROYECTO. 2). REALIZAR SEGUIMIENTO A LOS TRÁMITES FINANCIEROS EN LOS PROCESOS DE CREACIÓN DE CERTIFICADOS DE DISPONIBILIDAD PRESUPUESTAL, COMPROMISO PRESUPUESTAL, GENERACIÓN DE ÓRDENES DE PAGO, ADICIONES, DISMINUCIONES, LIQUIDACIÓN DE VIÁTICOS Y APOYOS ECONÓMICOS. 3). GESTIONAR LAS CUENTAS DE COBRO, DESEMBOLSOS Y PAGOS QUE PERMITA VELAR POR LA CONSERVACIÓN DEL EQUILIBRIO FINANCIERO DEL PROYECTO. 4). PREPARAR Y PRESENTAR INFORMES FINANCIEROS DEL ESTADO DE EJECUCIÓN DEL PROYECTO DE MANERA MENSUAL. 5). BRINDAR ASESORÍA ANTE INQUIETUDES, NOVEDAD, REUNIONES O SOLICITUDES QUE PERMITA EL ANÁLISIS DEL ESTADO DE EJECUCIÓN DEL PROYECTO. 6.) REALIZAR EL BALANCE ECONÓMICO PARA LA LIQUIDACIÓN DEL CONTRATO INTERADMINISTRATIVO QUE REQUIERA EL DIRECTOR DEL PROYECTO.</t>
  </si>
  <si>
    <t>https://community.secop.gov.co/Public/Tendering/OpportunityDetail/Index?noticeUID=CO1.NTC.4482834&amp;isFromPublicArea=True&amp;isModal=False</t>
  </si>
  <si>
    <t>OAG-VEX-0607-2023</t>
  </si>
  <si>
    <t>ROBERTO CARLOS ACUÑA MERCADO</t>
  </si>
  <si>
    <t xml:space="preserve">LA PRESENTE ORDEN TIENE POR OBJETO, LA PRESTACIÓN DE SERVICIOS DE APOYO A LA GESTIÓN, EN EL MARCO DEL CONTRATO INTERADMINISTRATIVO NO 588-2022, SUSCRITO ENTRE CORPAMAG Y LA UNIVERSIDAD DEL MAGDALENA, PARA DESEMPEÑARSE COMO APOYO ADMINISTRATIVO Y FINANCIERO DE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SUSCRITO ENTRE LA CORPORACION AUTONOMA REGIONAL DEL MAGDALENA- CORPAMAG Y LA UNIVERSIDAD DEL MAGDALENA – UNIMAGDALENA” Y DESARROLLAR LAS SIGUIENTES ACTIVIDADES: 1). DESARROLLAR ACTIVIDADES ADMINISTRATIVAS Y FINANCIERAS EN EL PROYECTO. 2). COORDINAR Y ARTICULAR CON LAS DEPENDENCIAS ADMINISTRATIVAS Y FINANCIERAS DE LA UNIVERSIDAD, EL PROCESO DE CREACIÓN DE CERTIFICADOS DE DISPONIBILIDAD PRESUPUESTAL, COMPROMISO PRESUPUESTAL, GENERACIÓN DE ÓRDENES DE PAGO, ADICIONES Y DISMINUCIONES. 3). GESTIONAR LAS CUENTAS DE COBRO, DESEMBOLSOS Y PAGOS DEL PROYECTO. 4). LIQUIDAR VIÁTICOS Y APOYOS ECONÓMICOS. 5). RECAUDAR Y REVISAR LOS DOCUMENTOS PRECONTRACTUALES, CONTRACTUALES Y POST-CONTRACTUALES, DERIVADOS DEL PROCESO DE CONTRATACIÓN. 6). ORGANIZAR LOS ACTOS ADMINISTRATIVOS E INFORMES FINANCIERO. 7). REALIZAR GESTIÓN Y SEGUIMIENTO A LOS PROCESOS ADMINISTRATIVOS. 8). APOYAR DESDE EL ROL ADMINISTRATIVO U OPERADOR DE CONTRATO, LA REVISIÓN Y RECONOCIMIENTO DE CONTRATISTAS, ASÍ COMO EL CARGUE DE DOCUMENTOS POST-CONTRACTUALES EN LAS PLATAFORMAS DE SIGEP, GEDOCO, SECOP Y SIA OBSERVA.  9). REGISTRAR CONTRATOS Y PRESENTAR INFORMES ADMINISTRATIVOS Y FINANCIEROS DE LA VICERRECTORÍA DE EXTENSIÓN Y PROYECCIÓN SOCIAL, ANTE LOS REGULADORES DE CONTROL A TRAVÉS DE LAS PLATAFORMAS DE SIA OBSERVA Y SECOP II. </t>
  </si>
  <si>
    <t>https://community.secop.gov.co/Public/Tendering/OpportunityDetail/Index?noticeUID=CO1.NTC.4481403&amp;isFromPublicArea=True&amp;isModal=False</t>
  </si>
  <si>
    <t>OPS-VEX-0616-2023</t>
  </si>
  <si>
    <t>901437738-1</t>
  </si>
  <si>
    <t>INGENIERÍA COLOMBIANA MONTERUBIO S.A.S.</t>
  </si>
  <si>
    <t>LA PRESENTE ORDEN TIENE POR OBJETO EL SERVICIO DE TOMA DE MUESTRAS Y ENSAYOS DE LABORATORIO DE SUELOS Y CONCRETO, LOS CUALES INCLUYEN: PERSONAL PROFESIONAL CAPACITADO, HERRAMIENTAS, EQUIPO COMPLETO DE TOPOGRAFÍA (SISTEMAS DE POSICIONAMIENTO GLOBAL SATELITAL GPS, ESTACIÓN TOTAL Y NIVEL DE PRECISIÓN), ELEMENTOS COMPLEMENTARIOS NECESARIOS PARA LA PRESTACIÓN DEL SERVICIO EN LUGAR DE OPERACIONES SEGÚN LAS ESPECIFICACIONES TÉCNICAS REQUERIDAS Y EL TRANSPORTE REQUERIDO PARA LA LLEGADA DE LAS MUESTRAS AL LABORATORIO, NECESARIOS PARA GARANTIZAR Y DAR OPORTUNO CUMPLIMIENTO AL DESARROLLO DE LAS ACTIVIDADES PREVISTAS EN EL MARCO DEL CONTRATO INTERADMINISTRATIVO NO 588-2022 SUSCRITO ENTRE CORPAMAG Y LA UNIVERSIDAD DEL MAGDALENA. LA PROPUESTA HACE PARTE INTEGRAL DE LA PRESENTE ORDEN.</t>
  </si>
  <si>
    <t>https://community.secop.gov.co/Public/Tendering/OpportunityDetail/Index?noticeUID=CO1.NTC.4501813&amp;isFromPublicArea=True&amp;isModal=False</t>
  </si>
  <si>
    <t>OPS-VEX-0627-2023</t>
  </si>
  <si>
    <t>PRESTAR SERVICIO PARA LA REALIZACIÓN DE ESTUDIOS GEOTÉCNICOS, EN LOS PUNTOS ESTABLECIDOS POR EL DIRECTOR DEL PROYECTO ENTRE LOS TRAMOS SOBRE LA VÍA QUE COMUNICA DE CALAMAR-VILLA ROSA Y CALAMAR-PALMAR DE VARELA, DEPARTAMENTO DEL ATLÁNTICO, EL CUAL INCLUYE: PERSONAL PROFESIONAL CAPACITADO, HERRAMIENTAS, EQUIPOS Y ELEMENTOS COMPLEMENTARIOS NECESARIOS PARA LA PRESTACIÓN DEL SERVICIO, SEGÚN LAS ESPECIFICACIONES TÉCNICAS REQUERIDAS, EN EL MARCO DEL CONTRATO INTERADMINISTRATIVO NO 202203478 SUSCRITO CON LA GOBERNACIÓN DEL ATLÁNTICO. PARÁGRAFO: EL CONTRATISTA DEBERÁ ENTREGAR LOS ELEMENTOS CONTRATADOS DE CONFORMIDAD EN LAS CONDICIONES Y CANTIDADES INDICADAS EN LAS ESPECIFICACIONES TÉCNICAS DE LA PROPUESTA ACEPTADA POR UNIMAGDALENA</t>
  </si>
  <si>
    <t>https://community.secop.gov.co/Public/Tendering/OpportunityDetail/Index?noticeUID=CO1.NTC.4543201&amp;isFromPublicArea=True&amp;isModal=False</t>
  </si>
  <si>
    <t>OPSP-VEX-0636-2023</t>
  </si>
  <si>
    <t>LA PRESENTE ORDEN TIENE POR SERVICIO DE LEVANTAMIENTO TOPOGRAFICO DE TRECE 13 PREDIOS UBICADOS EN EL DEPARTAMENTO DE SUCRE, SEGUN LOS LINEAMIENTOS DE ANT EN EL MARCO DEL CONTRATO ANT20232685.</t>
  </si>
  <si>
    <t>https://community.secop.gov.co/Public/Tendering/OpportunityDetail/Index?noticeUID=CO1.NTC.4556743&amp;isFromPublicArea=True&amp;isModal=False</t>
  </si>
  <si>
    <t>OPSP-VEX-0644-2023</t>
  </si>
  <si>
    <t>YASMERYS CRUZ RODRIGUEZ NOGUERA</t>
  </si>
  <si>
    <t xml:space="preserve"> LA PRESENTE ORDEN TIENE POR OBJETO: LA PRESTACIÓN DE SERVICIOS PROFESIONALES EN EL MARCO DE CONTRATO INTERADMINISTRATIVO NO 588-2022, SUSCRITO ENTRE CORPAMAG Y LA UNIVERSIDAD DEL MAGDALENA, PARA DESEMPEÑARSE COMO ABOGADA EN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Y DESARROLLAR LAS SIGUIENTES ACTIVIDADES: 1) PRESTAR ASESORÍA JURÍDICA Y RESOLVER CONSULTAS DE TIPO LEGAL SOBRE LA EJECUCIÓN DEL PROYECTO. 2) REALIZAR LA REVISIÓN JURÍDICA CONTRACTUAL DE LAS ÓRDENES Y/O CONTRATOS QUE SE GENEREN DURANTE LA EJECUCIÓN DEL PROYECTO. 3) REVISAR Y /O PROYECTAR RESPUESTAS A SOLICITUDES, REQUERIMIENTOS, PETICIONES, TUTELAS Y DEMÁS QUE REQUIERA LA EJECUCIÓN DEL PROYECTO. 4) REVISAR O ASESORAR LA SUSCRIPCIÓN DE PÓLIZAS O GARANTÍAS PARA LA RESPECTIVA APROBACIÓN. 5) ELABORAR LOS CONCEPTOS JURÍDICOS QUE SEAN SOLICITADOS POR LA VICERRECTORÍA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GARANTÍAS EXIGIDOS PARA EL PROYECTO, VERIFICANDO ENTRE OTROS LA CORRECTA Y OPORTUNA EXPEDICIÓN DE ESTAS, VALIDEZ JURÍDICA Y VIGENCIA, SEGÚN LO PREVÉ EL CORRESPONDIENTE CONTRATO OBJETO DE ESTA INTERVENTORÍA. 9) DISEÑAR E IMPLANTAR UN SISTEMA DEDICADO A LA IDENTIFICACIÓN Y PREVISIÓN DE LOS PRINCIPALES RIESGOS ASOCIADOS CON EL CONTRATO DE OBRA, QUE PERMITA PREVER, ORGANIZAR Y REALIZAR ACCIONES FRENTE A LA POSIBILIDAD DE MATERIALIZACIÓN DE RIESGOS Y MINIMIZACIÓN DE IMPACTOS, QUE PUDIERAN PONER EN RIESGO LA VIABILIDAD Y BUENA EJECUCIÓN DEL CONTRATO. 10) LAS DEMÁS ACTIVIDADES QUE SE DERIVEN DE LA EJECUCIÓN DE LA ORDEN Y QUE TENGAN RELACIÓN DIRECTA CON EL OBJETO CONTRACTUAL.</t>
  </si>
  <si>
    <t>DANNA CABALLERO NAVARRRO</t>
  </si>
  <si>
    <t>https://community.secop.gov.co/Public/Tendering/OpportunityDetail/Index?noticeUID=CO1.NTC.4582578&amp;isFromPublicArea=True&amp;isModal=False</t>
  </si>
  <si>
    <t>OAG-VEX-0645-2023</t>
  </si>
  <si>
    <t>LEONARDO ALFREDO JOLI TETE</t>
  </si>
  <si>
    <t>LA PRESTACION DE SERVICIOS DE APOYO A LA GESTION EN EL MARCO DE CONTRATO INTERADMINISTRATIVO NO 5882022, SUSCRITO ENTRE CORPAMAG Y LA UNIVERSIDAD DEL MAGDALENA, PARA DESEMPEÑARSE COMO AUXILIAR ADMINISTRATIVO EN EL PROYECTO CONSTRUCCION DE LA PRIMERA ETAPA DEL PARQUE AMBIENTAL Y OBRAS DE RECUPERACION HIDRAULICA Y AMBIENTAL EN EL RIO MANZANARES EN LA CIUDAD DE SANTA MARTA, DEPARTAMENTO DEL MAGDALENA. Y PARA DESARROLLAR LAS SIGUIENTES ACTIVIDADES 1. DESARROLLAR ACTIVIDADES DE GESTION Y SEGUIMIENTO A LOS PROCESOS ADMINISTRATIVOS Y FINANCIEROS. 2. MANTENER ACTUALIZADAS LAS BASES DE DATOS Y REPOSITORIOS DE INFORMACION RELACIONADAS CON EL PROYECTO. 3. APOYAR CON EL REGISTRO Y CARGUE DE DOCUMENTOS DERIVADOS DEL PROCESO DE CONTRATACION, EN LAS PLATAFORMAS ASIGNADAS POR EL PROYECTO.</t>
  </si>
  <si>
    <t>https://community.secop.gov.co/Public/Tendering/OpportunityDetail/Index?noticeUID=CO1.NTC.4582968&amp;isFromPublicArea=True&amp;isModal=False</t>
  </si>
  <si>
    <t>OPSP-VEX-0666-2023</t>
  </si>
  <si>
    <t xml:space="preserve">KENNY JOEL PUELLO PACHECO </t>
  </si>
  <si>
    <t>LA PRESENTE ORDEN TIENE POR OBJETO, LA PRESTACIÓN DE SERVICIOS PROFESIONALES EN EL MARCO DE CONTRATO INTERADMINISTRATIVO NO 588-2022, SUSCRITO ENTRE CORPAMAG Y LA UNIVERSIDAD DEL MAGDALENA, PARA DESEMPEÑARSE COMO ANTROPÓLOGO EN LOS PROYECTOS "CONSTRUCCIÓN DE LA PRIMERA ETAPA DEL PARQUE AMBIENTAL Y OBRAS DE RECUPERACIÓN HIDRÁULICA Y AMBIENTAL DEL RÍO MANZANARES DE LA CIUDAD DE SANTA MARTA Y LA CONSTRUCCIÓN DE OBRAS EN LA QUEBRADA JAPÓN PARA EL CONTROL DE INUNDACIONES Y MANEJO DE AGUAS LLUVIAS EN DIFERENTES SECTORES DEL DISTRITO DE SANTA MARTA." Y DESARROLLAR LAS SIGUIENTES ACTIVIDADES: 1) PARTICIPAR EN TODOS LOS COMITÉS DE OBRA, DONDE HARÁ UN RECUENTO DE LAS ACTIVIDADES DE ACOMPAÑAMIENTO SOCIAL REALIZADAS CON LA COMUNIDAD DURANTE EL PERIODO CORRESPONDIENTE, PRESENTARÁ LAS ACTIVIDADES SIGUIENTES Y HARÁ LAS OBSERVACIONES Y SOLICITUDES NECESARIAS AL CONTRATISTA PARA EL BUEN DESARROLLO DE LA GESTIÓN SOCIAL. 2) SUPERVISAR, APROBAR Y HACER CUMPLIR POR EL CONTRATISTA DE OBRA TODOS LOS REQUERIMIENTOS EXPRESADOS EN EL PLAN DE GESTIÓN SOCIAL. 3) VELAR Y ACTUAR POR EL BIENESTAR SOCIAL EN BENEFICIO DE LA COMUNIDAD. 4) EXIGIR EL CUMPLIMIENTO DE LOS TIEMPOS ESTIPULADOS EN EL CRONOGRAMA DE ACTIVIDADES ELABORADO CON EL CONTRATISTA DE OBRA. 5) REALIZAR SEGUIMIENTO A LOS COMPROMISOS ADQUIRIDOS POR EL CONTRATISTA DE OBRA. 6) REALIZAR SEGUIMIENTO A LAS ACTIVIDADES EN CAMPO QUE SEAN EJECUTADAS POR EL CONTRATISTA DE OBRA Y CUENTEN CON LA PRESENCIA DE LA COMUNIDAD, DEFINIENDO EN CONJUNTO LAS HERRAMIENTAS E INSTRUMENTOS NECESARIOS QUE IMPLIQUE LA LABOR Y PERMITAN SU VERIFICACIÓN. 7) REVISAR Y APROBAR EL CONTENIDO DE TODAS LAS PIEZAS DE DIVULGACIÓN, PRESENTACIONES Y CONVOCATORIAS PARA LOS DIFERENTES EVENTOS QUE SE ADELANTEN EN DESARROLLO DE LOS PROYECTOS. 8) VERIFICAR Y APROBAR TODOS LOS LUGARES PROPUESTOS POR EL CONTRATISTA DE OBRA PARA LA REALIZACIÓN DE REUNIONES CON LA COMUNIDAD. 9) DEFINIR JUNTO CON EL CONTRATISTA DE OBRA LOS LUGARES ACCESIBLES Y CONCURRIDOS PARA LA INSTALACIÓN DE PIEZAS DE DIVULGACIÓN.</t>
  </si>
  <si>
    <t>https://community.secop.gov.co/Public/Tendering/OpportunityDetail/Index?noticeUID=CO1.NTC.4636555&amp;isFromPublicArea=True&amp;isModal=False</t>
  </si>
  <si>
    <t>OPS-VEX-0663-2023</t>
  </si>
  <si>
    <t>901283655-6</t>
  </si>
  <si>
    <t>COPY'S STUDENT S.A.S.</t>
  </si>
  <si>
    <t>LA PRESENTE ORDEN TIENE POR OBJETO EL SERVICIO DE IMPRESIONES DIGITALES Y LASER, SEGUN LAS ESPECIFICACIONES TECNICAS, COLORES Y DISEÑOS DEL ARTE REQUERIDAS POR LA VICERRECTORIA DE EXTENSION Y PROYECCION SOCIAL. LA PROPUESTA HACE PARTE INTEGRAL DE LA PRESENTE ORDEN.</t>
  </si>
  <si>
    <t>https://community.secop.gov.co/Public/Tendering/OpportunityDetail/Index?noticeUID=CO1.NTC.4619670&amp;isFromPublicArea=True&amp;isModal=False</t>
  </si>
  <si>
    <t>ODC-VEX-0009-2023</t>
  </si>
  <si>
    <t>LA PRESENTE ORDEN TIENE POR OBJETO LA COMPRA DE EQUIPOS DE COMPUTO, IMPRESORA Y VIDEO PROYECTOR, NECESARIOS PARA EL DESARROLLO DE LAS ACTIVIDADES DE LA VICERRECTORIA DE EXTENSION Y PROYECCION SOCIAL. LA PROPUESTA HACE PARTE INTEGRAL DE LA PRESENTE ORDEN. PARAGRAFO EL CONTRATISTA DEBERA ENTREGAR LOS ELEMENTOS CONTRATADOS DE CONFORMIDAD CON LAS ESPECIFICACIONES Y LAS CANTIDADES SOLICITADAS POR UNIMAGDALENA</t>
  </si>
  <si>
    <t>https://community.secop.gov.co/Public/Tendering/OpportunityDetail/Index?noticeUID=CO1.NTC.4650810&amp;isFromPublicArea=True&amp;isModal=False</t>
  </si>
  <si>
    <t>OAG-VEX-0715-2023</t>
  </si>
  <si>
    <t>SAID SAMETH MELENDEZ</t>
  </si>
  <si>
    <t>LA PRESTACIBN DE SERVICIOS DE APOYO A LA GESTIBN EN EL MARCO DE CONTRATO INTERADMINISTRATIVO NO 5882022, SUSCRITO ENTRE CORPAMAG Y LA UNIVERSIDAD DEL MAGDALENA, PARA DESEMPEHARSE COMO TECNICO EN SEGURIDAD Y SALUD EN EL TRABAJO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MARTA.Y PARA DESARROLLAR LAS SIGUIENTES ACTIVIDADES 1 APOYAR LAS ACTIVIDADES DE SEGUIMIENTO AL SST 2 APOYAR LA REALIZACIBN DE LAS INSPECCIONES PERIBDICAS A LAS AREAS, FRENTES DE TRABAJO Y EQUIPOS EN GENERAL 3 REALIZAR ENTREGA DE EQUIPO DE PROTECCIBN A TODO EL PERSONAL QUE REQUIERA DE ACUERDO CON LA PERIODICIDAD DESCRITA EN EL PROGRAMA DE SALUD OCUPACIONAL, ...</t>
  </si>
  <si>
    <t>https://community.secop.gov.co/Public/Tendering/OpportunityDetail/Index?noticeUID=CO1.NTC.4740765&amp;isFromPublicArea=True&amp;isModal=False</t>
  </si>
  <si>
    <t>OPSP-VEX-0731-2023</t>
  </si>
  <si>
    <t>JAIME RODRIGUEZ CURCIO</t>
  </si>
  <si>
    <t>LA PRESENTE ORDEN TIENE POR OBJETO, LA PRESTACIBN DE SERVICIOS PROFESIONALES EN EL MARCO DE CONTRATO INTERADMINISTRATIVO NO 5882022, SUSCRITO ENTRE CORPAMAG Y LA UNIVERSIDAD DEL MAGDALENA, PARA DESEMPEHARSE COMO INGENIERO AMBIENTAL Y SANITARIO EN EL PROYECTO CONSTRUCCION DE LA PRIMERA ETAPA DEL PARQUE AMBIENTAL Y OBRAS DE RECUPERACION HIDRAULICA Y AMBIENTAL EN EL RIO MANZANARES EN LA CIUDAD DE SANTA MARTA, DEPARTAMENTO DEL MAGDALENA, SUSCRITO ENTRE LA CORPORACION AUTONOMA REGIONAL DEL MAGDALENA CORPAMAG Y LA UNIVERSIDAD DEL MAGDALENA UNIMAGDALENA Y DESARROLLAR LAS SIGUIENTES ACTIVIDADES 1 APOYAR EN LA EJECUCIBN DE ACTIVIDADES DE SEGUIMIENTO Y VERIFICACIBN AL RESIDENTE DE INTERVENTORIA. 2 APOYAR EN EL SEGUIMIENTO A LA OBRA OBJETO DEL CONTRATO. 3 HACER CUMPLIR LA CORRECTA EJECUCIBN DE LAS OBRAS. 4 APOYAR LA REVISION DE LOS DOCUMENTOS TECNICOS DEL PROYECTO.</t>
  </si>
  <si>
    <t>https://community.secop.gov.co/Public/Tendering/OpportunityDetail/Index?noticeUID=CO1.NTC.4773571&amp;isFromPublicArea=True&amp;isModal=False</t>
  </si>
  <si>
    <t>OPSP-VEX-0730-2023</t>
  </si>
  <si>
    <t>LA PRESENTE ORDEN TIENE POR OBJETO, LA PRESTACIBN DE SERVICIOS PROFESIONALES EN EL MARCO DE CONTRATO INTERADMINISTRATIVO NO 5882022, SUSCRITO ENTRE CORPAMAG Y LA UNIVERSIDAD DEL MAGDALENA, PARA DESEMPEHARSE COMO APOYO ADMINISTRATIVE EN EL PROYECTO CONSTRUCCION DE LA PRIMERA ETAPA DEL , PARQUE AMBIENTAL Y OBRAS DE RECUPERACION HIDRAULICA Y AMBIENTAL EN EL RIO MANZANARES EN LA CIUDAD DE SANTA MARTA, DEPARTAMENTO DEL MAGDALENA., SUSCRITO ENTRE LA CORPORACION AUTONOMA REGIONAL DEL MAGDALENA CORPAMAG Y LA UNIVERSIDAD DEL MAGDALENA UNIMAGDALENA Y DESARROLLAR LAS SIGUIENTES ACTIVIDADES 1. ORGANIZAR Y CLASIFICAR LOS SOPORTES DOCUMENTALES DEL PROYECTO Y LOS RESPECTIVOS PAGOS PARCIALES EN LAS PLATAFORMAS PROPIAS DE LA UNIVERSIDAD. 2. REALIZAR BALANCE FINANCIERO DEL PROYECTO....</t>
  </si>
  <si>
    <t>https://community.secop.gov.co/Public/Tendering/OpportunityDetail/Index?noticeUID=CO1.NTC.4773083&amp;isFromPublicArea=True&amp;isModal=False</t>
  </si>
  <si>
    <t>OPSP-VEX-0708-2023</t>
  </si>
  <si>
    <t>LUIS ALBERTO MEJIA DIAZ</t>
  </si>
  <si>
    <t>LA PRESTACIÓN DE SERVICIOS PROFESIONALES, PARA DESEMPEÑARSE COMO ANTROPÓLOGO DE LA VICERRECTORÍA DE EXTENSIÓN Y PROYECCIÓN SOCIAL PARA DESARROLLAR LAS SIGUIENTES ACTIVIDADES: 1) REVISAR LOS INFORMES DERIVADOS DEL ACOMPAÑAMIENTO SOCIAL DE LAS JORNADAS REALIZADAS CON LAS COMUNIDADES. 2) VERIFICAR EL CONTENIDO DE LAS PIEZAS DE DIVULGACIÓN PUBLICITARIAS, PRESENTACIONES Y CONVOCATORIAS PARA LOS DIFERENTES EVENTOS QUE SE ADELANTEN. 3) VERIFICAR LOS LUGARES PROPUESTOS PARA LA REALIZACIÓN DE REUNIONES CON LAS COMUNIDADES.</t>
  </si>
  <si>
    <t>https://community.secop.gov.co/Public/Tendering/OpportunityDetail/Index?noticeUID=CO1.NTC.4742025&amp;isFromPublicArea=True&amp;isModal=False</t>
  </si>
  <si>
    <t>OPSP-VEX-0342-2023</t>
  </si>
  <si>
    <t>MIRIAN ESTHER SIERRA HERNANDEZ</t>
  </si>
  <si>
    <t>PRESTAR SERVICIOS PROFESIONALES EN EL MARCO DEL CONTRATO INTERADMINISTRATIVO NO. 75 DE 2023 CON LA AUTORIDAD NACIONAL DE ACUICULTURA Y PESCA AUNAP, PARA EL DESARROLLO DE LAS SIGUIENTES ACTIVIDADES 1. REVISAR Y AJUSTAR EL PAC DEL PROYECTO. 2. REVISAR PROYECCION DE PERSONAL EN ATENCION AL PRESUPUESTO APROBADO. 3. REVISAR SOLICITUDES DE CDP EN ATENCION A LOS RECURSOS ADICIONADOS. 4. ELABORAR INFORME FINANCIERO DEL PROYECTO.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PRESENTE ORDEN, DE LO CUAL DEBERA DEJARSE CONSTANCIA ESCRITA.</t>
  </si>
  <si>
    <t>https://community.secop.gov.co/Public/Tendering/OpportunityDetail/Index?noticeUID=CO1.NTC.3995971&amp;isFromPublicArea=True&amp;isModal=False</t>
  </si>
  <si>
    <t>OPSP-VEX-0343-2023</t>
  </si>
  <si>
    <t>SANDRA PATRICIA ZAPATAFRAGOSO</t>
  </si>
  <si>
    <t>PRESTAR SERVICIOS PROFESIONALES EN EL MARCO DEL CONTRATO INTERADMINISTRATIVO NO. 75 DE 2023 CON LA AUTORIDAD NACIONAL DE ACUICULTURA Y PESCA - AUNAP, PARA EL DESARROLLO DE LAS SIGUIENTES ACTIVIDADES: 1. REVISAR CARGUE DE INFORMACIÓN EN EL APLICATIVO SIA OBSERVA. 2. REVISAR CARGUE DE INFORMACIÓN EN EL APLICATIVO SECOP II. 3. REVISAR CARGUE DE INFROMACIÓN EN SIGEP.</t>
  </si>
  <si>
    <t>https://community.secop.gov.co/Public/Tendering/OpportunityDetail/Index?noticeUID=CO1.NTC.3996222&amp;isFromPublicArea=True&amp;isModal=False</t>
  </si>
  <si>
    <t>OAG-VEX-0355-2023</t>
  </si>
  <si>
    <t>FABIAN DE JESUS RAMIREZ NUÑEZ</t>
  </si>
  <si>
    <t>PRESTAR SERVICIOS DE APOYO A LA GESTIÓN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LOS CERTIFICADOS DE DISPONIBILIDAD PRESUPUESTAL QUE SE REQUIERAN. 3.). REALIZAR LOS COMPROMISOS DE LAS ÓRDENES DE SERVICIOS, DE APOYO A LA GESTIÓN, PROFESIONALES, SUMINISTRO Y COMPRA, RESOLUCIONES Y DEMÁS ACTOS ADMINISTRATIVOS QUE SE REQUIERAN.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</si>
  <si>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	ANAFLORA JIMENEZ DE LA HOZ</t>
  </si>
  <si>
    <t>https://community.secop.gov.co/Public/Tendering/OpportunityDetail/Index?noticeUID=CO1.NTC.4006148&amp;isFromPublicArea=True&amp;isModal=False</t>
  </si>
  <si>
    <t>OPSP-VEX-0356-2023</t>
  </si>
  <si>
    <t>MARCIO POLO HURTADO</t>
  </si>
  <si>
    <t xml:space="preserve">PRESTAR SERVICIOS PROFESIONALES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APOYAR EN EL ENVÍO DE INFORMACIÓN PARA LA REALIZACIÓN DE INFORMES FINANCIEROS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</si>
  <si>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https://community.secop.gov.co/Public/Tendering/OpportunityDetail/Index?noticeUID=CO1.NTC.4006107&amp;isFromPublicArea=True&amp;isModal=False</t>
  </si>
  <si>
    <t>OPSP-VEX-0364-2023</t>
  </si>
  <si>
    <t>OMAR ENRIQUE MANJARRES OJEDA</t>
  </si>
  <si>
    <t xml:space="preserve">PRESTAR SERVICIOS PROFESIONALES EN EL MARCO DEL CONTRATO INTERADMINISTRATIVO NO. 75 DE 2023 CON LA AUTORIDAD NACIONAL DE ACUICULTURA Y PESCA - AUNAP, PARA EL DESARROLLO DE LAS SIGUIENTES ACTIVIDADES: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</si>
  <si>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RONALD ROJAS DUICA</t>
  </si>
  <si>
    <t>https://community.secop.gov.co/Public/Tendering/OpportunityDetail/Index?noticeUID=CO1.NTC.4005753&amp;isFromPublicArea=True&amp;isModal=False</t>
  </si>
  <si>
    <t>OPSP-VEX-0365-2023</t>
  </si>
  <si>
    <t>ALVARO JOSE CAMPO LOPEZ</t>
  </si>
  <si>
    <t xml:space="preserve">PRESTAR SERVICIOS PROFESIONALES EN EL MARCO DEL CONTRATO INTERADMINISTRATIVO NO. 75 DE 2023 CON LA AUTORIDAD NACIONAL DE ACUICULTURA Y PESCA - AUNAP, PARA EL DESARROLLO DE LAS SIGUIENTES ACTIVIDADES: 1). REVISAR LOS INFORMES PRESENTADOS PARA PAGO, VERIFICANDO LOS SOPORTES REQUERIDOS (APORTES A LA SEGURIDAD SOCIAL INTEGRAL Y ADRES) DE LOS DIFERENTES ACTOS ADMINISTRATIVOS GENERADOS EN LA VICERRECTORÍA DE EXTENSIÓN Y PROYECCIÓN SOCIAL. 2). REALIZAR SEGUIMIENTO A LOS PAGOS EFECTUADOS ENVIADOS A LOS GRUPOS DE CONTABILIDAD Y TESORERÍA.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</si>
  <si>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https://community.secop.gov.co/Public/Tendering/OpportunityDetail/Index?noticeUID=CO1.NTC.4006128&amp;isFromPublicArea=True&amp;isModal=False</t>
  </si>
  <si>
    <t>OPSP-VEX-0366-2023</t>
  </si>
  <si>
    <t>AFRA ALEXANDRA HARDING GRACIA</t>
  </si>
  <si>
    <t xml:space="preserve">PRESTAR SERVICIOS PROFESIONALES EN EL MARCO DEL CONTRATO INTERADMINISTRATIVO NO. 75 DE 2023 CON LA AUTORIDAD NACIONAL DE ACUICULTURA Y PESCA - AUNAP, PARA EL DESARROLLO DE LAS SIGUIENTES ACTIVIDADES: 1). REALIZAR LOS PAGOS EN LA PLATAFORMA DEL SINAP Y LAS PLATAFORMAS BANCARIAS DE LAS ÓRDENES DERIVADAS DE LOS CONTRATOS Y RESOLUCIONES SUSCRITOS Y/O PROFERIDOS POR LA VICERRECTORÍA DE EXTENSIÓN Y PROYECCIÓN SOCIAL. 2). VERIFICAR LA LEGALIZACIÓN DE LOS AVANCES PARA VIÁTICOS EN CUMPLIMIENTO DE LO ESTABLECIDO EN EL ARTÍCULO 20 DEL ACUERDO SUPERIOR 025 DE 2017. 3). VERIFICAR EL COMPORTAMIENTO DEL FLUJO DE CAJA DE LOS DIFERENTES PROYECTOS ADSCRITOS A LA VICERRECTORÍA DE EXTENSIÓN Y PROYECCIÓN SOCIAL. 4). VERIFICAR EL ESTADO DE LOS INGRESOS POR VENTAS DE SERVICIO. 5) APOYAR EN LA ELABORACIÓN DE INFORMES FINANCIEROS QUE SE REQUIERAN EN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</si>
  <si>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https://community.secop.gov.co/Public/Tendering/OpportunityDetail/Index?noticeUID=CO1.NTC.4005859&amp;isFromPublicArea=True&amp;isModal=False</t>
  </si>
  <si>
    <t>OPSP-VEX-0367-2023</t>
  </si>
  <si>
    <t>ROBERTO FERNANDO DE LA ROSA MAESTRE</t>
  </si>
  <si>
    <t xml:space="preserve">PRESTAR SERVICIOS PROFESIONALES EN EL MARCO DEL CONTRATO INTERADMINISTRATIVO NO. 75 DE 2023 CON LA AUTORIDAD NACIONAL DE ACUICULTURA Y PESCA - AUNAP, PARA EL DESARROLLO DE LAS SIGUIENTES ACTIVIDADES: 1). ENVIAR EL REPORTE DIARIO DE LOS PAGOS REALIZADOS EN LA PLATAFORMA SINAP. 2). DESCARGAR DE LA PÁGINA WEB DEL BANCO DE OCCIDENTE LOS INGRESOS, RECAUDOS EN LÍNEA, CÓDIGO DE BARRA Y ACH. 3). INGRESAR AL SINAP LOS RECAUDO POR CONCEPTO DE VENTA DE SERVICIOS Y OTROS. 4). INGRESAR AL SINAP TODOS LOS PAGOS A FAVOR DE LA UNIVERSIDAD QUE SON REALIZADOS CON TARJETAS DÉBITO Y CRÉDITO. 6). CERTIFICAR LOS RECAUDOS PARA LAS SOLICITUDES DE REEMBOLSO Y PÉRDIDA DE RECIBOS.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</si>
  <si>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https://community.secop.gov.co/Public/Tendering/OpportunityDetail/Index?noticeUID=CO1.NTC.4005939&amp;isFromPublicArea=True&amp;isModal=False</t>
  </si>
  <si>
    <t>OAG-VEX-0368-2023</t>
  </si>
  <si>
    <t>PIEDAD DE LOS ANGELES DE LA HOZ IBAÑEZ</t>
  </si>
  <si>
    <t>PRESTAR SERVICIOS DE APOYO A LA GESTIÓN EN EL MARCO DEL CONTRATO INTERADMINISTRATIVO NO. 75 DE 2023 CON LA AUTORIDAD NACIONAL DE ACUICULTURA Y PESCA - AUNAP, PARA EL DESARROLLO DE LAS SIGUIENTES ACTIVIDADES: 1) ORGANIZAR, CLASIFICAR Y ARCHIVAR LOS SOPORTES DOCUMENTALES QUE SE GENEREN DURANTE LA EJECUCIÓN DEL PROYECTO. 2) DIGITALIZAR LOS SOPORTES DOCUMENTALES DEL PROYECTO PARA SER TRANSFERIDOS AL ARCHIVO CENTRAL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</si>
  <si>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DANA CABALLERO NAVARRO</t>
  </si>
  <si>
    <t>https://community.secop.gov.co/Public/Tendering/OpportunityDetail/Index?noticeUID=CO1.NTC.4006143&amp;isFromPublicArea=True&amp;isModal=False</t>
  </si>
  <si>
    <t>OPSP-VEX-0395-2023</t>
  </si>
  <si>
    <t>DANIELA VANESA VILLALBA CARDENAS</t>
  </si>
  <si>
    <t xml:space="preserve">PRESTAR SERVICIOS PROFESIONALES EN EL MARCO DEL CONTRATO INTERADMINISTRATIVO NO. 75 DE 2023 CON LA AUTORIDAD NACIONAL DE ACUICULTURA Y PESCA - AUNAP, PARA EL DESARROLLO DE LAS SIGUIENTES ACTIVIDADES: 1) RECIBIR LAS CUENTAS ENVIADAS POR EL GRUPO DE CONTABILIDAD PARA CONSOLIDAR LA INFORMACIÓN Y REMITIR AL GRUPO DE TESORERÍA. 2) REVISIÓN DE DOCUMENTOS PARA TRÁMITES DE PAGO (APORTES A LA SEGURIDAD SOCIAL INTEGRAL Y ADRES). 3) APOYAR EN LA ELABORACIÓN DE INFORMES FINANCIEROS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</si>
  <si>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https://community.secop.gov.co/Public/Tendering/OpportunityDetail/Index?noticeUID=CO1.NTC.4006147&amp;isFromPublicArea=True&amp;isModal=False</t>
  </si>
  <si>
    <t>OPSP-VEX-0404-2023</t>
  </si>
  <si>
    <t>EDINSON JOSE VILLAZON TURIZO</t>
  </si>
  <si>
    <t xml:space="preserve">PRESTAR SERVICIOS PROFESIONALES EN EL MARCO DEL CONTRATO INTERADMINISTRATIVO NO. 75 DE 2023 CON LA AUTORIDAD NACIONAL DE ACUICULTURA Y PESCA - AUNAP, PARA EL DESARROLLO DE LAS SIGUIENTES ACTIVIDADES: 1.REALIZAR REGISTRO FOTOGRAFICO DEL PROYECTO Y DE LA VICERRECTORÍA DE EXTENSIÓN Y PROYECCIÓN SOCIAL.  2) ORGANIZAR EL MATERIAL FOTOGRAFICO RECOLECTADO. 3) EDICIÓN DE FOTOGRAFIAS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</si>
  <si>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https://community.secop.gov.co/Public/Tendering/OpportunityDetail/Index?noticeUID=CO1.NTC.4061334&amp;isFromPublicArea=True&amp;isModal=False</t>
  </si>
  <si>
    <t>OPSP-VEX-0405-2023</t>
  </si>
  <si>
    <t>ALFREDO LUIS CALDERA GUZMAN</t>
  </si>
  <si>
    <t xml:space="preserve">PRESTAR SERVICIOS PROFESIONALES EN EL MARCO DEL CONTRATO INTERADMINISTRATIVO NO. 75 DE 2023 CON LA AUTORIDAD NACIONAL DE ACUICULTURA Y PESCA - AUNAP, PARA EL DESARROLLO DE LAS SIGUIENTES ACTIVIDADES: 1. REALIZAR REGISTRO AUDIOVISUAL DEL PROYECTO Y DE LA VICERRECTORÍA DE EXTENSIÓN Y PROYECCIÓN SOCIAL.  2) ORGANIZAR Y EDITAR EL MATERIAL AUDIOVISUAL RECOLECTADO. 3) ELABORACIÓN DE VIDEOS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</si>
  <si>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https://community.secop.gov.co/Public/Tendering/OpportunityDetail/Index?noticeUID=CO1.NTC.4061503&amp;isFromPublicArea=True&amp;isModal=False</t>
  </si>
  <si>
    <t>OPSP-VEX-0423-2023</t>
  </si>
  <si>
    <t>BRANDON YESID LIBREROS CUELLO</t>
  </si>
  <si>
    <t xml:space="preserve">PRESTAR SERVICIOS PROFESIONALES EN EL MARCO DEL CONTRATO INTERADMINISTRATIVO NO. 75 DE 2023 CON LA AUTORIDAD NACIONAL DE ACUICULTURA Y PESCA - AUNAP, PARA EL DESARROLLO DE LAS SIGUIENTES ACTIVIDADES: 1. ELABORAR INFORME DE LA CONCILIACIÓN CONTABLE PARA MANTENER UN CONTROL FINANCIERO EN LA EJECUCIÓN DEL CONVENIO. 2. ELABORAR INFORME CONSOLIDADO DE LA EJECUCIÓN FINANCIERA DEL CONVENIO CON RELACIÓN A LA EJECUCIÓN PRESUPUESTAL. 3. ASESORAR Y HACER SEGUIMIENTO EN EL PROCESO DE CONSOLIDACIÓN DE LA INFORMACIÓN CONTABLE RESPECTO A LA EJECUCIÓN PERIÓDICA DEL CONVENIO.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</si>
  <si>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https://community.secop.gov.co/Public/Tendering/OpportunityDetail/Index?noticeUID=CO1.NTC.4070089&amp;isFromPublicArea=True&amp;isModal=False</t>
  </si>
  <si>
    <t>OPSP-VEX-0424-2023</t>
  </si>
  <si>
    <t>JOSE LUIS DIAZ DE LA CRUZ</t>
  </si>
  <si>
    <t>PRESTAR SERVICIOS PROFESIONALES EN EL MARCO DEL CONTRATO INTERADMINISTRATIVO INTER-SDEYP-01222- 2021 CON EL DEPARTAMENTO DE NORTE DE SANTANDER, PARA EL DESARROLLO DE LAS SIGUIENTES ACTIVIDADES: 1. ELABORAR INFORME DE LA CONCILIACIÓN BANCARIA CON SUS RESPECTIVOS DOCUMENTOS SOPORTE, PARA MANTENER UN CONTROL CONTABLE Y FINANCIERO DEL CONVENIO.  2. ELABORAR INFORMES MENSUALES DE EJECUCIÓN DE PLAN ANUAL DE CAJA (PAC) ACTIVIDADES RELACIONADAS CON EL OBJETO DEL CONTRATO.  3. ASESORAR Y HACER SEGUIMIENTO EN LA OBTENCIÓN Y CONSOLIDACIÓN DE INFORMACIÓN DESDE LA OFICINA DE TESORERÍA PARA LA LIQUIDACIÓN DE LOS CONVENIOS EN EJECUCIÓN.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</si>
  <si>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https://community.secop.gov.co/Public/Tendering/OpportunityDetail/Index?noticeUID=CO1.NTC.4070122&amp;isFromPublicArea=True&amp;isModal=False</t>
  </si>
  <si>
    <t>OPSP-VEX-0425-2023</t>
  </si>
  <si>
    <t>MAURICIO ANDRES SANTANDER BARRIOS</t>
  </si>
  <si>
    <t xml:space="preserve">PRESTAR SERVICIOS PROFESIONALES EN EL MARCO DEL CONTRATO INTERADMINISTRATIVO INTER-SDEYP-01222- 2021 CON EL DEPARTAMENTO DE NORTE DE SANTANDER, PARA EL DESARROLLO DE LAS SIGUIENTES ACTIVIDADES:   1. ELABORAR INFORME FINANCIERO EJECUTIVO CON LAS SIGUIENTES ESPECIFICACIONES: ADICIONES, CRÉDITO, CONTRACREDITO, SALDOS DISPONIBLE, SALDO COMPROMETIDO, OBLIGADO Y PAGADO RESPECTO A LOS RUBROS DEL PROYECTO. 2.  ELABORAR INFORME CONSOLIDADO DE DISPONIBILIDADES PRESUPUESTALES POR RUBRO DEL PROYECTO.  3. ASESORAR Y HACER SEGUIMIENTO AL ESTADO DEL PROYECTO, TANTO DE INGRESOS COMO DE EGRESOS PERIÓDICAMENTE. 4.  ENTREGAR REPORTES DE ESTADO CERTIFICADOS DE REGISTRO PRESUPUESTAL EXPEDIDOS POR EL GRUPO DE PRESUPUESTO CON CARGO AL PROYECTO CUANDO SEAN REQUERIDO POR LOS RESPONSABLES DE ESTE. 5.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</si>
  <si>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https://community.secop.gov.co/Public/Tendering/OpportunityDetail/Index?noticeUID=CO1.NTC.4070322&amp;isFromPublicArea=True&amp;isModal=False</t>
  </si>
  <si>
    <t>OAG-VEX-0426-2023</t>
  </si>
  <si>
    <t>LAURA VANESSA MAESTRE MAESTRE</t>
  </si>
  <si>
    <t>PRESTAR SERVICIOS DE APOYO A LA GESTIÓN EN EL MARCO DEL CONTRATO INTERADMINISTRATIVO NO. 75 DE 2023 CON LA AUTORIDAD NACIONAL DE ACUICULTURA Y PESCA - AUNAP, PARA EL DESARROLLO DE LAS SIGUIENTES ACTIVIDADES: 1. APOYAR DESDE EL GRUPO DE CONTABILIDAD A LA VICERRECTORÍA DE EXTENSIÓN Y PROYECCIÓN SOCIAL EN LA ELABORACIÓN DE CUENTAS POR PAGAR Y OBLIGACIONES PRESUPUESTALES 2. APOYAR AL PROFESIONAL ESPECIALIZADO DEL GRUPO DE CONTABILIDAD EN LA ELABORACIÓN DE LOS INFORMES FINANCIEROS. 3. APOYAR AL TÉCNICO ADMINISTRATIVO DEL GRUPO DE CONTABILIDAD Y A LA VICERRECTORÍA DE EXTENSIÓN Y PROYECCIÓN SOCIAL  EN LA ELABORACIÓN Y EXPEDICIÓN DE CERTIFICADO DE PAZ Y SALVO DE AVANCES 4. APOYAR AL PROFESIONAL ESPECIALIZADO DEL GRUPO DE CONTABILIDAD Y A LA VICERRECTORÍA DE EXTENSIÓN Y PROYECCIÓN SOCIAL EN LAS ACTIVIDADES INHERENTES PROPIAS DE LOS DIFERENTES TRÁMITES DE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</si>
  <si>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OPSP-VEX-0354-2023</t>
  </si>
  <si>
    <t>KAREN STEPHANIE JIMENEZ CHARRIS</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</si>
  <si>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DEL CONTRATO. 2) ARTICULAR CON LAS DEPENDENCIAS ADMINISTRATIVAS Y FINANCIERAS DE LA UNIVERSIDAD, LAS SOLICITUDES DE CERTIFICADOS DE DISPONIBILIDAD PRESUPUESTAL, COMPROMISO PRESUPUESTAL, ÓRDENES DE PAGO Y REQUERIMIENTOS GENERADOS DURANTE LA EJECUCIÓN. 3) RECAUDAR Y REVISAR LOS DOCUMENTOS PRECONTRACTUALES Y CONTRACTUALES DERIVADOS DEL PROCESO DE CONTRATACIÓN DE PERSONAL, Y GESTIONAR ANTE LAS DEPENDENCIAS DE UNIMAGDALENA SUS RESPECTIVOS PAGOS. 4 ) REALIZAR EL CARGUE DE LAS ÓRDENES Y DOCUMENTOS CONTRACTUALES DE LAS MISMAS AL SISTEMA INTEGRAL DE AUDITORIA –SIA- OBSERVA Y AL SISTEMA SECOP. 5) TRAMITAR SOLICITUDES DE  APOYOS ECONÓMICOS POR DESPLAZAMIENTO Y ESTÍMULOS A DOCENTES VINCULADOS A LA EJECUCIÓN DE LOS CONTRATOS. 6) PROYECTAR LAS ÓRDENES Y ACTOS ADMINISTRATIVOS QUE SE REQUIERAN DURANTE LA EJECUCIÓN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</si>
  <si>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EFRAIN OLIVOS CEBALLOS</t>
  </si>
  <si>
    <t>https://community.secop.gov.co/Public/Tendering/OpportunityDetail/Index?noticeUID=CO1.NTC.3996236&amp;isFromPublicArea=True&amp;isModal=False</t>
  </si>
  <si>
    <t>OPSP-VEX-0353-2023</t>
  </si>
  <si>
    <t>EDUARDO JOSE BARRENECHE AVILA</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</si>
  <si>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</si>
  <si>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https://community.secop.gov.co/Public/Tendering/OpportunityDetail/Index?noticeUID=CO1.NTC.3996228&amp;isFromPublicArea=True&amp;isModal=False</t>
  </si>
  <si>
    <t>OPSP-VEX-0400-2023</t>
  </si>
  <si>
    <t>EVELYN ROSANA MARTINEZ ORTEGA</t>
  </si>
  <si>
    <t>PRESTAR SERVICIOS PROFESIONALES EN EL MARCO DEL CONTRATO INTERADMINISTRATIVO DE INTERVENTORÍA NO. 0-204-2022 Y EL CONTRATO INTERADMINISTRATIVO DE INTERVENTORÍA NO. 0-258-2022 SUSCRITOS ENTRE CORMAGDALENA Y UNIMAGDALENA, PARA EL DESARROLLO DE LAS SIGUIENTES ACTIVIDADES: 1. APOYAR Y/O PRESTAR ACOMPAÑAMIENTO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*AMPLIACION MALECON DE AMBALEMA, EN EL MUNICIPIO DE AMBALEMA DEPARTAMENTO DE TOLIMA.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6. COORDINAR LA INTERVENTORÍA DEL CONTRATO DE OBRA NO. 0135 – 2020, CUYO OBJETO ES: “CONSTRUCCIÓN DE OBRAS DE PROTECCIÓN Y ARQUITECTÓNICAS PARA EL ORDENAMIENTO DEL CASCO URBANO DEL MUNICIPIO DE REGIDOR, DEPARTAMENTO DE BOLÍVAR”.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</si>
  <si>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https://community.secop.gov.co/Public/Tendering/OpportunityDetail/Index?noticeUID=CO1.NTC.4033004&amp;isFromPublicArea=True&amp;isModal=False</t>
  </si>
  <si>
    <t>OPSP-VEX-0447-2023</t>
  </si>
  <si>
    <t>ANDRÉS FELIPE MEJIA QUINTERO</t>
  </si>
  <si>
    <t>PRESTAR SERVICIOS PROFESIONALES EN EL GRUPO DE CONTABILIDAD DE LA UNIVERSIDAD DEL MAGDALENA, PARA EL DESARROLLO DE LAS SIGUIENTES ACTIVIDADES: 1. REGISTRAR EN EL SINAP LAS OBLIGACIONES DE PAGO (OP) DE LAS ÓRDENES DE SERVICIOS PROFESIONALES Y DE APOYO A LA GESTIÓN, SUMINISTRO, COMPRA, RESOLUCIONES Y DEMÁS ACTOS ADMINISTRATIVOS QUE REQUIERA LA VICERRECTORÍA DE EXTENSIÓN Y PROYECCIÓN SOCIAL.  2. APOYAR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APOYAR LA REVISIÓN DE LA CODIFICACIÓN CONTABLE DE LAS CUENTAS POR PAGAR Y OBLIGACIONES PRESUPUESTALES ELABORADAS PARA PROCESO DE PAGO DE LA VICERRECTORÍA DE EXTENSIÓN Y PROYECCIÓN SOCIAL.</t>
  </si>
  <si>
    <t>https://community.secop.gov.co/Public/Tendering/OpportunityDetail/Index?noticeUID=CO1.NTC.4120226&amp;isFromPublicArea=True&amp;isModal=False</t>
  </si>
  <si>
    <t>OAG-VEX-0454-2023</t>
  </si>
  <si>
    <t>JENNIFER PAOLA SALCEDO ROMERO</t>
  </si>
  <si>
    <t xml:space="preserve">PRESTAR SERVICIOS DE APOYO A LA GESTIÓN PARA EL DESARROLLO DE LAS SIGUIENTES ACTIVIDADES: 1.COADYUVAR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DE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 </t>
  </si>
  <si>
    <t>https://community.secop.gov.co/Public/Tendering/OpportunityDetail/Index?noticeUID=CO1.NTC.4120440&amp;isFromPublicArea=True&amp;isModal=False</t>
  </si>
  <si>
    <t>OPSP-VEX-0460-2023</t>
  </si>
  <si>
    <t>GINNA MARCELA CUADRADO LEMUS</t>
  </si>
  <si>
    <t xml:space="preserve">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 </t>
  </si>
  <si>
    <t>Jean Linero Cueto</t>
  </si>
  <si>
    <t xml:space="preserve">https://community.secop.gov.co/Public/Tendering/OpportunityDetail/Index?noticeUID=CO1.NTC.4136914&amp;isFromPublicArea=True&amp;isModal=False
</t>
  </si>
  <si>
    <t>OPSP-VEX-0468-2023</t>
  </si>
  <si>
    <t>LISETH PAOLA GUERRERO JIMENEZ</t>
  </si>
  <si>
    <t xml:space="preserve">PRESTAR SERVICIOS PROFESIONALES PARA EL DESARROLLO DE LAS SIGUIENTES ACTIVIDADES: 1) COORDINAR LA FORMULACIÓN, DESARROLLO Y EJECUCIÓN DEL PLAN DE MEDIOS DE LA VICERRECTORÍA DE EXTENSIÓN Y PROYECCIÓN SOCIAL PARA LA VIGENCIA. 2) COADYUVAR LA PREPARACIÓN DEL PROTOCOLO PARA EL DESARROLLO DE LOS DIFERENTES EVENTOS QUE REALICEN DE MANERA VIRTUAL O PRESENCIAL POR PARTE DE LA VICERRECTORÍA DE EXTENSIÓN Y PROYECCIÓN SOCIAL.  3) BRINDAR APOYO CON LA ARTICULACIÓN ENTRE LA VICERRECTORÍA DE EXTENSIÓN Y PROYECCIÓN SOCIAL, SUS DIRECCIONES Y LA DIRECCIÓN DE COMUNICACIONES, PARA EL CUBRIMIENTO DE MEDIOS Y LA GENERACIÓN DE NOTICIAS DE LAS ACTIVIDADES QUE EN ELLA SE DESARROLLEN DE MANERA VIRTUAL Y/O PRESENCIAL. 4) APOYAR EN EL SEGUIMIENTO DE LA REDACCIÓN DE BOLETINES, NOTAS DE PRENSA, Y DEMÁS PIEZAS COMUNICATIVAS, QUE GESTIONEN EN EL EQUIPO DE COMUNICACIONES PARA LA DIFUSIÓN DE LOS RESULTADOS DE LA GESTIÓN DE LA VICERRECTORÍA DE EXTENSIÓN Y PROYECCIÓN SOCIAL. </t>
  </si>
  <si>
    <t>https://community.secop.gov.co/Public/Tendering/OpportunityDetail/Index?noticeUID=CO1.NTC.4161362&amp;isFromPublicArea=True&amp;isModal=False</t>
  </si>
  <si>
    <t>OPSP-VEX-0540-2023</t>
  </si>
  <si>
    <t>KARLA BEATRIZ SCHILLER OTERO</t>
  </si>
  <si>
    <t xml:space="preserve">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 </t>
  </si>
  <si>
    <t>CARLOS CAMACHO SERGE</t>
  </si>
  <si>
    <t>https://community.secop.gov.co/Public/Tendering/OpportunityDetail/Index?noticeUID=CO1.NTC.4277859&amp;isFromPublicArea=True&amp;isModal=False</t>
  </si>
  <si>
    <t>OAG-VEX-0545-2023</t>
  </si>
  <si>
    <t>ALVARO ALFONSO QUIROGA CASTILLO</t>
  </si>
  <si>
    <t>PRESTAR SERVICIOS DE APOYO A LA GESTIÓN PARA EL DESARROLLO DE LAS SIGUIENTES ACTIVIDADES: 1) ELABORAR JUNTO A LA DIRECCIÓN DE PROYECCIÓN CULTURAL, EL CALENDARIO DE EXPOSICIONES ANUAL. 2) PROMOVER Y DIFUNDIR LAS ACTIVIDADES QUE DESARROLLE LA CASA MUSEO GGM, ELABORANDO JUNTO A LA DIRECCIÓN DE PROYECCIÓN CULTURAL, ESTRATEGIAS Y CAMPAÑAS ENCAMINADAS A DAR A CONOCER Y POSICIONAR LA CASA MUSEO GGM A NIVEL LOCAL, REGIONAL, NACIONAL E INTERNACIONAL 3) COADYUVAR EN LA ELABORACIÓN, INVESTIGACIÓN Y REDACCIÓN DE BOLETINES INFORMATIVOS DE LA CASA MUSEO GABRIEL GARCÍA MÁRQUEZ Y SUS ACTIVIDADES. 4)  PLANEAR JUNTO A LA DIRECCIÓN DE PROYECCIÓN CULTURAL, RECORRIDOS, ENTREVISTAS, RUEDAS DE PRENSA Y DEMÁS ACTIVIDADES DE RELACIONES PÚBLICAS. 5) APOYAR EN EL DESARROLLO DE LOS EVENTOS ORGANIZADOS POR LA CASA MUSEO, TALES COMO PRESENTACIONES, COCTELES, INAUGURACIONES, EXPOSICIONES, VISITAS, ETC. 6) EVALUAR LOS RESULTADOS DE LAS ESTRATEGIAS DEL ÁREA Y HACER LOS AJUSTES NECESARIOS PARA OPTIMIZAR LOS RESULTADOS DE ESTAS. 7)  ELABORAR INFORMES DE INDICADORES DE LAS ACTIVIDADES REALIZADAS EN LA CASA MUSEO GGM, Y LLEVAR LA ESTADÍSTICA DEL IMPACTO DE ESTAS, A TRAVÉS DEL REGISTRO DE SUS ACTIVIDADES MEDIANTE FOTOGRAFÍAS, VIDEOS, AUDIOS, MATERIAL EDITORIAL, LISTAS DE ASISTENCIA, ENTRE OTROS. 8) PARTICIPAR EN LA ELABORACIÓN DE REPORTES PERIÓDICOS DE ACTIVIDADES DE LOS GUÍAS DE LA CASA MUSEO GGM. 9) COADYUVAR EN LA ELABORACIÓN DEL PROGRAMA ANUAL DE TALLERES DE LA CASA MUSEO GGM Y LA ELABORACIÓN DEL CALENDARIO DE CHARLAS, CONFERENCIAS CICLOS DE CINE, Y ACTIVIDADES CULTURALES Y/O EDUCATIVAS DE LA CASA MUSEO GGM.</t>
  </si>
  <si>
    <t>IBETH NORIEGA HERAZO</t>
  </si>
  <si>
    <t>https://community.secop.gov.co/Public/Tendering/OpportunityDetail/Index?noticeUID=CO1.NTC.4322092&amp;isFromPublicArea=True&amp;isModal=False</t>
  </si>
  <si>
    <t>OAG-VEX-0546-2023</t>
  </si>
  <si>
    <t>JEYSSON VERU OLAYA</t>
  </si>
  <si>
    <t xml:space="preserve">PRESTAR SERVICIOS DE APOYO A LA GESTIÓN PARA EL DESARROLLO DE : 1) REALIZAR EL MONTAJE Y DESMONTAJE DEL MATERIAL QUE SE EXPONE DURANTE LOS DÍAS DE LA FERIA DEL LIBRO DE BOGOTÁ. 2) REALIZAR APOYO LOGÍSTICO DE LOS EVENTOS CULTURALES Y ACADÉMICOS QUE SE REALICEN EN EL STAND DE LA EDITORIAL UNIMAGDALENA EN LA FERIA DEL LIBRO DE BOGOTÁ.    3)  VELAR POR EL ORDEN Y PRESENTACIÓN DEL STAND DE LA EDITORIAL. 4) ATENDER A LOS VISITANTES DEL STAND DE LA EDITORIAL UNIMAGDALENA EN LA FERIA DEL LIBRO DE BOGOTÁ.  5)  MANTENER ORGANIZADO LA MUESTRA DEL CATÁLOGO DE PUBLICACIONES QUE PRESENTA AL PÚBLICO EN EL STAND.  6) VELAR POR EL CORRECTO DESPACHO DE LAS PUBLICACIONES AL FINALIZAR LA FERIA. </t>
  </si>
  <si>
    <t>https://community.secop.gov.co/Public/Tendering/OpportunityDetail/Index?noticeUID=CO1.NTC.4322603&amp;isFromPublicArea=True&amp;isModal=False</t>
  </si>
  <si>
    <t>OPSP-VEX-0551-2023</t>
  </si>
  <si>
    <t xml:space="preserve">MARIA JOSE MEYER MUGNO </t>
  </si>
  <si>
    <t xml:space="preserve">PRESTAR SERVICIOS PROFESIONALES PARA EL DESARROLLO DE LAS SIGUIENTES ACTIVIDADES: 1. FORMULAR LAS PROPUESTAS DE FORMACIÓN CONTINUA A DESARROLLARSE DESDE LA VICERRECTORÍA DE EXTENSIÓN Y PROYECCIÓN SOCIAL. 2. DESARROLLAR MESAS DE TRABAJO CON LOS DISTINTOS ESTAMENTOS INSTITUCIONALES PARA DISEÑAR NUEVAS PROPUESTAS DE FORMACIÓN CONTINUA. 3. REALIZAR SEGUIMIENTO Y EVALUACIÓN DE LOS RESULTADOS DE LOS PROCESOS DE FORMACIÓN CONTINUA, PARA IDENTIFICAR OPORTUNIDADES DE MEJORA EN FUTURAS PROPUESTAS. 4. ORGANIZAR LOS PROCESOS DE INSCRIPCIÓN DE LOS PARTICIPANTES DE LOS PROCESOS DE FORMACIÓN CONTINUA.  5. EJECUTAR LAS PROPUESTAS DE FORMACIÓN CONTINUA CONFORME A LOS LINEAMIENTOS ESTABLECIDOS EN EL PLAN DE DESARROLLO UNIMAGDALENA COMPROMETIDA 2020-2030. 6. REALIZAR ACOMPAÑAMIENTO A CADA UNA DE LAS SESIONES DE FORMACIÓN CONTINUA QUE SE LLEVEN A CABO.  7. REALIZAR LA EVALUACIÓN DOCENTE DEL PERSONAL VINCULADO A LOS PROCESOS DE FORMACIÓN CONTINUA Y PRESENTAR LOS RESPECTIVOS INFORMES.  8. APLICAR LAS ENCUESTAS DE SATISFACCIÓN A LOS PROCESOS DE FORMACIÓN CONTINUA Y ELABORAR LOS RESPECTIVOS INFORMES.  9. ORGANIZAR EVENTOS DE ENTREGA DE CERTIFICADOS A LOS ESTUDIANTES DE LOS PROCESOS DE FORMACIÓN CONTINUA.  10. CONTRIBUIR CON LA ELABORACIÓN DEL REPORTE DE INDICADORES DE LA VICERRECTORÍA DE EXTENSIÓN Y PROYECCIÓN SOCIAL RELACIONADOS CON LOS PROCESOS DE FORMACIÓN CONTINUA </t>
  </si>
  <si>
    <t>WILLIAM RETAMOZO CHAVEZ</t>
  </si>
  <si>
    <t>https://community.secop.gov.co/Public/Tendering/OpportunityDetail/Index?noticeUID=CO1.NTC.4328644&amp;isFromPublicArea=True&amp;isModal=False</t>
  </si>
  <si>
    <t>OPSP-VEX-0555-2023</t>
  </si>
  <si>
    <t xml:space="preserve">ARACELLI LOPEZ VILLA </t>
  </si>
  <si>
    <t>PRESTAR SERVICIOS PROFESIONALES PARA EL DESARROLLO DE LO SIGUIENTE: 1. COORDINAR LOS PROCESOS DE HOMOLOGACIÓN DE PROGRAMAS QUE SE INCORPOREN AL COMPONENTE CADENA DE FORMACIÓN DEL CONVENIO SENA – UNIMAGDALENA. 2. COORDINAR EL PROCESO DE PREINSCRIPCIÓN E INSCRIPCIÓN DE LOS ASPIRANTES A BENEFICIARSE DEL COMPONENTE CADENA DE FORMACIÓN DEL CONVENIO SENA-UNIMAGDALENA EN LOS DIFERENTES PROGRAMAS ACADÉMICOS OFERTADOS EN CADA PERIODO ACADÉMICO INCLUYENDO: ELABORACIÓN DEL CRONOGRAMA DEL PROCESO Y ENVIÓ A LA OFICINA DE COMUNICACIONES DE LA VICERRECTORÍA PARA DIVULGACIÓN EN CANALES INSTITUCIONALES, RECEPCIÓN DOCUMENTOS, REVISIÓN DE REQUISITOS PARA LA INSCRIPCIÓN DE LOS ASPIRANTES, FACILITAR ESPACIOS DE ORIENTACIÓN Y SOLUCIÓN DE INQUIETUDES Y PROYECCIÓN DE RESPUESTA A COMUNICACIONES RECIBIDAS EN EL CORREO  CONVENIOSENA@UNIMAGDALENA.EDU.CO. 3. COORDINAR, CONCERTAR Y ORGANIZAR LAS PRUEBAS DE RECONOCIMIENTO DE COMPETENCIAS TAL COMO LO ESTIPULA EL A.S. 026 DE 2018, ASÍ COMO HACER SEGUIMIENTO AL PROCESO DE HOMOLOGACIÓN DE CRÉDITOS ACADÉMICOS DE LOS ASPIRANTES A LOS PROGRAMAS ACADÉMICOS OFERTADOS EN EL MARCO DEL CONVENIO SENA-UNIMAGDALENA. 4. ARTICULAR CON LA DIVISIÓN DE ADMISIONES, REGISTRO Y CONTROL, EL PROCESO DE LIQUIDACIÓN DE MATRÍCULA DE LOS ASPIRANTES SELECCIONADOS. 5. ARTICULAR CON EL GRUPO DE FACTURACIÓN, CRÉDITO Y CARTERA, EL PROCESO DE PAGO DE LOS DERECHOS DE HOMOLOGACIÓN DE LOS CRÉDITOS ACADÉMICOS. 6. CONCERTACIÓN DE LA AGENDA DE REUNIONES DEL COMITÉ TÉCNICO CONVENIO SENA-UNIMAGDALENA, ASÍ COMO APOYAR EL DESARROLLO DE LAS SESIONES DEL MISMO. 7. ELABORACIÓN Y PRESENTACIÓN DE INFORMES TRIMESTRAL Y SEMESTRAL DEL PROCESO DE PREINSCRIPCIÓN, INSCRIPCIÓN Y SELECCIÓN DE LOS ASPIRANTES DEL CONVENIO</t>
  </si>
  <si>
    <t>https://community.secop.gov.co/Public/Tendering/OpportunityDetail/Index?noticeUID=CO1.NTC.4343099&amp;isFromPublicArea=True&amp;isModal=False</t>
  </si>
  <si>
    <t>OAG-VEX-0561-2023</t>
  </si>
  <si>
    <t xml:space="preserve">MILENA MARIA CIFUENTES GARCIA </t>
  </si>
  <si>
    <t xml:space="preserve">PRESTAR SERVICIOS DE APOYO A LA GESTIÓN PARA EL DESARROLLO DE LO SIGUIENTE: 1. COADYUVAR EN EL DESARROLLO DE LAS ACTIVIDADES ADMINISTRATIVAS, REGISTRO DE INFORMACIÓN EN LAS MATRICES DE SEGUIMIENTO Y CONSOLIDACIÓN DE INFORMACIÓN DE LA CASA MUSEO GGM Y REMITIRLA A LA DIRECCIÓN DE PROYECCIÓN CULTURAL. 2. APOYAR LA RECEPCIÓN, RECORRIDO Y ATENCIÓN DE VISITANTES A LA CASA MUSEO GABRIEL GARCIA MARQUEZ. 3. PARTICIPAR EN LA PREPARACIÓN DEL PROTOCOLO, DIFUSIÓN Y DESARROLLO DE LAS ACTIVIDADES Y EVENTOS ACADÉMICOS, SOCIALES Y CULTURALES QUE REALICEN DE MANERA VIRTUAL O PRESENCIAL DE LA CASA MUSEO GABRIEL GARCIA MARQUEZ.  4. CONTRIBUIR EN LA ELABORACIÓN Y DIFUSIÓN DEL CALENDARIO DE CHARLAS, CONFERENCIAS CICLOS DE CINE, Y ACTIVIDADES CULTURALES Y/O EDUCATIVAS DE LA CASA MUSEO GABRIEL GARCIA MARQUEZ. 5. DEFINIR LAS ESTRATEGIAS PARA ACERCAR LA CASA MUSEO GGM A GRUPOS DE ESTUDIANTES DE TODOS LOS NIVELES EN EL DEPARTAMENTO DEL MAGDALENA EN ESPECIAL DE LOS MUNICIPIOS ALEDAÑOS A ARACATACA. </t>
  </si>
  <si>
    <t>https://community.secop.gov.co/Public/Tendering/OpportunityDetail/Index?noticeUID=CO1.NTC.4379747&amp;isFromPublicArea=True&amp;isModal=False</t>
  </si>
  <si>
    <t>OPSP-VEX-0570-2023</t>
  </si>
  <si>
    <t xml:space="preserve">GABRIEL CASTRO RODRIGUEZ </t>
  </si>
  <si>
    <t xml:space="preserve">PRESTAR SERVICIOS PROFESIONALES PARA EL DESARROLLO DE LO SIGUIENTE: 1. COORDINAR EL PROCESO DE ACREDITACIÓN EN ECONOMÍA SOLIDARIA DE LA UNIVERSIDAD DEL MAGDALENA. 2. ELABORACIÓN DEL DOCUMENTO BASE A PRESENTAR ANTE LA UNIDAD ADMINISTRATIVA ESPECIAL DE ORGANIZACIONES SOLIDARIAS UAEOS PARA OBTENER LA ACREDITACIÓN QUE HABILITE A LA UNIVERSIDAD PARA IMPARTIR PROGRAMAS DE EDUCACIÓN EN ECONOMÍA SOLIDARIA. 3. RECOLECCIÓN DE LA DOCUMENTACIÓN BASE, CERTIFICACIONES DE LA EXPERIENCIA DE LA UNIVERSIDAD Y DEMÁS; NECESARIOS PARA LA OBTENCIÓN DE LA ACREDITACIÓN. 4. ELABORACIÓN – ACTUALIZACIÓN DE LOS DIFERENTES MÓDULOS, ASÍ COMO DE LA CARTILLA INSTITUCIONAL DE CAPACITACIÓN EN ECONOMÍA SOLIDARIA DE ACUERDO CON LO EXIGIDO POR LA UAEOS. 5. DISEÑO CURRICULAR DEL CURSO BÁSICO DE ECONOMÍA SOLIDARIA QUE SE IMPARTIRÁ DESDE LA UNIVERSIDAD. 6. ADAPTAR LA METODOLOGÍA DE FORMACIÓN EN ECONOMÍA SOLIDARIA A LAS MODALIDADES (PRESENCIAL, A DISTANCIA Y EN LÍNEA); EN LAS QUE LA UNIVERSIDAD IMPARTE FORMACIÓN. </t>
  </si>
  <si>
    <t>https://community.secop.gov.co/Public/Tendering/OpportunityDetail/Index?noticeUID=CO1.NTC.4380808&amp;isFromPublicArea=True&amp;isModal=False</t>
  </si>
  <si>
    <t>OPSP-VEX-0574-2023</t>
  </si>
  <si>
    <t>CARMEN VALENTINA HERRERA TENJO</t>
  </si>
  <si>
    <t xml:space="preserve">PRESTAR SERVICIOS PROFESIONALES PARA EL DESARROLLO DE LAS SIGUIENTES ACTIVIDADES: 1.COORDINAR ACADÉMICAMENTE EL DIPLOMADO EN TRANSICIÓN MINERO-ENERGÉTICA JUSTA EN EL CARIBE COLOMBIANO MEDIANTE LA ENTREGA DENTRO DE LAS FECHAS ESTABLECIDAS DE LA PROGRAMACIÓN DE ACTIVIDADES ACADÉMICAS, DOCENTES ESCOGIDOS, PRESUPUESTO DE INGRESOS Y GASTOS, EL CONTROL Y SEGUIMIENTO DE LAS ACTIVIDADES ACADÉMICAS DEL PROGRAMA. 2. CONSTRUIR EL DIAGNÓSTICO INICIAL DE LAS MUJERES, LÍDERES, EX Y TRABAJADORES INTERESADOS EN CURSAR EL DIPLOMADO EN TRANSICIÓN MINERO-ENERGÉTICA, CON EL FIN DE DETERMINAR LA PERTINENCIA, NECESIDADES Y OPORTUNIDADES QUE TIENEN LAS COMUNIDADES AFECTADAS POR LA MINERÍA DE CARBÓN EN EL CARIBE COLOMBIANO.  3. REALIZAR UN MAPEO DE ACTORES Y ACTIVIDADES QUE REALIZAN LOS ESTUDIANTES DEL DIPLOMADO AL INTERIOR DE SUS TERRITORIOS Y COMO ARTICULAN SUS PROCESOS COLECTIVOS TERRITORIALES AL TEMA DE LA TRANSICIÓN MINERO-ENERGÉTICA JUSTA. 4. DISEÑAR LA PLANEACIÓN, DISEÑO Y ARTICULACIÓN DE ENTIDADES INTERNACIONALES, DOCENTES Y ESTUDIANTES INTERESADOS EN EL PROYECTO "RECONVERSIÓN LABORAL Y PRODUCTIVA", EN LA PRIMERA Y SEGUNDA COHORTE DEL DIPLOMADO EN TRANSICIÓN MINERO-ENERGÉTICA 5. SOLICITAR, RECIBIR Y ENTREGAR EN LAS FECHAS ESTABLECIDAS, LA INFORMACIÓN Y DOCUMENTACIÓN PRECONTRACTUAL, Y POST CONTRACTUAL DURANTE LA EJECUCIÓN DE LAS ACTIVIDADES DE LOS DOCENTES PARA EL PROCESO DE CONTRATACIÓN Y AUTORIZACIÓN DE PAGO DEL DIPLOMADO EN TRANSICIÓN MINERO-ENERGÉTICA JUSTA EN EL CARIBE COLOMBIANO. 6. SOCIALIZAR A TIEMPO LAS PROGRAMACIONES, HORARIOS DE CLASES, MICRODISEÑOS, EVALUACIÓN DOCENTE, SISTEMA DE CALIFICACIONES Y MATERIAL PEDAGÓGICO DE LAS ASIGNATURAS DE LOS PROGRAMAS. 7. ORGANIZAR EL INFORME DE CUMPLIMIENTO DEL DIPLOMADO QUE CONTENGA: HOJAS DE VIDA DE LOS DOCENTES; CONTENIDOS A DESARROLLAR POR MÓDULO; COMPILACIÓN DE LOS INFORMES CUALITATIVOS QUE CONTIENEN LOS RESULTADOS DE LAS PRUEBAS DE SALIDA APLICADAS POR MÓDULO. 8. APORTAR EN LA DIVULGACIÓN Y PUBLICACIÓN DE LA INFORMACIÓN RELACIONADA CON LA RECONVERSIÓN LABORAL Y PRODUCTIVA DEL SECTOR MINERO-ENERGÉTICO EN EL CARIBE. 9. COORDINAR ADMINISTRATIVAMENTE EL DIPLOMADO EN TRANSICIÓN MINERO-ENERGÉTICA JUSTA EN EL CARIBE COLOMBIANO REALIZAR EL SEGUIMIENTO DE LOS TRÁMITES ADMINISTRATIVOS, COMPRA DE TIQUETES, RESERVA DE HOTELES PARA LOS INVITADOS Y APOYO LOGÍSTICO EN LA REALIZACIÓN DE LAS CLASES. </t>
  </si>
  <si>
    <t>https://community.secop.gov.co/Public/Tendering/OpportunityDetail/Index?noticeUID=CO1.NTC.4387223&amp;isFromPublicArea=True&amp;isModal=False</t>
  </si>
  <si>
    <t>OPSP-VEX-0578-2023</t>
  </si>
  <si>
    <t xml:space="preserve">LEONARDO CESAR TAPIAS CHAPARRO </t>
  </si>
  <si>
    <t xml:space="preserve">PRESTAR SERVICIOS PROFESIONALES PARA EL DESARROLLO DE LAS SIGUIENTES ACTIVIDADES: 1). PLANEAR LAS ACTIVIDADES FORMATIVAS DEL CURSO HERRAMIENTAS PARA EL ANÁLISIS DE DATOS DIRIGIDO A LOS BENEFICIARIOS DEL CONTRATO PS-003-2023 SUSCRITO ENTRE UNIMAGDALENA Y ABIUDEA.  2). DESARROLLAR EL CURSO: HERRAMIENTAS PARA EL ANÁLISIS DE DATOS. 3). CREAR EL CONTENIDO DEL CURSO HERRAMIENTAS PARA EL ANÁLISIS DE DATOS PARA EL CARGUE EN LA PLATAFORMA BRIGHTSPACE O TEAMS.  </t>
  </si>
  <si>
    <t>https://community.secop.gov.co/Public/Tendering/OpportunityDetail/Index?noticeUID=CO1.NTC.4426144&amp;isFromPublicArea=True&amp;isModal=False</t>
  </si>
  <si>
    <t>OPSP-VEX-0579-2023</t>
  </si>
  <si>
    <t xml:space="preserve">ROBERTO ELIAS IGLESIAS CHEDRAUI </t>
  </si>
  <si>
    <t>PRESTAR SERVICIOS PROFESIONALES PARA EL DESARROLLO DE LAS SIGUIENTES ACTIVIDADES: 1). PLANEAR LAS ACTIVIDADES FORMATIVAS DE LOS CURSOS: FUNDAMENTOS BÁSICOS DE EXCEL Y VISUALIZACIÓN DE DATOS EN POWER BI DIRIGIDO A LOS BENEFICIARIOS DEL CONTRATO PS-003-2023 SUSCRITO ENTRE UNIMAGDALENA Y ABIUDEA. 2). DESARROLLAR LOS CURSOS: FUNDAMENTOS BÁSICOS DE EXCEL Y VISUALIZACIÓN DE DATOS EN POWER BI. 3). CREAR EL CONTENIDO DE LOS CURSOS: FUNDAMENTOS BÁSICOS DE EXCEL Y VISUALIZACIÓN DE DATOS EN POWER BI PARA EL CARGUE EN LA PLATAFORMA BRIGHTSPACE O TEAMS.  4). APOYAR, COORDINAR Y ORGANIZAR LAS ACTIVIDADES RELACIONADAS CON EL FUNCIONAMIENTO DEL DIPLOMADO EN EXCEL + POWER BI. 5). ORGANIZAR EL INFORME PARA EL CONTRATANTE ABIUDEA QUE CONTENGA: HOJAS DE VIDA DE LOS DOCENTES; CONTENIDOS A DESARROLLAR POR MÓDULO; COMPILACIÓN DE LOS RESULTADOS CUANTITATIVOS Y CUALITATIVOS QUE CONTIENEN LOS RESULTADOS DE LAS PRUEBAS DE SALIDA APLICADAS POR MÓDULO.</t>
  </si>
  <si>
    <t>https://community.secop.gov.co/Public/Tendering/OpportunityDetail/Index?noticeUID=CO1.NTC.4425962&amp;isFromPublicArea=True&amp;isModal=False</t>
  </si>
  <si>
    <t>OPSP-VEX-0582-2023</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</si>
  <si>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ACTOS ADMINISTRATIVOS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t>
  </si>
  <si>
    <t>https://community.secop.gov.co/Public/Tendering/OpportunityDetail/Index?noticeUID=CO1.NTC.4427918&amp;isFromPublicArea=True&amp;isModal=False</t>
  </si>
  <si>
    <t>OPSP-VEX-0583-2023</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</si>
  <si>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 LOS CONTRATOS. 2) ARTICULAR CON LAS DEPENDENCIAS ADMINISTRATIVAS Y FINANCIERAS DE LA UNIVERSIDAD, LAS SOLICITUDES DE CERTIFICADOS DE DISPONIBILIDAD PRESUPUESTAL, COMPROMISO PRESUPUESTAL, ÓRDENES DE PAGO Y REQUERIMIENTOS FINANCIEROS GENERADOS DURANTE LA EJECUCIÓN. 3) RECAUDAR Y REVISAR LOS DOCUMENTOS PRECONTRACTUALES Y CONTRACTUALES DERIVADOS DEL PROCESO DE CONTRATACIÓN DE PERSONAL, Y GESTIONAR ANTE LAS DEPENDENCIAS DE UNIMAGDALENA SUS RESPECTIVOS PAGOS. 4) TRAMITAR SOLICITUDES DE APOYOS ECONÓMICOS POR DESPLAZAMIENTO Y ESTÍMULOS A DOCENTES VINCULADOS A LA EJECUCIÓN DE LOS CONTRATOS. 5) REALIZAR EL CARGUE DE LAS ÓRDENES Y DOCUMENTOS CONTRACTUALES DE LAS MISMAS AL SISTEMA INTEGRAL DE AUDITORIA –SIA- OBSERVA Y AL SISTEMA SECOP II. 6) REALIZAR REVISIÓN DE LAS HOJAS DE VIDA Y RELACIONAR LA INFORMACIÓN DE LAS ORDENES EN LA PLATAFORMA SIGEP.  7) PROYECTAR LAS ÓRDENES Y ACTOS ADMINISTRATIVOS QUE SE REQUIERAN DURANTE LA EJECUCIÓN DEL CONTRATO. </t>
  </si>
  <si>
    <t>https://community.secop.gov.co/Public/Tendering/OpportunityDetail/Index?noticeUID=CO1.NTC.4427965&amp;isFromPublicArea=True&amp;isModal=False</t>
  </si>
  <si>
    <t>OPS-VEX-0592-2023</t>
  </si>
  <si>
    <t>COPY’S STUDENT S.A.S.</t>
  </si>
  <si>
    <t>PRESTAR SERVICIO DE 25.500 FOTOCOPIAS A BLANCO Y NEGRO REQUERIDO PARA EL DESARROLLO DE TODAS LAS ACTIVIDADES QUE SE LLEVAN A CABO EN EL MARCO DE LA VICERRECTORÍA DE EXTENSIÓN Y PROYECCIÓN SOCIAL.</t>
  </si>
  <si>
    <t>https://community.secop.gov.co/Public/Tendering/OpportunityDetail/Index?noticeUID=CO1.NTC.4446646&amp;isFromPublicArea=True&amp;isModal=False</t>
  </si>
  <si>
    <t>OPSP-VEX-0621-2023</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</si>
  <si>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1.PRESTAR APOYO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5. APOYAR EN LAS SOLICITUDES DE REAJUSTE ECONÓMICO SOLICITADO POR LOS MUNICIPIOS 6. COORDINAR LA INTERVENTORÍA DEL CONTRATO DE OBRA NO. 0135 – 2020, CUYO OBJETO ES: “CONSTRUCCIÓN DE OBRAS DE PROTECCIÓN Y ARQUITECTÓNICAS PARA EL ORDENAMIENTO DEL CASCO URBANO DEL MUNICIPIO DE REGIDOR, DEPARTAMENTO DE BOLÍVAR”. </t>
  </si>
  <si>
    <t>https://community.secop.gov.co/Public/Tendering/OpportunityDetail/Index?noticeUID=CO1.NTC.4520615&amp;isFromPublicArea=True&amp;isModal=False</t>
  </si>
  <si>
    <t>OPSP-VEX-0641-2023</t>
  </si>
  <si>
    <t xml:space="preserve">PRESTAR SERVICIOS PROFESIONALES PARA EL DESARROLLO DE: 1) APOYAR EN EL DILIGENCIAMIENTO EN EL SINAP DE LOS CDP SOLICITADOS PARA CADA PROYECTO DE REGALÍAS. 2) REVISAR DETALLADAMENTE LOS DOCUMENTOS REQUERIDOS EN LA ETAPA PRECONTRACTUAL PARA ELABORAR EN EL SINAP LOS COMPROMISOS PRESUPUESTALES DE LAS ÓRDENES Y RESOLUCIONES AUTORIZADAS POR LA VICERRECTORÍA RELACIONADAS CON CADA PROYECTO DE REGALÍAS. 3). APOYO EN LA ELABORACIÓN EN EL SINAP DE LAS ADICIONES, DISMINUCIONES, ANULACIONES DE RECURSOS A LOS CDP EXPEDIDOS DE CADA PROYECTO DE REGALÍAS. 4) COADYUVAR EN LA ELABORACIÓN EN EL SINAP DE LAS ADICIONES, DISMINUCIONES, ANULACIONES DE RECURSOS A LOS COMPROMISOS Y RESERVAS PRESUPUESTALES EXPEDIDAS DE CADA PROYECTO DE REGALÍAS. 5) APOYAR EN LA CREACIÓN DE CODIFICACIÓN SICE, CONTRALORÍA, CHIP TANTO DE INGRESOS COMO EGRESOS 6) APOYAR EN LA REALIZACIÓN DE MOVIMIENTOS DE ADICIÓN PRESUPUESTAL DE INGRESOS Y EGRESOS. 7) APOYAR EN LA CREACIÓN Y CODIFICACIÓN DE RUBROS DEL CATÁLOGO DE CLASIFICACIÓN PRESUPUESTAL. 8) APOYAR EN LA NOTIFICACIÓN AL GRUPO DE CONTABILIDAD Y TESORERÍA DE LOS RUBROS DE INGRESOS Y EGRESOS CREADOS CON CARGO A RECURSOS DEL PROYECTO PARA SU ENLACE CONTABLE Y CREACIÓN DE CONCEPTOS EN LA BASE DE DATOS DEL SISTEMA DE INFORMACIÓN SINAP. 9) APOYAR EN ACTIVIDADES DERIVADAS DEL GRUPO DE PRESUPUESTO DE REPORTES E INFORMES DE EJECUCIÓN PRESUPUESTAL QUE SE GENEREN CON CARGO A PROYECTOS DE REGALÍAS QUE EJECUTA LA UNIVERSIDAD POR INSTRUCCIONES DE LA JEFA DEL GRUPO DE PRESUPUESTO. 10) PARTICIPAR EN REUNIONES, CAPACITACIONES, RECOPILAR LA INFORMACIÓN Y ELABORAR INFORMES SOLICITADOS POR EL SUPERVISOR DE LA ORDEN. </t>
  </si>
  <si>
    <t>https://community.secop.gov.co/Public/Tendering/OpportunityDetail/Index?noticeUID=CO1.NTC.4580063&amp;isFromPublicArea=True&amp;isModal=False</t>
  </si>
  <si>
    <t>OPSP-VEX-0642-2023</t>
  </si>
  <si>
    <t xml:space="preserve">PRESTAR SERVICIOS PROFESIONALES PARA EL DESARROLLO DE: 1. ELABORAR INFORME DE LA CONCILIACIÓN CONTABLE PARA MANTENER UN CONTROL FINANCIERO EN LA VICERRECTORÍA DE EXTENSIÓN Y PROYECCIÓN SOCIAL. 2. ELABORAR INFORME CONSOLIDADO DE LA EJECUCIÓN FINANCIERA DE LA VICERRECTORÍA DE EXTENSIÓN Y PROYECCIÓN SOCIAL. 3. ASESORAR Y HACER SEGUIMIENTO EN EL PROCESO DE CONSOLIDACIÓN DE LA INFORMACIÓN CONTABLE RESPECTO A LA EJECUCIÓN PERIÓDICA. </t>
  </si>
  <si>
    <t>https://community.secop.gov.co/Public/Tendering/OpportunityDetail/Index?noticeUID=CO1.NTC.4580145&amp;isFromPublicArea=True&amp;isModal=False</t>
  </si>
  <si>
    <t>OPSP-VEX-0643-2023</t>
  </si>
  <si>
    <t xml:space="preserve">PRESTAR SERVICIOS PROFESIONALES PARA EL DESARROLLO DE: 1. ELABORAR INFORME DE LA CONCILIACIÓN BANCARIA CON SUS RESPECTIVOS DOCUMENTOS SOPORTE, PARA MANTENER UN CONTROL CONTABLE Y FINANCIERO DE LOS CONVENIOS Y CONTRATOS DE LA VICERRECTORÍA DE EXTENSIÓN.  2. ELABORAR INFORMES MENSUALES DE EJECUCIÓN DE PLAN ANUAL DE CAJA (PAC) DE LA VICERRECTORÍA DE EXTENSIÓN Y PROYECCIÓN SOCIAL.  3. ASESORAR Y HACER SEGUIMIENTO EN LA OBTENCIÓN Y CONSOLIDACIÓN DE INFORMACIÓN DESDE LA OFICINA DE TESORERÍA PARA LA LIQUIDACIÓN DE LOS CONVENIOS EN EJECUCIÓN.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</si>
  <si>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https://community.secop.gov.co/Public/Tendering/OpportunityDetail/Index?noticeUID=CO1.NTC.4580079&amp;isFromPublicArea=True&amp;isModal=False</t>
  </si>
  <si>
    <t>OPSP-VEX-0646-2023</t>
  </si>
  <si>
    <t xml:space="preserve">PRESTAR SERVICIOS PROFESIONALES PARA EL DESARROLLO DE: 1). GESTIONAR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COADYUVAR EN EL ENVÍO DE INFORMACIÓN FINANCIERA QUE REQUIERA LA VICERRECTORÍA DE EXTENSIÓN Y PROYECCIÓN SOCIAL. 4) ARCHIVAR DIARIAMENTE LAS SOLICITUDES DE AFECTACIONES Y TRASLADOS, CORRESPONDIENTES A LOS TRÁMITES DE LA VICERRECTORÍA DE EXTENSIÓN Y PROYECCIÓN SOCIAL EN LOS MEDIOS TECNOLÓGICOS QUE SE DESIGNEN. </t>
  </si>
  <si>
    <t>https://community.secop.gov.co/Public/Tendering/OpportunityDetail/Index?noticeUID=CO1.NTC.4590717&amp;isFromPublicArea=True&amp;isModal=False</t>
  </si>
  <si>
    <t>OAG-VEX-0647-2023</t>
  </si>
  <si>
    <t xml:space="preserve">PRESTAR SERVICIOS DE APOYO A LA GESTIÓN PARA EL DESARROLLO DE LO SIGUIENTE: 1) APOYAR LAS ACTIVIDADES ADMINISTRATIVAS Y FINANCIERAS DE LA VICERRECTORÍA DE EXTENSIÓN Y PROYECCIÓN SOCIAL DESDE LA OFICINA DE PRESUPUESTO.  2) REALIZAR LOS CERTIFICADOS DE DISPONIBILIDAD PRESUPUESTAL QUE SE REQUIERAN. 3) REALIZAR LOS COMPROMISOS PRESUPUESTALES DE LAS ÓRDENES DE SERVICIOS, DE APOYO A LA GESTIÓN, PROFESIONALES, SUMINISTRO Y COMPRA, RESOLUCIONES Y DEMÁS ACTOS ADMINISTRATIVOS QUE SE REQUIERAN. 4) ARCHIVAR DIARIAMENTE LAS SOLICITUDES DE CDP, CDP Y COMPROMISOS PRESUPUESTALES CORRESPONDIENTES A LOS TRÁMITES DE LA VICERRECTORÍA DE EXTENSIÓN Y PROYECCIÓN SOCIAL EN LOS MEDIOS TECNOLÓGICOS QUE SE DESIGNEN. </t>
  </si>
  <si>
    <t>https://community.secop.gov.co/Public/Tendering/OpportunityDetail/Index?noticeUID=CO1.NTC.4590505&amp;isFromPublicArea=True&amp;isModal=False</t>
  </si>
  <si>
    <t>OAG-VEX-0648-2023</t>
  </si>
  <si>
    <t xml:space="preserve">PIEDAD DE LOS ANGELES DE LA HOZ IBAÑEZ </t>
  </si>
  <si>
    <t xml:space="preserve">PRESTAR SERVICIOS DE APOYO A LA GESTIÓN PARA EL DESARROLLO DE LO SIGUIENTE:  1) ORGANIZAR, CLASIFICAR Y ARCHIVAR LOS SOPORTES DOCUMENTALES QUE SE GENEREN EN LA OFICINA DE LA VICERRECTORÍA DE EXTENSIÓN Y PROYECCIÓN SOCIAL. 2) DIGITALIZAR LOS SOPORTES DOCUMENTALES DE LOS PROYECTOS PARA SER TRANSFERIDOS AL ARCHIVO CENTRAL DE LA VICERRECTORÍA DE EXTENSIÓN Y PROYECCIÓN SOCIAL. 3) APOYAR A LA COORDINACIÓN DE LA VICERRECTORÍA DE EXTENSIÓN Y PROYECCIÓN SOCIAL EN LA ATENCIÓN AL PÚBLICO QUE LLEGUE A LA OFICINA. </t>
  </si>
  <si>
    <t>https://community.secop.gov.co/Public/Tendering/OpportunityDetail/Index?noticeUID=CO1.NTC.4591319&amp;isFromPublicArea=True&amp;isModal=False</t>
  </si>
  <si>
    <t>OAG-VEX-0649-2023</t>
  </si>
  <si>
    <t xml:space="preserve">JENNIFER PAOLA SALCEDO ROMERO </t>
  </si>
  <si>
    <t>PRESTAR SERVICIOS DE APOYO A LA GESTIÓN PARA EL DESARROLLO DE LO SIGUIENTE: 1. 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t>
  </si>
  <si>
    <t>https://community.secop.gov.co/Public/Tendering/OpportunityDetail/Index?noticeUID=CO1.NTC.4591341&amp;isFromPublicArea=True&amp;isModal=False</t>
  </si>
  <si>
    <t>OPSP-VEX-0650-2023</t>
  </si>
  <si>
    <t>PRESTAR SERVICIOS PROFESIONALES PARA EL DESARROLLO DE: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t>
  </si>
  <si>
    <t>https://community.secop.gov.co/Public/Tendering/OpportunityDetail/Index?noticeUID=CO1.NTC.4591260&amp;isFromPublicArea=True&amp;isModal=False</t>
  </si>
  <si>
    <t>OPSP-VEX-0651-2023</t>
  </si>
  <si>
    <t xml:space="preserve">PRESTAR SERVICIOS PROFESIONALES PARA EL DESARROLLO DE: 1). REVISAR LOS INFORMES PRESENTADOS PARA PAGO, VERIFICANDO LOS SOPORTES REQUERIDOS (APORTES A LA SEGURIDAD SOCIAL INTEGRAL Y ADRES) DE LOS DIFERENTES ACTOS ADMINISTRATIVOS GENERADOS EN LA VICERRECTORÍA DE EXTENSIÓN Y PROYECCIÓN SOCIAL. 2). ENVIAR A REPORTE DE LOS INFORMES DE PAGO REVISADO AL GRUPO DE CONTABILIDAD Y REALIZAR SEGUIMIENTO DE LOS MISMOS. 3) REGISTRAR EN ARCHIVO DE EXCEL RELACIÓN DEL PERSONAL CONTRATISTA QUE ENVÍA DOCUMENTOS PARA PAGO. </t>
  </si>
  <si>
    <t>https://community.secop.gov.co/Public/Tendering/OpportunityDetail/Index?noticeUID=CO1.NTC.4591387&amp;isFromPublicArea=True&amp;isModal=False</t>
  </si>
  <si>
    <t>OAG-VEX-0652-2023</t>
  </si>
  <si>
    <t xml:space="preserve">PRESTAR SERVICIOS DE APOYO A LA GESTIÓN PARA EL DESARROLLO DE LO SIGUIENTE:  1.APOYAR AL GRUPO DE CONTABILIDAD EN LA ELABORACIÓN DE CUENTAS POR PAGAR Y OBLIGACIONES PRESUPUESTALES 2. APOYAR AL PROFESIONAL ESPECIALIZADO DEL GRUPO DE CONTABILIDAD EN LAS ACTIVIDADES INHERENTES PROPIAS DE LOS DIFERENTES TRÁMITES DE PAGOS. 3. APOYAR DESDE EL GRUPO DE CONTABILIDAD A LA VICERRECTORÍA DE EXTENSIÓN Y PROYECCIÓN SOCIAL EN LO RELACIONADO A INFORMACIÓN CONTABLE QUE SE REQUIERA. 4) ARCHIVAR DIARIAMENTE LAS OBLIGACIONES PRESUPUESTALES Y SUS ANEXOS CORRESPONDIENTES A LOS TRAMITES DE LA VEX EN LOS MEDIOS TECNOLÓGICOS QUE SE DESIGNEN. </t>
  </si>
  <si>
    <t>https://community.secop.gov.co/Public/Tendering/OpportunityDetail/Index?noticeUID=CO1.NTC.4591542&amp;isFromPublicArea=True&amp;isModal=False</t>
  </si>
  <si>
    <t>OPSP-VEX-0653-2023</t>
  </si>
  <si>
    <t xml:space="preserve">
PRESTAR SERVICIOS PROFESIONALES PARA EL DESARROLLO DE: 1. REGISTRAR EN EL SINAP LAS OBLIGACIONES DE PAGO (OP) DE LAS ÓRDENES DE SERVICIOS PROFESIONALES Y DE APOYO A LA GESTIÓN, SUMINISTRO, COMPRA, RESOLUCIONES Y DEMÁS ACTOS ADMINISTRATIVOS QUE REQUIERA LA VICERRECTORÍA DE EXTENSIÓN Y PROYECCIÓN SOCIAL.  2. CONTRIBUIR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ARCHIVAR DIARIAMENTE LAS OBLIGACIONES PRESUPUESTALES Y SUS ANEXOS </t>
  </si>
  <si>
    <t>https://community.secop.gov.co/Public/Tendering/OpportunityDetail/Index?noticeUID=CO1.NTC.4591843&amp;isFromPublicArea=True&amp;isModal=False</t>
  </si>
  <si>
    <t>OPSP-VEX-0654-2023</t>
  </si>
  <si>
    <t xml:space="preserve">AFRA ALEXANDRA HARDING </t>
  </si>
  <si>
    <t>PRESTAR SERVICIOS PROFESIONALES PARA: 1). REALIZAR LOS PAGOS EN LA PLATAFORMA DEL SINAP DE LAS ÓRDENES DERIVADAS DE LOS CONTRATOS Y RESOLUCIONES SUSCRITOS Y/O PROFERIDOS POR LA VICERRECTORÍA DE EXTENSIÓN Y PROYECCIÓN SOCIAL DESDE LA OFICINA DE TESORERÍA. 2). VALIDAR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REALIZAR EL ENVÍO DE INFORMACIÓN FINANCIERA QUE REQUIERA LA VICERRECTORÍA DE EXTENSIÓN Y PROYECCIÓN SOCIAL. 6) ARCHIVAR DIARIAMENTE LA DOCUMENTACIÓN TRAMITADA EN LOS MEDIOS TECNOLÓGICOS QUE SE DESIGNEN.</t>
  </si>
  <si>
    <t>https://community.secop.gov.co/Public/Tendering/OpportunityDetail/Index?noticeUID=CO1.NTC.4591855&amp;isFromPublicArea=True&amp;isModal=False</t>
  </si>
  <si>
    <t>OPSP-VEX-0655-2023</t>
  </si>
  <si>
    <t xml:space="preserve">DANIELA VANESA VILLALBA CÁRDENAS </t>
  </si>
  <si>
    <t>PRESTAR SERVICIOS PROFESIONALES PARA EL DESARROLLO DE LAS SIGUIENTES ACTIVIDADES: 1) REALIZAR LAS CONCILIACIONES BANCARIAS DE LAS CUENTAS ASIGNADAS DESDE LA OFICINA DE TESORERÍA. 2)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4)DESCARGAR LOS COMPROBANTES DE EGRESO DE LOS PAGOS DE LAS ORDENES O RESOLUCIONES SOLICITADAS POR LAS UNIDADES ADMINISTRATIVAS.  5)COADYUVAR EN LA RECOPILACIÓN DE LA INFORMACIÓN Y EN LA ELABORACIÓN INFORMES SOLICITADOS POR EL SUPERVISOR DE LA ORDEN. 6)TRAMITAR LAS SOLICITUDES ASIGNADAS DE LA VICERRECTORÍA DE EXTENSIÓN Y PROYECCIÓN SOCIAL. 7) ARCHIVAR DIARIAMENTE LA DOCUMENTACIÓN TRAMITADA EN LOS MEDIOS TECNOLÓGICOS QUE SE DESIGNEN.</t>
  </si>
  <si>
    <t>https://community.secop.gov.co/Public/Tendering/OpportunityDetail/Index?noticeUID=CO1.NTC.4591744&amp;isFromPublicArea=True&amp;isModal=False</t>
  </si>
  <si>
    <t>OPSP-VEX-0656-2023</t>
  </si>
  <si>
    <t xml:space="preserve">ROBERTO FERNANDO DE LA ROSA
MAESTRE </t>
  </si>
  <si>
    <t xml:space="preserve">PRESTAR SERVICIOS PROFESIONALES PARA: 1) REALIZAR LOS PAGOS EN LA PLATAFORMA DEL SINAP DE LAS ÓRDENES DERIVADAS DE LOS CONTRATOS Y RESOLUCIONES SUSCRITOS Y/O PROFERIDOS POR LA VICERRECTORÍA DE EXTENSIÓN Y PROYECCIÓN SOCIAL DESDE LA OFICINA DE TESORERÍA. 2) DESCARGAR COMPROBANTES DE EGRESO Y OBLIGACIONES PRESUPUESTALES REQUERIDAS POR LA VICERRECTORÍA DE EXTENSIÓN Y PROYECCIÓN SOCIAL. 3) RECEPCIONAR LOS PAGOS A FAVOR DE LA UNIVERSIDAD DEL MAGDALENA EN LA VENTANILLA TESORERÍA RECIBIDOS CON TARJETA DÉBITO Y CRÉDITO. 4) REALIZAR REGISTRO DE CUENTAS BANCARIAS DE LOS PROVEEDORES, CONTRATISTAS, DOCENTES, ESTUDIANTES Y DEMÁS TERCEROS BENEFICIARIOS DE PAGOS. 5) REALIZAR SEGUIMIENTO LEGALIZACIÓN DE VIÁTICOS, APOYOS ECONÓMICOS DE LOS DIFERENTES DOCENTES, INVESTIGADORES, VISITANTES Y ESTUDIANTES. 6) COADYUVAR EN LA ATENCIÓN A USUARIOS EN VENTANILLA DEL GRUPO DE TESORERÍA. 7) ARCHIVAR DIARIAMENTE LOS COMPROBANTES DE EGRESO CORRESPONDIENTES A LAS OBLIGACIONES PRESUPUESTALES DE LOS TRAMITES EN LOS MEDIOS TECNOLÓGICOS QUE SE DESIGNEN. </t>
  </si>
  <si>
    <t>https://community.secop.gov.co/Public/Tendering/OpportunityDetail/Index?noticeUID=CO1.NTC.4591939&amp;isFromPublicArea=True&amp;isModal=False</t>
  </si>
  <si>
    <t>OPSP-VEX-0661-2023</t>
  </si>
  <si>
    <t xml:space="preserve">PRESTAR SERVICIOS PROFESIONALES PARA: REALIZAR ELABORACIÓN Y ENTREGA DEL INFORME DE CIERRE QUE COMPRENDA LA RECOPILACIÓN DE LA INFORMACIÓN, SEGUIMIENTO Y CUMPLIMIENTO DE LAS ACTIVIDADES DE FORMACIÓN RELACIONADAS CON TEMAS DE EMPRENDIMIENTO E INNOVACIÓN, EN EL MARCO DEL DIPLOMADO EN TRANSICIÓN MINERO-ENERGÉTICA JUSTA EN EL CARIBE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</si>
  <si>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ANDREA CARDOSO DIAZ</t>
  </si>
  <si>
    <t>https://community.secop.gov.co/Public/Tendering/OpportunityDetail/Index?noticeUID=CO1.NTC.4602891&amp;isFromPublicArea=True&amp;isModal=False</t>
  </si>
  <si>
    <t>OPSP-VEX-0673-2023</t>
  </si>
  <si>
    <t>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t>
  </si>
  <si>
    <t>https://community.secop.gov.co/Public/Tendering/OpportunityDetail/Index?noticeUID=CO1.NTC.4682289&amp;isFromPublicArea=True&amp;isModal=False</t>
  </si>
  <si>
    <t>OPSP-VEX-0672-2023</t>
  </si>
  <si>
    <t>ALEXIS RAFAEL MERCADO GARCIA</t>
  </si>
  <si>
    <t xml:space="preserve">PRESTAR SERVICIOS PROFESIONALES PARA EL DESARROLLO DE: 1. COORDINAR Y ORGANIZAR LAS ACTIVIDADES RELACIONADAS CON EL FUNCIONAMIENTO DEL DIPLOMADO EN GERENCIA DE EMPRESAS PALMICULTORAS. 2. SOLICITAR, RECIBIR Y ENTREGAR EN LAS FECHAS ESTABLECIDAS, LA INFORMACIÓN Y DOCUMENTACIÓN PRECONTRACTUAL, Y POST CONTRACTUAL DURANTE LA EJECUCIÓN DE LAS ACTIVIDADES DEL DOCENTE PARA EL PROCESO DE CONTRATACIÓN Y AUTORIZACIÓN DE PAGO. 3. DAR A CONOCER A LOS ESTUDIANTES LAS PROGRAMACIONES, MICRODISEÑO Y MATERIAL PEDAGÓGICO DE LOS MÓDULOS QUE VAN A CURSAR. 4. HACER PRESENCIA Y SUPERVISAR EL CUMPLIMIENTO DE LOS HORARIOS DE CLASES CONTEMPLADOS EN LA PROGRAMACIÓN SEMANAL, VERIFICAR EL CONTROL DE ASISTENCIA, DESARROLLO DE LOS MICRODISEÑOS Y ENTREGA OPORTUNA DE CALIFICACIONES.   5. VELAR POR LA REALIZACIÓN DE LA EVALUACIÓN DOCENTE POR CADA ESTUDIANTE, AL TÉRMINO DE CADA MÓDULO.  6. ORGANIZAR EL INFORME PARA EL CONTRATANTE CENIPALMA QUE CONTENGA: HOJAS DE VIDA DE LOS DOCENTES; CONTENIDOS A DESARROLLAR POR MÓDULO; COMPILACIÓN DE LOS INFORMES CUALITATIVOS QUE CONTIENEN LOS RESULTADOS DE LAS PRUEBAS DE SALIDA APLICADAS POR MÓDULO. </t>
  </si>
  <si>
    <t>https://community.secop.gov.co/Public/Tendering/OpportunityDetail/Index?noticeUID=CO1.NTC.4682402&amp;isFromPublicArea=True&amp;isModal=False</t>
  </si>
  <si>
    <t>OPSP-VEX-0722-2023</t>
  </si>
  <si>
    <t>MILTON JOSE ACERO DOMINGUEZ</t>
  </si>
  <si>
    <t>Prestar servicios profesionales para el desarrollo de: 1). Planear las actividades formativas del curso Módulo Nivelatorio dirigido a los beneficiarios del Contrato PS-C041-2023 suscrito entre Unimagdalena y Cenipalma. 2). Desarrollar el curso Módulo Nivelatorio a través de la Plataforma Microsoft Teams. 3). Elaboración y entrega del consolidado de resultados del curso Módulo Nivelatorio.</t>
  </si>
  <si>
    <t>https://community.secop.gov.co/Public/Tendering/OpportunityDetail/Index?noticeUID=CO1.NTC.4758758&amp;isFromPublicArea=True&amp;isModal=False</t>
  </si>
  <si>
    <t>OPSP-VEX-0743-2023</t>
  </si>
  <si>
    <t>1.001.911.52</t>
  </si>
  <si>
    <t>KAREN FLOMARA ALSINA RANGEL</t>
  </si>
  <si>
    <t>Prestar servicios profesionales como Residente de Obra en el marco del Contrato Interadministrativo de Interventoría No. 0-258-2022 suscrito entre CORMAGDALENA y UNIMAGDALENA, para el desarrollo de lo siguiente: 1). Controlar el cumplimiento de la programación de la ejecución del Contrato de Obra LP No. 007 de 2018, cuyo objeto es: “CONSTRUCCIÓN DE OBRA DE CONTROL DE INUNDACIÓN Y MALECÓN EL BANCO”. 2). Apoyar en la elaboración de soluciones técnicas a inconvenientes surgidos durante el desarrollo de la obra. 3). Informar a la UNIVERSIDAD y a la Dirección de la Interventoría las causas del no cumplimiento, verificar y presentar a la dirección planes de contingencia. 4). Preparar informes periódicos, revisar el contenido de la bitácora y atender el buen funcionamiento de los oficios a su cargo. 5). Asistir a las reuniones y/o comités técnicos, en conjunto con el contratista y director de Interventoría cuando sean necesarios. 6). Exigir y obtener el registro fotográfico del trabajo de campo. 7). Verificar las especificaciones técnicas y su concordancia con planos y presupuestos. 8). Realizar la verificación del cumplimiento de las normas y procedimientos en materia de seguridad integral en la ejecución de la obra.</t>
  </si>
  <si>
    <t>https://community.secop.gov.co/Public/Tendering/OpportunityDetail/Index?noticeUID=CO1.NTC.4782696&amp;isFromPublicArea=True&amp;isModal=False</t>
  </si>
  <si>
    <t>OPSP-VEX-0741-2023</t>
  </si>
  <si>
    <t>Prestar servicios profesionales para el desarrollo de lo siguiente: 1). Realizar registro audiovisual de los eventos y actividades realizadas por la Vicerrectoría de Extensión y Proyección social. 2) Organizar y editar el material audiovisual recolectado. 3) Elaboración de videos para su publicación en las redes sociales de Vicerrectoría de Extensión y Proyección Social.</t>
  </si>
  <si>
    <t>https://community.secop.gov.co/Public/Tendering/OpportunityDetail/Index?noticeUID=CO1.NTC.4787166&amp;isFromPublicArea=True&amp;isModal=False</t>
  </si>
  <si>
    <t>NO HA INICIADO</t>
  </si>
  <si>
    <t>OPSP-VEX-0742-2023</t>
  </si>
  <si>
    <t>Prestar servicios profesionales para el desarrollo de lo siguiente: 1). Realizar registro fotográfico de los eventos y actividades realizadas por la Vicerrectoría de Extensión y Proyección Social. 2) Organizar el material fotográfico recolectado. 3) Edición de fotografías para su publicación en las redes sociales de Vicerrectoría de Extensión y Proyección Social.</t>
  </si>
  <si>
    <t>https://community.secop.gov.co/Public/Tendering/OpportunityDetail/Index?noticeUID=CO1.NTC.4787170&amp;isFromPublicArea=True&amp;isModal=False</t>
  </si>
  <si>
    <t>OPSP-VEX-0744-2023</t>
  </si>
  <si>
    <t>ROBERTO ELIAS IGLESIAS CHEDRAUI</t>
  </si>
  <si>
    <t>Prestar servicios profesionales para el desarrollo de: 1). Planear las actividades formativas del curso Estrategias Financieras dirigido a los beneficiarios del Contrato PS-C041-2023 suscrito entre Unimagdalena y Cenipalma. 2). Desarrollar el curso Estrategias Financieras a través de la Plataforma Microsoft Teams. 3). Elaboración y entrega del consolidado de resultados del curso Estrategias Financieras.</t>
  </si>
  <si>
    <t>https://community.secop.gov.co/Public/Tendering/OpportunityDetail/Index?noticeUID=CO1.NTC.4787175&amp;isFromPublicArea=True&amp;isModal=False</t>
  </si>
  <si>
    <t xml:space="preserve">INVERSION </t>
  </si>
  <si>
    <t>OAG-VEX-0011-2023</t>
  </si>
  <si>
    <t xml:space="preserve">PRESTACION DE SERVICIOS </t>
  </si>
  <si>
    <t>SEIBY MARTIN BARROS AYOLA</t>
  </si>
  <si>
    <t>1. REALIZAR LA AUDITORIA DE LOS FORMULARIOS DE REGISTRO DE DESEMBARCO DE LAS PESQUERÍAS ARTESANALES CORRESPONDIENTES A LOS SITIOS PESQUEROS UBICADOS EN EL ALTO Y BAJO MAGDALENA. 2. REALIZAR EL ESCANEADO DE FORMULARIOS DE CAMPO DEL COMPONENTE DE PESCA ARTESANAL DE CONSUMO QUE DESIGNE EL COORDINADOR DE GESTIÓN DOCUMENTAL. 3. PRESENTAR INFORMES MENSUALES DE ACTIVIDAD DE ACUERDO CON LOS LINEAMIENTOS ESTABLECIDOS POR EL COORDINADOR DEL COMPONENTE DE PESCA ARTESANAL DE CONSUMO.</t>
  </si>
  <si>
    <t xml:space="preserve">LUIS MARÍA MANJARRÉS </t>
  </si>
  <si>
    <t>https://community.secop.gov.co/Public/Tendering/ContractNoticePhases/View?PPI=CO1.PPI.23078535&amp;isFromPublicArea=True&amp;isModal=False</t>
  </si>
  <si>
    <t>OAG-VEX-0030-2023</t>
  </si>
  <si>
    <t>ADANIES JIMENEZ VEGA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</si>
  <si>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</si>
  <si>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https://community.secop.gov.co/Public/Tendering/ContractNoticePhases/View?PPI=CO1.PPI.23074916&amp;isFromPublicArea=True&amp;isModal=False</t>
  </si>
  <si>
    <t>OAG-VEX-0031-2023</t>
  </si>
  <si>
    <t>ALEXANDER JOSÉ SALAS URIANA</t>
  </si>
  <si>
    <t>https://community.secop.gov.co/Public/Tendering/ContractNoticePhases/View?PPI=CO1.PPI.23074954&amp;isFromPublicArea=True&amp;isModal=False</t>
  </si>
  <si>
    <t>OAG-VEX-0032-2023</t>
  </si>
  <si>
    <t>ANA CIRA EPIAYU PUSHAINA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</si>
  <si>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REGISTRAR LOS DATOS DE TALLAS (LONGITUDES) DE LOS RECURSOS PESQUEROS PRIORIZADOS PARA SU RESPECTIVA ÁREA DE COBERTURA, DE CONFORMIDAD CON EL CRONOGRAMA DE MUESTREO ESTABLECIDO POR EL COORDINADOR DEL COMPONENTE DE REGISTRO DE TALLAS DEL SEPEC.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</si>
  <si>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https://community.secop.gov.co/Public/Tendering/ContractNoticePhases/View?PPI=CO1.PPI.23075905&amp;isFromPublicArea=True&amp;isModal=False</t>
  </si>
  <si>
    <t>OAG-VEX-0033-2023</t>
  </si>
  <si>
    <t>ANA IPUANA IPUANA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</si>
  <si>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t>
  </si>
  <si>
    <t>https://community.secop.gov.co/Public/Tendering/ContractNoticePhases/View?PPI=CO1.PPI.23075969&amp;isFromPublicArea=True&amp;isModal=False</t>
  </si>
  <si>
    <t>OAG-VEX-0034-2023</t>
  </si>
  <si>
    <t>ANDIS REDONDO BARROS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</si>
  <si>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</si>
  <si>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https://community.secop.gov.co/Public/Tendering/ContractNoticePhases/View?PPI=CO1.PPI.23076810&amp;isFromPublicArea=True&amp;isModal=False</t>
  </si>
  <si>
    <t>OAG-VEX-0035-2023</t>
  </si>
  <si>
    <t>BANIS MANJARRES LARA</t>
  </si>
  <si>
    <t>https://community.secop.gov.co/Public/Tendering/ContractNoticePhases/View?PPI=CO1.PPI.23076836&amp;isFromPublicArea=True&amp;isModal=False</t>
  </si>
  <si>
    <t>OAG-VEX-0036-2023</t>
  </si>
  <si>
    <t>CARLOS SEGUNDO REDONDO CAMPO</t>
  </si>
  <si>
    <t>https://community.secop.gov.co/Public/Tendering/ContractNoticePhases/View?PPI=CO1.PPI.23076861&amp;isFromPublicArea=True&amp;isModal=False</t>
  </si>
  <si>
    <t>OAG-VEX-0037-2023</t>
  </si>
  <si>
    <t>CRISTINA GUERRERO CARDALES</t>
  </si>
  <si>
    <t>https://community.secop.gov.co/Public/Tendering/ContractNoticePhases/View?PPI=CO1.PPI.23076892&amp;isFromPublicArea=True&amp;isModal=False</t>
  </si>
  <si>
    <t>OAG-VEX-0039-2023</t>
  </si>
  <si>
    <t>EDILBERTO JOSÉ REDONDO URIANA</t>
  </si>
  <si>
    <t>https://community.secop.gov.co/Public/Tendering/ContractNoticePhases/View?PPI=CO1.PPI.23077823&amp;isFromPublicArea=True&amp;isModal=False</t>
  </si>
  <si>
    <t>OAG-VEX-0041-2023</t>
  </si>
  <si>
    <t>ELIAS HERRERA VALIENTE</t>
  </si>
  <si>
    <t>https://community.secop.gov.co/Public/Tendering/ContractNoticePhases/View?PPI=CO1.PPI.23077838&amp;isFromPublicArea=True&amp;isModal=False</t>
  </si>
  <si>
    <t>OAG-VEX-0042-2023</t>
  </si>
  <si>
    <t>ELSER JOSE REDONDO PUSHAINA</t>
  </si>
  <si>
    <t>https://community.secop.gov.co/Public/Tendering/ContractNoticePhases/View?PPI=CO1.PPI.23077870&amp;isFromPublicArea=True&amp;isModal=False</t>
  </si>
  <si>
    <t>OAG-VEX-0043-2023</t>
  </si>
  <si>
    <t>ELSI ESTER MENDOZA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</si>
  <si>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</si>
  <si>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https://community.secop.gov.co/Public/Tendering/ContractNoticePhases/View?PPI=CO1.PPI.23077895&amp;isFromPublicArea=True&amp;isModal=False</t>
  </si>
  <si>
    <t>OAG-VEX-0044-2023</t>
  </si>
  <si>
    <t>FEDERICO MENGUAL SIJONA</t>
  </si>
  <si>
    <t>https://community.secop.gov.co/Public/Tendering/ContractNoticePhases/View?PPI=CO1.PPI.23078712&amp;isFromPublicArea=True&amp;isModal=False</t>
  </si>
  <si>
    <t>OAG-VEX-0046-2023</t>
  </si>
  <si>
    <t>HEIDY PATRICIA JULIO AHUMEDO</t>
  </si>
  <si>
    <t>https://community.secop.gov.co/Public/Tendering/ContractNoticePhases/View?PPI=CO1.PPI.23078721&amp;isFromPublicArea=True&amp;isModal=False</t>
  </si>
  <si>
    <t>OAG-VEX-0047-2023</t>
  </si>
  <si>
    <t>ISLEY PALACIOS GAMEZ</t>
  </si>
  <si>
    <t>https://community.secop.gov.co/Public/Tendering/ContractNoticePhases/View?PPI=CO1.PPI.23078738&amp;isFromPublicArea=True&amp;isModal=False</t>
  </si>
  <si>
    <t>OAG-VEX-0048-2023</t>
  </si>
  <si>
    <t>JINNER MENGUAL DE LUQUE</t>
  </si>
  <si>
    <t>https://community.secop.gov.co/Public/Tendering/ContractNoticePhases/View?PPI=CO1.PPI.23078749&amp;isFromPublicArea=True&amp;isModal=False</t>
  </si>
  <si>
    <t>OAG-VEX-0049-2023</t>
  </si>
  <si>
    <t>LEICER MANJARRÉS AGRESOTT</t>
  </si>
  <si>
    <t>https://community.secop.gov.co/Public/Tendering/ContractNoticePhases/View?PPI=CO1.PPI.23078759&amp;isFromPublicArea=True&amp;isModal=False</t>
  </si>
  <si>
    <t>OAG-VEX-0050-2023</t>
  </si>
  <si>
    <t>LIDIS VANESSA LOPEZ GONZALEZ</t>
  </si>
  <si>
    <t>https://community.secop.gov.co/Public/Tendering/ContractNoticePhases/View?PPI=CO1.PPI.23078581&amp;isFromPublicArea=True&amp;isModal=False</t>
  </si>
  <si>
    <t>OAG-VEX-0051-2023</t>
  </si>
  <si>
    <t>LUIS EDUARDO CHARRASQUIEL JIMÉNEZ</t>
  </si>
  <si>
    <t>https://community.secop.gov.co/Public/Tendering/ContractNoticePhases/View?PPI=CO1.PPI.23078595&amp;isFromPublicArea=True&amp;isModal=False</t>
  </si>
  <si>
    <t>OAG-VEX-0052-2023</t>
  </si>
  <si>
    <t>LURYS LEONOR LINDAO BERMUDEZ</t>
  </si>
  <si>
    <t>https://community.secop.gov.co/Public/Tendering/ContractNoticePhases/View?PPI=CO1.PPI.23079105&amp;isFromPublicArea=True&amp;isModal=False</t>
  </si>
  <si>
    <t>OAG-VEX-0053-2023</t>
  </si>
  <si>
    <t>LUZ DAIRIS PADILLA ARENA</t>
  </si>
  <si>
    <t>https://community.secop.gov.co/Public/Tendering/ContractNoticePhases/View?PPI=CO1.PPI.23072128&amp;isFromPublicArea=True&amp;isModal=False</t>
  </si>
  <si>
    <t>OAG-VEX-0054-2023</t>
  </si>
  <si>
    <t>MARELIS CARMONA BURGOS</t>
  </si>
  <si>
    <t>https://community.secop.gov.co/Public/Tendering/ContractNoticePhases/View?PPI=CO1.PPI.23073227&amp;isFromPublicArea=True&amp;isModal=False</t>
  </si>
  <si>
    <t>OAG-VEX-0055-2023</t>
  </si>
  <si>
    <t>MARIA DEL CARMEN DE LA ROSA MONTIEL</t>
  </si>
  <si>
    <t>https://community.secop.gov.co/Public/Tendering/ContractNoticePhases/View?PPI=CO1.PPI.23074531&amp;isFromPublicArea=True&amp;isModal=False</t>
  </si>
  <si>
    <t>OAG-VEX-0056-2023</t>
  </si>
  <si>
    <t>MAYRA ALEJANDRA BARRAZA HERRERA</t>
  </si>
  <si>
    <t>https://community.secop.gov.co/Public/Tendering/ContractNoticePhases/View?PPI=CO1.PPI.23074584&amp;isFromPublicArea=True&amp;isModal=False</t>
  </si>
  <si>
    <t>OAG-VEX-0057-2023</t>
  </si>
  <si>
    <t>MILTON JOSÉ DEL PRADO POLO</t>
  </si>
  <si>
    <t>https://community.secop.gov.co/Public/Tendering/ContractNoticePhases/View?PPI=CO1.PPI.23075304&amp;isFromPublicArea=True&amp;isModal=False</t>
  </si>
  <si>
    <t>OAG-VEX-0058-2023</t>
  </si>
  <si>
    <t>NELSON JOSE JIMENEZ VASQUEZ</t>
  </si>
  <si>
    <t>https://community.secop.gov.co/Public/Tendering/ContractNoticePhases/View?PPI=CO1.PPI.23075340&amp;isFromPublicArea=True&amp;isModal=False</t>
  </si>
  <si>
    <t>OAG-VEX-0059-2023</t>
  </si>
  <si>
    <t>NOLBIS ESTHER MATOS JIMÉNEZ</t>
  </si>
  <si>
    <t>https://community.secop.gov.co/Public/Tendering/ContractNoticePhases/View?PPI=CO1.PPI.23075355&amp;isFromPublicArea=True&amp;isModal=False</t>
  </si>
  <si>
    <t>OAG-VEX-0060-2023</t>
  </si>
  <si>
    <t>NULDRIS RIVERA BORJA</t>
  </si>
  <si>
    <t>https://community.secop.gov.co/Public/Tendering/ContractNoticePhases/View?PPI=CO1.PPI.23075381&amp;isFromPublicArea=True&amp;isModal=False</t>
  </si>
  <si>
    <t>OAG-VEX-0061-2023</t>
  </si>
  <si>
    <t>PAULA ANDREA RAMOS PEREZ</t>
  </si>
  <si>
    <t>https://community.secop.gov.co/Public/Tendering/ContractNoticePhases/View?PPI=CO1.PPI.23076102&amp;isFromPublicArea=True&amp;isModal=False</t>
  </si>
  <si>
    <t>OAG-VEX-0062-2023</t>
  </si>
  <si>
    <t>PEDRO JUAN RODRÍGUEZ OLIVO</t>
  </si>
  <si>
    <t>https://community.secop.gov.co/Public/Tendering/ContractNoticePhases/View?PPI=CO1.PPI.23076116&amp;isFromPublicArea=True&amp;isModal=False</t>
  </si>
  <si>
    <t>OAG-VEX-0063-2023</t>
  </si>
  <si>
    <t>RAFAEL HUMBERTO RODRIGUEZ ROBLES</t>
  </si>
  <si>
    <t>https://community.secop.gov.co/Public/Tendering/ContractNoticePhases/View?PPI=CO1.PPI.23076136&amp;isFromPublicArea=True&amp;isModal=False</t>
  </si>
  <si>
    <t>OAG-VEX-0064-2023</t>
  </si>
  <si>
    <t>SINDY PAOLA MENDOZA POLO</t>
  </si>
  <si>
    <t>https://community.secop.gov.co/Public/Tendering/ContractNoticePhases/View?PPI=CO1.PPI.23076152&amp;isFromPublicArea=True&amp;isModal=False</t>
  </si>
  <si>
    <t>OAG-VEX-0065-2023</t>
  </si>
  <si>
    <t>SONIA MARÍA GOURIYU GOURIYU</t>
  </si>
  <si>
    <t>https://community.secop.gov.co/Public/Tendering/ContractNoticePhases/View?PPI=CO1.PPI.23076197&amp;isFromPublicArea=True&amp;isModal=False</t>
  </si>
  <si>
    <t>OAG-VEX-0067-2023</t>
  </si>
  <si>
    <t>YOLFA MARÍA MONTES MARTÍNEZ</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</si>
  <si>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</si>
  <si>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https://community.secop.gov.co/Public/Tendering/ContractNoticePhases/View?PPI=CO1.PPI.23077171&amp;isFromPublicArea=True&amp;isModal=False</t>
  </si>
  <si>
    <t>OAG-VEX-0068-2023</t>
  </si>
  <si>
    <t>YUSNEI GÓMEZ EPIEYU</t>
  </si>
  <si>
    <t>https://community.secop.gov.co/Public/Tendering/ContractNoticePhases/View?PPI=CO1.PPI.23077187&amp;isFromPublicArea=True&amp;isModal=False</t>
  </si>
  <si>
    <t>OAG-VEX-0069-2023</t>
  </si>
  <si>
    <t>ALEXIS JUNIOR CARDALES TOSCANO</t>
  </si>
  <si>
    <t>https://community.secop.gov.co/Public/Tendering/ContractNoticePhases/View?PPI=CO1.PPI.23077503&amp;isFromPublicArea=True&amp;isModal=False</t>
  </si>
  <si>
    <t>OAG-VEX-0070-2023</t>
  </si>
  <si>
    <t>ARIEL ENRIQUE ANAYA TORRES</t>
  </si>
  <si>
    <t>https://community.secop.gov.co/Public/Tendering/ContractNoticePhases/View?PPI=CO1.PPI.23077527&amp;isFromPublicArea=True&amp;isModal=False</t>
  </si>
  <si>
    <t>OAG-VEX-0071-2023</t>
  </si>
  <si>
    <t>DAILER GUERRERO OYOLA</t>
  </si>
  <si>
    <t>https://community.secop.gov.co/Public/Tendering/ContractNoticePhases/View?PPI=CO1.PPI.23077541&amp;isFromPublicArea=True&amp;isModal=False</t>
  </si>
  <si>
    <t>OAG-VEX-0072-2023</t>
  </si>
  <si>
    <t>DUNOIS BRAVO MARTINEZ</t>
  </si>
  <si>
    <t>https://community.secop.gov.co/Public/Tendering/ContractNoticePhases/View?PPI=CO1.PPI.23077551&amp;isFromPublicArea=True&amp;isModal=False</t>
  </si>
  <si>
    <t>OAG-VEX-0074-2023</t>
  </si>
  <si>
    <t>FERNEY LOBÓN PALACIOS</t>
  </si>
  <si>
    <t>https://community.secop.gov.co/Public/Tendering/ContractNoticePhases/View?PPI=CO1.PPI.23077595&amp;isFromPublicArea=True&amp;isModal=False</t>
  </si>
  <si>
    <t>OAG-VEX-0075-2023</t>
  </si>
  <si>
    <t>JORGE ELIÉCER VALOYES CÓRDOBA</t>
  </si>
  <si>
    <t>https://community.secop.gov.co/Public/Tendering/ContractNoticePhases/View?PPI=CO1.PPI.23078506&amp;isFromPublicArea=True&amp;isModal=False</t>
  </si>
  <si>
    <t>OAG-VEX-0076-2023</t>
  </si>
  <si>
    <t>JUAN MANUEL CAMPO GONZALEZ</t>
  </si>
  <si>
    <t>https://community.secop.gov.co/Public/Tendering/ContractNoticePhases/View?PPI=CO1.PPI.23078524&amp;isFromPublicArea=True&amp;isModal=False</t>
  </si>
  <si>
    <t>OAG-VEX-0077-2023</t>
  </si>
  <si>
    <t>JULIO CESAR RODRIGUEZ MORALES</t>
  </si>
  <si>
    <t>https://community.secop.gov.co/Public/Tendering/ContractNoticePhases/View?PPI=CO1.PPI.23078532&amp;isFromPublicArea=True&amp;isModal=False</t>
  </si>
  <si>
    <t>OAG-VEX-0078-2023</t>
  </si>
  <si>
    <t>JUVENAL PARDO CARABALLO</t>
  </si>
  <si>
    <t>https://community.secop.gov.co/Public/Tendering/ContractNoticePhases/View?PPI=CO1.PPI.23078540&amp;isFromPublicArea=True&amp;isModal=False</t>
  </si>
  <si>
    <t>OAG-VEX-0079-2023</t>
  </si>
  <si>
    <t>KELYS JOHANA MAYORAL MORENO</t>
  </si>
  <si>
    <t>https://community.secop.gov.co/Public/Tendering/ContractNoticePhases/View?PPI=CO1.PPI.23078556&amp;isFromPublicArea=True&amp;isModal=False</t>
  </si>
  <si>
    <t>OAG-VEX-0081-2023</t>
  </si>
  <si>
    <t>MARIA SOLEDAD PEREZ BARBA</t>
  </si>
  <si>
    <t>https://community.secop.gov.co/Public/Tendering/ContractNoticePhases/View?PPI=CO1.PPI.23074475&amp;isFromPublicArea=True&amp;isModal=False</t>
  </si>
  <si>
    <t>OAG-VEX-0082-2023</t>
  </si>
  <si>
    <t>NURYS DEYDA PALACIOS PANESSO</t>
  </si>
  <si>
    <t>https://community.secop.gov.co/Public/Tendering/ContractNoticePhases/View?PPI=CO1.PPI.23076479&amp;isFromPublicArea=True&amp;isModal=False</t>
  </si>
  <si>
    <t>OAG-VEX-0083-2023</t>
  </si>
  <si>
    <t>RUTHMILA BARTOLOME RACERO</t>
  </si>
  <si>
    <t>https://community.secop.gov.co/Public/Tendering/ContractNoticePhases/View?PPI=CO1.PPI.23078504&amp;isFromPublicArea=True&amp;isModal=False</t>
  </si>
  <si>
    <t>OAG-VEX-0084-2023</t>
  </si>
  <si>
    <t>SILVIA FERNANDA ALTAMIRANDA SOLANO</t>
  </si>
  <si>
    <t>https://community.secop.gov.co/Public/Tendering/ContractNoticePhases/View?PPI=CO1.PPI.23078547&amp;isFromPublicArea=True&amp;isModal=False</t>
  </si>
  <si>
    <t>OAG-VEX-0085-2023</t>
  </si>
  <si>
    <t>SNAYDER JOSÉ LICONA MEDRANO</t>
  </si>
  <si>
    <t>https://community.secop.gov.co/Public/Tendering/ContractNoticePhases/View?PPI=CO1.PPI.23078599&amp;isFromPublicArea=True&amp;isModal=False</t>
  </si>
  <si>
    <t>OAG-VEX-0086-2023</t>
  </si>
  <si>
    <t>SYNDI PATRICIA MURILLO ANGULO</t>
  </si>
  <si>
    <t>https://community.secop.gov.co/Public/Tendering/ContractNoticePhases/View?PPI=CO1.PPI.23079136&amp;isFromPublicArea=True&amp;isModal=False</t>
  </si>
  <si>
    <t>OAG-VEX-0087-2023</t>
  </si>
  <si>
    <t>YUNURIS MARMOLEJO CABADIA</t>
  </si>
  <si>
    <t>https://community.secop.gov.co/Public/Tendering/ContractNoticePhases/View?PPI=CO1.PPI.23079149&amp;isFromPublicArea=True&amp;isModal=False</t>
  </si>
  <si>
    <t>OAG-VEX-0088-2023</t>
  </si>
  <si>
    <t>YURIS SILVANA BELTRÁN TRONCOSO</t>
  </si>
  <si>
    <t>https://community.secop.gov.co/Public/Tendering/ContractNoticePhases/View?PPI=CO1.PPI.23079178&amp;isFromPublicArea=True&amp;isModal=False</t>
  </si>
  <si>
    <t>OAG-VEX-0090-2023</t>
  </si>
  <si>
    <t>ANA CARINA HOYOS ALEMAN</t>
  </si>
  <si>
    <t>https://community.secop.gov.co/Public/Tendering/ContractNoticePhases/View?PPI=CO1.PPI.23073654&amp;isFromPublicArea=True&amp;isModal=False</t>
  </si>
  <si>
    <t>OAG-VEX-0091-2023</t>
  </si>
  <si>
    <t>ANA MARCELA MOLINA MORENO</t>
  </si>
  <si>
    <t>https://community.secop.gov.co/Public/Tendering/ContractNoticePhases/View?PPI=CO1.PPI.23075145&amp;isFromPublicArea=True&amp;isModal=False</t>
  </si>
  <si>
    <t>OAG-VEX-0092-2023</t>
  </si>
  <si>
    <t>ANA MARÍA BRAVO JEREZ</t>
  </si>
  <si>
    <t>https://community.secop.gov.co/Public/Tendering/ContractNoticePhases/View?PPI=CO1.PPI.23075847&amp;isFromPublicArea=True&amp;isModal=False</t>
  </si>
  <si>
    <t>OAG-VEX-0093-2023</t>
  </si>
  <si>
    <t>ANA YURANIS ACUÑA RODRIGUEZ</t>
  </si>
  <si>
    <t>https://community.secop.gov.co/Public/Tendering/ContractNoticePhases/View?PPI=CO1.PPI.23076046&amp;isFromPublicArea=True&amp;isModal=False</t>
  </si>
  <si>
    <t>OAG-VEX-0094-2023</t>
  </si>
  <si>
    <t>ANTONIO JOSÉ TRESPALACIOS DÍAZ</t>
  </si>
  <si>
    <t>https://community.secop.gov.co/Public/Tendering/ContractNoticePhases/View?PPI=CO1.PPI.23076485&amp;isFromPublicArea=True&amp;isModal=False</t>
  </si>
  <si>
    <t>OAG-VEX-0095-2023</t>
  </si>
  <si>
    <t>CLEIDA DEL CARMEN CASTILLO GUERRERO</t>
  </si>
  <si>
    <t>https://community.secop.gov.co/Public/Tendering/ContractNoticePhases/View?PPI=CO1.PPI.23077331&amp;isFromPublicArea=True&amp;isModal=False</t>
  </si>
  <si>
    <t>OAG-VEX-0096-2023</t>
  </si>
  <si>
    <t>DIANA MARCELA CASTRO RIVERA</t>
  </si>
  <si>
    <t>https://community.secop.gov.co/Public/Tendering/ContractNoticePhases/View?PPI=CO1.PPI.23077371&amp;isFromPublicArea=True&amp;isModal=False</t>
  </si>
  <si>
    <t>OAG-VEX-0097-2023</t>
  </si>
  <si>
    <t>DINA LUZ OSTEN PEDROZA</t>
  </si>
  <si>
    <t>https://community.secop.gov.co/Public/Tendering/ContractNoticePhases/View?PPI=CO1.PPI.23077996&amp;isFromPublicArea=True&amp;isModal=False</t>
  </si>
  <si>
    <t>OAG-VEX-0099-2023</t>
  </si>
  <si>
    <t>GERARDO GÓMEZ MEJÍA</t>
  </si>
  <si>
    <t>https://community.secop.gov.co/Public/Tendering/ContractNoticePhases/View?PPI=CO1.PPI.23078489&amp;isFromPublicArea=True&amp;isModal=False</t>
  </si>
  <si>
    <t>OAG-VEX-0100-2023</t>
  </si>
  <si>
    <t>JHAIR DE JESUS BERNAL ALIAN</t>
  </si>
  <si>
    <t>https://community.secop.gov.co/Public/Tendering/ContractNoticePhases/View?PPI=CO1.PPI.23077557&amp;isFromPublicArea=True&amp;isModal=False</t>
  </si>
  <si>
    <t>OAG-VEX-0101-2023</t>
  </si>
  <si>
    <t>JHON JAIDER MARSIGLIA MUÑOZ</t>
  </si>
  <si>
    <t>https://community.secop.gov.co/Public/Tendering/ContractNoticePhases/View?PPI=CO1.PPI.23078934&amp;isFromPublicArea=True&amp;isModal=False</t>
  </si>
  <si>
    <t>OAG-VEX-0102-2023</t>
  </si>
  <si>
    <t>JOSÉ DANIEL ARRIETA ARENILLA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</si>
  <si>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 9) REALIZAR LA ENCUESTA ESTRUCTURAL DE PESCA EN LOS SITIOS UBICADOS EN SU ÁREA DE INFLUENCIA, DE CONFORMIDAD CON EL LISTADO ESTIPULADO POR SU RESPECTIVO SUPERVISOR.</t>
  </si>
  <si>
    <t>https://community.secop.gov.co/Public/Tendering/ContractNoticePhases/View?PPI=CO1.PPI.23080925&amp;isFromPublicArea=True&amp;isModal=False</t>
  </si>
  <si>
    <t>si</t>
  </si>
  <si>
    <t>OAG-VEX-0103-2023</t>
  </si>
  <si>
    <t>JOSE MERCEDES CABRERA ZURMARY</t>
  </si>
  <si>
    <t>https://community.secop.gov.co/Public/Tendering/ContractNoticePhases/View?PPI=CO1.PPI.23080570&amp;isFromPublicArea=True&amp;isModal=False</t>
  </si>
  <si>
    <t>OAG-VEX-0104-2023</t>
  </si>
  <si>
    <t>JUAN DE DIOS MARTINEZ GARAVITO</t>
  </si>
  <si>
    <t>https://community.secop.gov.co/Public/Tendering/ContractNoticePhases/View?PPI=CO1.PPI.23081309&amp;isFromPublicArea=True&amp;isModal=False</t>
  </si>
  <si>
    <t>OAG-VEX-0105-2023</t>
  </si>
  <si>
    <t>JUAN MANUEL VILLALBA QUINTERO</t>
  </si>
  <si>
    <t>https://community.secop.gov.co/Public/Tendering/ContractNoticePhases/View?PPI=CO1.PPI.23081318&amp;isFromPublicArea=True&amp;isModal=False</t>
  </si>
  <si>
    <t>OAG-VEX-0106-2023</t>
  </si>
  <si>
    <t>KAREN ANDREA MARTÍNEZ MENDOZA</t>
  </si>
  <si>
    <t>https://community.secop.gov.co/Public/Tendering/ContractNoticePhases/View?PPI=CO1.PPI.23080771&amp;isFromPublicArea=True&amp;isModal=False</t>
  </si>
  <si>
    <t>OAG-VEX-0107-2023</t>
  </si>
  <si>
    <t>KEILA PATRICIA CAÑAS DE LA ROSA</t>
  </si>
  <si>
    <t>https://community.secop.gov.co/Public/Tendering/ContractNoticePhases/View?PPI=CO1.PPI.23081335&amp;isFromPublicArea=True&amp;isModal=False</t>
  </si>
  <si>
    <t>OAG-VEX-0108-2023</t>
  </si>
  <si>
    <t>LUIS FERNANDO MADARIAGA AGUILAR</t>
  </si>
  <si>
    <t>https://community.secop.gov.co/Public/Tendering/ContractNoticePhases/View?PPI=CO1.PPI.23080884&amp;isFromPublicArea=True&amp;isModal=False</t>
  </si>
  <si>
    <t>OAG-VEX-0109-2023</t>
  </si>
  <si>
    <t>MARIA ANGELICA CERPA PIÑA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</si>
  <si>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 8) REALIZAR LA ENCUESTA ESTRUCTURAL DE PESCA EN LOS SITIOS UBICADOS EN SU ÁREA DE INFLUENCIA, DE CONFORMIDAD CON EL LISTADO ESTIPULADO POR SU RESPECTIVO SUPERVISOR.</t>
  </si>
  <si>
    <t>https://community.secop.gov.co/Public/Tendering/ContractNoticePhases/View?PPI=CO1.PPI.23081153&amp;isFromPublicArea=True&amp;isModal=False</t>
  </si>
  <si>
    <t>OAG-VEX-0110-2023</t>
  </si>
  <si>
    <t>MARIA ISABEL CASTRO MESA</t>
  </si>
  <si>
    <t>https://community.secop.gov.co/Public/Tendering/ContractNoticePhases/View?PPI=CO1.PPI.23080885&amp;isFromPublicArea=True&amp;isModal=False</t>
  </si>
  <si>
    <t>OAG-VEX-0111-2023</t>
  </si>
  <si>
    <t>MARYORIS CAPERA RODRIGUEZ</t>
  </si>
  <si>
    <t>https://community.secop.gov.co/Public/Tendering/ContractNoticePhases/View?PPI=CO1.PPI.23081348&amp;isFromPublicArea=True&amp;isModal=False</t>
  </si>
  <si>
    <t>OAG-VEX-0112-2023</t>
  </si>
  <si>
    <t xml:space="preserve">NEGUIT ALEMAN ROMERO </t>
  </si>
  <si>
    <t>https://community.secop.gov.co/Public/Tendering/ContractNoticePhases/View?PPI=CO1.PPI.23080976&amp;isFromPublicArea=True&amp;isModal=False</t>
  </si>
  <si>
    <t>OAG-VEX-0113-2023</t>
  </si>
  <si>
    <t>ROSMIRA ÁLVAREZ PÉREZ</t>
  </si>
  <si>
    <t>https://community.secop.gov.co/Public/Tendering/ContractNoticePhases/View?PPI=CO1.PPI.23080977&amp;isFromPublicArea=True&amp;isModal=False</t>
  </si>
  <si>
    <t>OAG-VEX-0114-2023</t>
  </si>
  <si>
    <t>SAIRA LISETT LOPEZ PALENCIA</t>
  </si>
  <si>
    <t>https://community.secop.gov.co/Public/Tendering/ContractNoticePhases/View?PPI=CO1.PPI.23080892&amp;isFromPublicArea=True&amp;isModal=False</t>
  </si>
  <si>
    <t>OAG-VEX-0115-2023</t>
  </si>
  <si>
    <t>SAMIR ANTONIO NOBLE CAMAÑO</t>
  </si>
  <si>
    <t>https://community.secop.gov.co/Public/Tendering/ContractNoticePhases/View?PPI=CO1.PPI.23081412&amp;isFromPublicArea=True&amp;isModal=False</t>
  </si>
  <si>
    <t>OAG-VEX-0116-2023</t>
  </si>
  <si>
    <t>SANDRI PAOLA MEJIA MARTINEZ</t>
  </si>
  <si>
    <t>https://community.secop.gov.co/Public/Tendering/ContractNoticePhases/View?PPI=CO1.PPI.23081413&amp;isFromPublicArea=True&amp;isModal=False</t>
  </si>
  <si>
    <t>OAG-VEX-0117-2023</t>
  </si>
  <si>
    <t>SHIRLEYS CHIQUILLO ROMERO</t>
  </si>
  <si>
    <t>https://community.secop.gov.co/Public/Tendering/ContractNoticePhases/View?PPI=CO1.PPI.23081357&amp;isFromPublicArea=True&amp;isModal=False</t>
  </si>
  <si>
    <t>OAG-VEX-0118-2023</t>
  </si>
  <si>
    <t>SULEIDY NOBLE MONTES</t>
  </si>
  <si>
    <t>https://community.secop.gov.co/Public/Tendering/ContractNoticePhases/View?PPI=CO1.PPI.23081415&amp;isFromPublicArea=True&amp;isModal=False</t>
  </si>
  <si>
    <t>OAG-VEX-0119-2023</t>
  </si>
  <si>
    <t>UBERLIS VILLARREAL CAÑAVERA</t>
  </si>
  <si>
    <t>https://community.secop.gov.co/Public/Tendering/ContractNoticePhases/View?PPI=CO1.PPI.23081161&amp;isFromPublicArea=True&amp;isModal=False</t>
  </si>
  <si>
    <t>OAG-VEX-0121-2023</t>
  </si>
  <si>
    <t>YEISMAN ISAAC HOYOS GARCÍA</t>
  </si>
  <si>
    <t>https://community.secop.gov.co/Public/Tendering/ContractNoticePhases/View?PPI=CO1.PPI.23081502&amp;isFromPublicArea=True&amp;isModal=False</t>
  </si>
  <si>
    <t>OAG-VEX-0123-2023</t>
  </si>
  <si>
    <t>AMALFI REYES VALDÉS</t>
  </si>
  <si>
    <t>https://community.secop.gov.co/Public/Tendering/ContractNoticePhases/View?PPI=CO1.PPI.23101895&amp;isFromPublicArea=True&amp;isModal=False</t>
  </si>
  <si>
    <t>OAG-VEX-0124-2023</t>
  </si>
  <si>
    <t>ANA CAMILA RODRÍGUEZ SILVA</t>
  </si>
  <si>
    <t>https://community.secop.gov.co/Public/Tendering/ContractNoticePhases/View?PPI=CO1.PPI.23103012&amp;isFromPublicArea=True&amp;isModal=False</t>
  </si>
  <si>
    <t>OAG-VEX-0125-2023</t>
  </si>
  <si>
    <t>ARIEL RUEDA DIAZ</t>
  </si>
  <si>
    <t>https://community.secop.gov.co/Public/Tendering/ContractNoticePhases/View?PPI=CO1.PPI.23103911&amp;isFromPublicArea=True&amp;isModal=False</t>
  </si>
  <si>
    <t>OAG-VEX-0126-2023</t>
  </si>
  <si>
    <t xml:space="preserve">CLEIDY JHOANNA BARON VARON </t>
  </si>
  <si>
    <t>https://community.secop.gov.co/Public/Tendering/ContractNoticePhases/View?PPI=CO1.PPI.23105206&amp;isFromPublicArea=True&amp;isModal=False</t>
  </si>
  <si>
    <t>OAG-VEX-0127-2023</t>
  </si>
  <si>
    <t>DAVID DIAZ GAITAN</t>
  </si>
  <si>
    <t>https://community.secop.gov.co/Public/Tendering/ContractNoticePhases/View?PPI=CO1.PPI.23106836&amp;isFromPublicArea=True&amp;isModal=False</t>
  </si>
  <si>
    <t>OAG-VEX-0128-2023</t>
  </si>
  <si>
    <t>DIOSA ERIKA FERNANDEZ MANCHAY</t>
  </si>
  <si>
    <t>https://community.secop.gov.co/Public/Tendering/ContractNoticePhases/View?PPI=CO1.PPI.23107953&amp;isFromPublicArea=True&amp;isModal=False</t>
  </si>
  <si>
    <t>OAG-VEX-0129-2023</t>
  </si>
  <si>
    <t>ESTIBEN ALBERTO RIOS SANDOVAL</t>
  </si>
  <si>
    <t>https://community.secop.gov.co/Public/Tendering/ContractNoticePhases/View?PPI=CO1.PPI.23108832&amp;isFromPublicArea=True&amp;isModal=False</t>
  </si>
  <si>
    <t>OAG-VEX-0130-2023</t>
  </si>
  <si>
    <t>GREYSI DEISI JAFAYTEQUE MUCA</t>
  </si>
  <si>
    <t>https://community.secop.gov.co/Public/Tendering/ContractNoticePhases/View?PPI=CO1.PPI.23079413&amp;isFromPublicArea=True&amp;isModal=False</t>
  </si>
  <si>
    <t>OAG-VEX-0131-2023</t>
  </si>
  <si>
    <t>HECTOR GAITAN CABARTE</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</si>
  <si>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</si>
  <si>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https://community.secop.gov.co/Public/Tendering/ContractNoticePhases/View?PPI=CO1.PPI.23080577&amp;isFromPublicArea=True&amp;isModal=False</t>
  </si>
  <si>
    <t>OAG-VEX-0132-2023</t>
  </si>
  <si>
    <t>JHON FREDY GARCÍA PARRA</t>
  </si>
  <si>
    <t>https://community.secop.gov.co/Public/Tendering/ContractNoticePhases/View?PPI=CO1.PPI.23080842&amp;isFromPublicArea=True&amp;isModal=False</t>
  </si>
  <si>
    <t>OAG-VEX-0133-2023</t>
  </si>
  <si>
    <t>JOSE BLADIMIR VEGA BOLAÑOS</t>
  </si>
  <si>
    <t>https://community.secop.gov.co/Public/Tendering/ContractNoticePhases/View?PPI=CO1.PPI.23080927&amp;isFromPublicArea=True&amp;isModal=False</t>
  </si>
  <si>
    <t>OAG-VEX-0134-2023</t>
  </si>
  <si>
    <t>JUAN DAVID VELA PEREZ</t>
  </si>
  <si>
    <t>https://community.secop.gov.co/Public/Tendering/ContractNoticePhases/View?PPI=CO1.PPI.23080938&amp;isFromPublicArea=True&amp;isModal=False</t>
  </si>
  <si>
    <t>OAG-VEX-0135-2023</t>
  </si>
  <si>
    <t>JUANIS DOLORES SOLERA PETRO</t>
  </si>
  <si>
    <t>https://community.secop.gov.co/Public/Tendering/ContractNoticePhases/View?PPI=CO1.PPI.23080864&amp;isFromPublicArea=True&amp;isModal=False</t>
  </si>
  <si>
    <t>OAG-VEX-0136-2023</t>
  </si>
  <si>
    <t>KARINA CARRILLO</t>
  </si>
  <si>
    <t>https://community.secop.gov.co/Public/Tendering/ContractNoticePhases/View?PPI=CO1.PPI.23080770&amp;isFromPublicArea=True&amp;isModal=False</t>
  </si>
  <si>
    <t>OAG-VEX-0138-2023</t>
  </si>
  <si>
    <t>LAURA TATIANA POLANIA FERREIRA</t>
  </si>
  <si>
    <t>https://community.secop.gov.co/Public/Tendering/ContractNoticePhases/View?PPI=CO1.PPI.23080872&amp;isFromPublicArea=True&amp;isModal=False</t>
  </si>
  <si>
    <t>OAG-VEX-0139-2023</t>
  </si>
  <si>
    <t>LINDY TATIANA ZAMBRANO</t>
  </si>
  <si>
    <t>https://community.secop.gov.co/Public/Tendering/ContractNoticePhases/View?PPI=CO1.PPI.23080797&amp;isFromPublicArea=True&amp;isModal=False</t>
  </si>
  <si>
    <t>OAG-VEX-0140-2023</t>
  </si>
  <si>
    <t>LUIS EDUARDO ORJUELA VALENCIA</t>
  </si>
  <si>
    <t>https://community.secop.gov.co/Public/Tendering/ContractNoticePhases/View?PPI=CO1.PPI.23080887&amp;isFromPublicArea=True&amp;isModal=False</t>
  </si>
  <si>
    <t>OAG-VEX-0142-2023</t>
  </si>
  <si>
    <t>LUIS YEXY LÓPEZ ROMERO</t>
  </si>
  <si>
    <t>https://community.secop.gov.co/Public/Tendering/ContractNoticePhases/View?PPI=CO1.PPI.23080890&amp;isFromPublicArea=True&amp;isModal=False</t>
  </si>
  <si>
    <t>OAG-VEX-0143-2023</t>
  </si>
  <si>
    <t>MALLIVE DURAN REUTO</t>
  </si>
  <si>
    <t>https://community.secop.gov.co/Public/Tendering/ContractNoticePhases/View?PPI=CO1.PPI.23081159&amp;isFromPublicArea=True&amp;isModal=False</t>
  </si>
  <si>
    <t>OAG-VEX-0144-2023</t>
  </si>
  <si>
    <t>MARY LUZ CARECA PARENTE</t>
  </si>
  <si>
    <t>https://community.secop.gov.co/Public/Tendering/ContractNoticePhases/View?PPI=CO1.PPI.23081351&amp;isFromPublicArea=True&amp;isModal=False</t>
  </si>
  <si>
    <t>OAG-VEX-0145-2023</t>
  </si>
  <si>
    <t>NINI JOHANA VEGA LEAL</t>
  </si>
  <si>
    <t>https://community.secop.gov.co/Public/Tendering/ContractNoticePhases/View?PPI=CO1.PPI.23080891&amp;isFromPublicArea=True&amp;isModal=False</t>
  </si>
  <si>
    <t>OAG-VEX-0146-2023</t>
  </si>
  <si>
    <t>RUTH CASTILLO TIQUE</t>
  </si>
  <si>
    <t>https://community.secop.gov.co/Public/Tendering/ContractNoticePhases/View?PPI=CO1.PPI.23081353&amp;isFromPublicArea=True&amp;isModal=False</t>
  </si>
  <si>
    <t>OAG-VEX-0147-2023</t>
  </si>
  <si>
    <t>VICTORIA EMPERATRIZ GARCES DEDIOS</t>
  </si>
  <si>
    <t>https://community.secop.gov.co/Public/Tendering/ContractNoticePhases/View?PPI=CO1.PPI.23081160&amp;isFromPublicArea=True&amp;isModal=False</t>
  </si>
  <si>
    <t>OAG-VEX-0148-2023</t>
  </si>
  <si>
    <t>WENDY MILADY RODRIGUEZ DIAZ</t>
  </si>
  <si>
    <t>https://community.secop.gov.co/Public/Tendering/ContractNoticePhases/View?PPI=CO1.PPI.23081355&amp;isFromPublicArea=True&amp;isModal=False</t>
  </si>
  <si>
    <t>OAG-VEX-0149-2023</t>
  </si>
  <si>
    <t>YEISON EXNEIDER RODRÍGUEZ LÓPEZ</t>
  </si>
  <si>
    <t>https://community.secop.gov.co/Public/Tendering/ContractNoticePhases/View?PPI=CO1.PPI.23081414&amp;isFromPublicArea=True&amp;isModal=False</t>
  </si>
  <si>
    <t>OAG-VEX-0150-2023</t>
  </si>
  <si>
    <t>ANA PATRICIA AREVALO OSPINO</t>
  </si>
  <si>
    <t>https://community.secop.gov.co/Public/Tendering/ContractNoticePhases/View?PPI=CO1.PPI.23080894&amp;isFromPublicArea=True&amp;isModal=False</t>
  </si>
  <si>
    <t>OAG-VEX-0151-2023</t>
  </si>
  <si>
    <t>ANGEL MANUEL PORTELA GONZALEZ</t>
  </si>
  <si>
    <t>https://community.secop.gov.co/Public/Tendering/ContractNoticePhases/View?PPI=CO1.PPI.23081358&amp;isFromPublicArea=True&amp;isModal=False</t>
  </si>
  <si>
    <t>OAG-VEX-0153-2023</t>
  </si>
  <si>
    <t>DAYANYS PALENCIA GALVIS</t>
  </si>
  <si>
    <t>https://community.secop.gov.co/Public/Tendering/ContractNoticePhases/View?PPI=CO1.PPI.23081409&amp;isFromPublicArea=True&amp;isModal=False</t>
  </si>
  <si>
    <t>OAG-VEX-0154-2023</t>
  </si>
  <si>
    <t>DELFINA JUDITH OCHOA RODRIGUEZ</t>
  </si>
  <si>
    <t>https://community.secop.gov.co/Public/Tendering/ContractNoticePhases/View?PPI=CO1.PPI.23080733&amp;isFromPublicArea=True&amp;isModal=False</t>
  </si>
  <si>
    <t>OAG-VEX-0155-2023</t>
  </si>
  <si>
    <t>EDWIN ANAYA RAMOS</t>
  </si>
  <si>
    <t>https://community.secop.gov.co/Public/Tendering/ContractNoticePhases/View?PPI=CO1.PPI.23079893&amp;isFromPublicArea=True&amp;isModal=False</t>
  </si>
  <si>
    <t>OAG-VEX-0156-2023</t>
  </si>
  <si>
    <t>ERIKA HERNANDEZ MARTINEZ</t>
  </si>
  <si>
    <t>https://community.secop.gov.co/Public/Tendering/ContractNoticePhases/View?PPI=CO1.PPI.23079898&amp;isFromPublicArea=True&amp;isModal=False</t>
  </si>
  <si>
    <t>OAG-VEX-0157-2023</t>
  </si>
  <si>
    <t>FERNEL CRESPO MIRANDA</t>
  </si>
  <si>
    <t>https://community.secop.gov.co/Public/Tendering/ContractNoticePhases/View?PPI=CO1.PPI.23081107&amp;isFromPublicArea=True&amp;isModal=False</t>
  </si>
  <si>
    <t>OAG-VEX-0158-2023</t>
  </si>
  <si>
    <t>HECTOR OLMEDO MOLINA VILLA</t>
  </si>
  <si>
    <t>https://community.secop.gov.co/Public/Tendering/ContractNoticePhases/View?PPI=CO1.PPI.23081110&amp;isFromPublicArea=True&amp;isModal=False</t>
  </si>
  <si>
    <t>OAG-VEX-0159-2023</t>
  </si>
  <si>
    <t>HEILER JOSÉ ROMERO ARROYO</t>
  </si>
  <si>
    <t>https://community.secop.gov.co/Public/Tendering/ContractNoticePhases/View?PPI=CO1.PPI.23081120&amp;isFromPublicArea=True&amp;isModal=False</t>
  </si>
  <si>
    <t>OAG-VEX-0161-2023</t>
  </si>
  <si>
    <t>JAIME ROBERTO MORENO MARTÍNEZ</t>
  </si>
  <si>
    <t>https://community.secop.gov.co/Public/Tendering/ContractNoticePhases/View?PPI=CO1.PPI.23073642&amp;isFromPublicArea=True&amp;isModal=False</t>
  </si>
  <si>
    <t>OAG-VEX-0162-2023</t>
  </si>
  <si>
    <t>JAVIER ALEJANDRO GUERRA ROYERO</t>
  </si>
  <si>
    <t>https://community.secop.gov.co/Public/Tendering/ContractNoticePhases/View?PPI=CO1.PPI.23075623&amp;isFromPublicArea=True&amp;isModal=False</t>
  </si>
  <si>
    <t>OAG-VEX-0163-2023</t>
  </si>
  <si>
    <t>JESUS MIGUEL HERNANDEZ CORREA</t>
  </si>
  <si>
    <t>https://community.secop.gov.co/Public/Tendering/ContractNoticePhases/View?PPI=CO1.PPI.23075670&amp;isFromPublicArea=True&amp;isModal=False</t>
  </si>
  <si>
    <t>OAG-VEX-0165-2023</t>
  </si>
  <si>
    <t>JOSE LUIS MORENO LENGUA</t>
  </si>
  <si>
    <t>https://community.secop.gov.co/Public/Tendering/ContractNoticePhases/View?PPI=CO1.PPI.23075992&amp;isFromPublicArea=True&amp;isModal=False</t>
  </si>
  <si>
    <t>OAG-VEX-0166-2023</t>
  </si>
  <si>
    <t>KATTY MABEL SORACA LLORENTE</t>
  </si>
  <si>
    <t>https://community.secop.gov.co/Public/Tendering/ContractNoticePhases/View?PPI=CO1.PPI.23077891&amp;isFromPublicArea=True&amp;isModal=False</t>
  </si>
  <si>
    <t>OAG-VEX-0168-2023</t>
  </si>
  <si>
    <t>MARÍA FERNANDA DÍAZ CORREA</t>
  </si>
  <si>
    <t>https://community.secop.gov.co/Public/Tendering/ContractNoticePhases/View?PPI=CO1.PPI.23078733&amp;isFromPublicArea=True&amp;isModal=False</t>
  </si>
  <si>
    <t>OAG-VEX-0169-2023</t>
  </si>
  <si>
    <t>MAYERLIS DEL CARMEN MIRANDA BELEÑO</t>
  </si>
  <si>
    <t>https://community.secop.gov.co/Public/Tendering/ContractNoticePhases/View?PPI=CO1.PPI.23079067&amp;isFromPublicArea=True&amp;isModal=False</t>
  </si>
  <si>
    <t>OAG-VEX-0170-2023</t>
  </si>
  <si>
    <t>NILSON CRISTO AVILA</t>
  </si>
  <si>
    <t>https://community.secop.gov.co/Public/Tendering/ContractNoticePhases/View?PPI=CO1.PPI.23079147&amp;isFromPublicArea=True&amp;isModal=False</t>
  </si>
  <si>
    <t>OAG-VEX-0172-2023</t>
  </si>
  <si>
    <t>SANDY JULIETH CENTENO MEJIA</t>
  </si>
  <si>
    <t>https://community.secop.gov.co/Public/Tendering/ContractNoticePhases/View?PPI=CO1.PPI.23079750&amp;isFromPublicArea=True&amp;isModal=False</t>
  </si>
  <si>
    <t>OAG-VEX-0173-2023</t>
  </si>
  <si>
    <t>SIGILFREDO ARÉVALO MEJÍA</t>
  </si>
  <si>
    <t>https://community.secop.gov.co/Public/Tendering/ContractNoticePhases/View?PPI=CO1.PPI.23079777&amp;isFromPublicArea=True&amp;isModal=False</t>
  </si>
  <si>
    <t>OAG-VEX-0174-2023</t>
  </si>
  <si>
    <t>SULMA YANETH FLOREZ LIMA</t>
  </si>
  <si>
    <t>https://community.secop.gov.co/Public/Tendering/ContractNoticePhases/View?PPI=CO1.PPI.23079790&amp;isFromPublicArea=True&amp;isModal=False</t>
  </si>
  <si>
    <t>OAG-VEX-0175-2023</t>
  </si>
  <si>
    <t>TATIANA MEZA ALVAREZ</t>
  </si>
  <si>
    <t>https://community.secop.gov.co/Public/Tendering/ContractNoticePhases/View?PPI=CO1.PPI.23080312&amp;isFromPublicArea=True&amp;isModal=False</t>
  </si>
  <si>
    <t>OAG-VEX-0176-2023</t>
  </si>
  <si>
    <t>YECENIA YULIETH ZAPATA BEDOYA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</si>
  <si>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</si>
  <si>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https://community.secop.gov.co/Public/Tendering/ContractNoticePhases/View?PPI=CO1.PPI.23080350&amp;isFromPublicArea=True&amp;isModal=False</t>
  </si>
  <si>
    <t>OAG-VEX-0177-2023</t>
  </si>
  <si>
    <t>ARELIS ALLIN CÓRDOBA</t>
  </si>
  <si>
    <t>https://community.secop.gov.co/Public/Tendering/ContractNoticePhases/View?PPI=CO1.PPI.23080504&amp;isFromPublicArea=True&amp;isModal=False</t>
  </si>
  <si>
    <t>OAG-VEX-0178-2023</t>
  </si>
  <si>
    <t>CLARA INÉS MENA MENA</t>
  </si>
  <si>
    <t>https://community.secop.gov.co/Public/Tendering/ContractNoticePhases/View?PPI=CO1.PPI.23080516&amp;isFromPublicArea=True&amp;isModal=False</t>
  </si>
  <si>
    <t>OAG-VEX-0179-2023</t>
  </si>
  <si>
    <t>DIANA VIRIS MOSQUERA ASPRILLA</t>
  </si>
  <si>
    <t>https://community.secop.gov.co/Public/Tendering/ContractNoticePhases/View?PPI=CO1.PPI.23080377&amp;isFromPublicArea=True&amp;isModal=False</t>
  </si>
  <si>
    <t>OAG-VEX-0180-2023</t>
  </si>
  <si>
    <t>FRANCISCO CUESTA SALAS</t>
  </si>
  <si>
    <t>https://community.secop.gov.co/Public/Tendering/ContractNoticePhases/View?PPI=CO1.PPI.23080382&amp;isFromPublicArea=True&amp;isModal=False</t>
  </si>
  <si>
    <t>OAG-VEX-0182-2023</t>
  </si>
  <si>
    <t>JOSELIN PATRICIA ROBLEDO CUESTA</t>
  </si>
  <si>
    <t>https://community.secop.gov.co/Public/Tendering/ContractNoticePhases/View?PPI=CO1.PPI.23080400&amp;isFromPublicArea=True&amp;isModal=False</t>
  </si>
  <si>
    <t>OAG-VEX-0183-2023</t>
  </si>
  <si>
    <t>LEONOR SALCEDO MONTALVO</t>
  </si>
  <si>
    <t>https://community.secop.gov.co/Public/Tendering/ContractNoticePhases/View?PPI=CO1.PPI.23080583&amp;isFromPublicArea=True&amp;isModal=False</t>
  </si>
  <si>
    <t>OAG-VEX-0184-2023</t>
  </si>
  <si>
    <t>LUZ INIRIDA CHAVERRA ARROYO</t>
  </si>
  <si>
    <t>https://community.secop.gov.co/Public/Tendering/ContractNoticePhases/View?PPI=CO1.PPI.23080931&amp;isFromPublicArea=True&amp;isModal=False</t>
  </si>
  <si>
    <t>OAG-VEX-0185-2023</t>
  </si>
  <si>
    <t>MARYURIS PALACIOS SALINAS</t>
  </si>
  <si>
    <t>https://community.secop.gov.co/Public/Tendering/ContractNoticePhases/View?PPI=CO1.PPI.23080861&amp;isFromPublicArea=True&amp;isModal=False</t>
  </si>
  <si>
    <t>OAG-VEX-0186-2023</t>
  </si>
  <si>
    <t>MILEIDYS MENA BEITAR</t>
  </si>
  <si>
    <t>https://community.secop.gov.co/Public/Tendering/ContractNoticePhases/View?PPI=CO1.PPI.23080868&amp;isFromPublicArea=True&amp;isModal=False</t>
  </si>
  <si>
    <t>OAG-VEX-0187-2023</t>
  </si>
  <si>
    <t>NAILA JHOANA GONZALEZ PALACIOS</t>
  </si>
  <si>
    <t>https://community.secop.gov.co/Public/Tendering/ContractNoticePhases/View?PPI=CO1.PPI.23081142&amp;isFromPublicArea=True&amp;isModal=False</t>
  </si>
  <si>
    <t>OAG-VEX-0188-2023</t>
  </si>
  <si>
    <t>YARLENY ROBLEDO MOSQUERA</t>
  </si>
  <si>
    <t>https://community.secop.gov.co/Public/Tendering/ContractNoticePhases/View?PPI=CO1.PPI.23080875&amp;isFromPublicArea=True&amp;isModal=False</t>
  </si>
  <si>
    <t>OAG-VEX-0189-2023</t>
  </si>
  <si>
    <t>YASNEY CORREA PALACIO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</si>
  <si>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 7) REALIZAR LA ENCUESTA ESTRUCTURAL DE PESCA EN LOS SITIOS UBICADOS EN SU ÁREA DE INFLUENCIA, DE CONFORMIDAD CON EL LISTADO ESTIPULADO POR SU RESPECTIVO SUPERVISOR.</t>
  </si>
  <si>
    <t>https://community.secop.gov.co/Public/Tendering/ContractNoticePhases/View?PPI=CO1.PPI.23081332&amp;isFromPublicArea=True&amp;isModal=False</t>
  </si>
  <si>
    <t>OAG-VEX-0190-2023</t>
  </si>
  <si>
    <t>YIRLEDYS GUTIERREZ ARROYO</t>
  </si>
  <si>
    <t>https://community.secop.gov.co/Public/Tendering/ContractNoticePhases/View?PPI=CO1.PPI.23080950&amp;isFromPublicArea=True&amp;isModal=False</t>
  </si>
  <si>
    <t>OAG-VEX-0191-2023</t>
  </si>
  <si>
    <t>YUBER ALEXANDER CÓRDOBA MARTÍNEZ</t>
  </si>
  <si>
    <t>https://community.secop.gov.co/Public/Tendering/ContractNoticePhases/View?PPI=CO1.PPI.23080874&amp;isFromPublicArea=True&amp;isModal=False</t>
  </si>
  <si>
    <t>OAG-VEX-0193-2023</t>
  </si>
  <si>
    <t>ANGELA MARIA HERRERA ARTEAGA</t>
  </si>
  <si>
    <t>https://community.secop.gov.co/Public/Tendering/ContractNoticePhases/View?PPI=CO1.PPI.23081329&amp;isFromPublicArea=True&amp;isModal=False</t>
  </si>
  <si>
    <t>OAG-VEX-0195-2023</t>
  </si>
  <si>
    <t>CARMEN MARÍA MADERA SANTOS</t>
  </si>
  <si>
    <t>https://community.secop.gov.co/Public/Tendering/ContractNoticePhases/View?PPI=CO1.PPI.23080758&amp;isFromPublicArea=True&amp;isModal=False</t>
  </si>
  <si>
    <t>OAG-VEX-0196-2023</t>
  </si>
  <si>
    <t>CRISTIAN DAYAN JULIO MORENO</t>
  </si>
  <si>
    <t>https://community.secop.gov.co/Public/Tendering/ContractNoticePhases/View?PPI=CO1.PPI.23081308&amp;isFromPublicArea=True&amp;isModal=False</t>
  </si>
  <si>
    <t>OAG-VEX-0197-2023</t>
  </si>
  <si>
    <t>DEIDYS BUELVAS CORREA</t>
  </si>
  <si>
    <t>https://community.secop.gov.co/Public/Tendering/ContractNoticePhases/View?PPI=CO1.PPI.23080940&amp;isFromPublicArea=True&amp;isModal=False</t>
  </si>
  <si>
    <t>OAG-VEX-0198-2023</t>
  </si>
  <si>
    <t>DIOSMAR ENRIQUE REYES LÓPEZ</t>
  </si>
  <si>
    <t>https://community.secop.gov.co/Public/Tendering/ContractNoticePhases/View?PPI=CO1.PPI.23080767&amp;isFromPublicArea=True&amp;isModal=False</t>
  </si>
  <si>
    <t>OAG-VEX-0199-2023</t>
  </si>
  <si>
    <t>DORCY DEL CARMEN ALTAMIRANDA ARGEL</t>
  </si>
  <si>
    <t>https://community.secop.gov.co/Public/Tendering/ContractNoticePhases/View?PPI=CO1.PPI.23080769&amp;isFromPublicArea=True&amp;isModal=False</t>
  </si>
  <si>
    <t>OAG-VEX-0200-2023</t>
  </si>
  <si>
    <t>ELKIN DAVID ZARANTE TORDECILLA</t>
  </si>
  <si>
    <t>https://community.secop.gov.co/Public/Tendering/ContractNoticePhases/View?PPI=CO1.PPI.23080870&amp;isFromPublicArea=True&amp;isModal=False</t>
  </si>
  <si>
    <t>OAG-VEX-0201-2023</t>
  </si>
  <si>
    <t>JAIMEN ANDRÉS RAMOS JIMÉNEZ</t>
  </si>
  <si>
    <t>https://community.secop.gov.co/Public/Tendering/ContractNoticePhases/View?PPI=CO1.PPI.23147435&amp;isFromPublicArea=True&amp;isModal=False</t>
  </si>
  <si>
    <t>OAG-VEX-0203-2023</t>
  </si>
  <si>
    <t>JESÚS EDUARDO JIMÉNEZ DIAZ</t>
  </si>
  <si>
    <t>https://community.secop.gov.co/Public/Tendering/ContractNoticePhases/View?PPI=CO1.PPI.23148805&amp;isFromPublicArea=True&amp;isModal=False</t>
  </si>
  <si>
    <t>OAG-VEX-0207-2023</t>
  </si>
  <si>
    <t>MARÍA JOSÉ PATERNINA ESCOBAR</t>
  </si>
  <si>
    <t>https://community.secop.gov.co/Public/Tendering/ContractNoticePhases/View?PPI=CO1.PPI.23152016&amp;isFromPublicArea=True&amp;isModal=False</t>
  </si>
  <si>
    <t>OAG-VEX-0208-2023</t>
  </si>
  <si>
    <t>MARIANELLY DALMAUS PEREZ</t>
  </si>
  <si>
    <t>https://community.secop.gov.co/Public/Tendering/ContractNoticePhases/View?PPI=CO1.PPI.23152047&amp;isFromPublicArea=True&amp;isModal=False</t>
  </si>
  <si>
    <t>OAG-VEX-0210-2023</t>
  </si>
  <si>
    <t>RAMIRO ANTONIO GÓMEZ JULIO</t>
  </si>
  <si>
    <t>https://community.secop.gov.co/Public/Tendering/ContractNoticePhases/View?PPI=CO1.PPI.23156555&amp;isFromPublicArea=True&amp;isModal=False</t>
  </si>
  <si>
    <t>OAG-VEX-0211-2023</t>
  </si>
  <si>
    <t>RENÉ ANTONIO GULFO AVILA</t>
  </si>
  <si>
    <t>https://community.secop.gov.co/Public/Tendering/ContractNoticePhases/View?PPI=CO1.PPI.23158433&amp;isFromPublicArea=True&amp;isModal=False</t>
  </si>
  <si>
    <t>OAG-VEX-0212-2023</t>
  </si>
  <si>
    <t>SANDRA PATRICIA CONTRERAS ROMERO</t>
  </si>
  <si>
    <t>https://community.secop.gov.co/Public/Tendering/ContractNoticePhases/View?PPI=CO1.PPI.23158667&amp;isFromPublicArea=True&amp;isModal=False</t>
  </si>
  <si>
    <t>OAG-VEX-0213-2023</t>
  </si>
  <si>
    <t>YENIS PAOLA LOZANO LOZANO</t>
  </si>
  <si>
    <t>https://community.secop.gov.co/Public/Tendering/ContractNoticePhases/View?PPI=CO1.PPI.23159926&amp;isFromPublicArea=True&amp;isModal=False</t>
  </si>
  <si>
    <t>OAG-VEX-0214-2023</t>
  </si>
  <si>
    <t>ZULY GLENIS VERGARA SALGADO</t>
  </si>
  <si>
    <t>https://community.secop.gov.co/Public/Tendering/ContractNoticePhases/View?PPI=CO1.PPI.23160443&amp;isFromPublicArea=True&amp;isModal=False</t>
  </si>
  <si>
    <t>OAG-VEX-0220-2023</t>
  </si>
  <si>
    <t>IVONE MARITZA ARICARI DAMASO</t>
  </si>
  <si>
    <t xml:space="preserve">1) 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</si>
  <si>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https://community.secop.gov.co/Public/Tendering/ContractNoticePhases/View?PPI=CO1.PPI.23158005&amp;isFromPublicArea=True&amp;isModal=False</t>
  </si>
  <si>
    <t>OAG-VEX-0221-2023</t>
  </si>
  <si>
    <t xml:space="preserve">JUAN CARLOS ROMERO ROJAS </t>
  </si>
  <si>
    <t>https://community.secop.gov.co/Public/Tendering/ContractNoticePhases/View?PPI=CO1.PPI.23158055&amp;isFromPublicArea=True&amp;isModal=False</t>
  </si>
  <si>
    <t>OAG-VEX-0223-2023</t>
  </si>
  <si>
    <t>LUIS EDWARD ARROYO RAMOS</t>
  </si>
  <si>
    <t>https://community.secop.gov.co/Public/Tendering/ContractNoticePhases/View?PPI=CO1.PPI.23159058&amp;isFromPublicArea=True&amp;isModal=False</t>
  </si>
  <si>
    <t>OAG-VEX-0227-2023</t>
  </si>
  <si>
    <t>ALBERTO ENRIQUE GHISAYS FERNÁNDEZ</t>
  </si>
  <si>
    <t>https://community.secop.gov.co/Public/Tendering/ContractNoticePhases/View?PPI=CO1.PPI.23160894&amp;isFromPublicArea=True&amp;isModal=False</t>
  </si>
  <si>
    <t>OAG-VEX-0228-2023</t>
  </si>
  <si>
    <t>AMARILIS SOFÍA QUIROZ BENITEZ</t>
  </si>
  <si>
    <t>https://community.secop.gov.co/Public/Tendering/ContractNoticePhases/View?PPI=CO1.PPI.23161338&amp;isFromPublicArea=True&amp;isModal=False</t>
  </si>
  <si>
    <t>OAG-VEX-0229-2023</t>
  </si>
  <si>
    <t>CRISTIHAN JAVIER RODRIGUEZ PEREZ</t>
  </si>
  <si>
    <t>https://community.secop.gov.co/Public/Tendering/ContractNoticePhases/View?PPI=CO1.PPI.23161357&amp;isFromPublicArea=True&amp;isModal=False</t>
  </si>
  <si>
    <t>OAG-VEX-0230-2023</t>
  </si>
  <si>
    <t>DIEGO ARMANDO GAONA VILLAQUIRA</t>
  </si>
  <si>
    <t>https://community.secop.gov.co/Public/Tendering/ContractNoticePhases/View?PPI=CO1.PPI.23161388&amp;isFromPublicArea=True&amp;isModal=False</t>
  </si>
  <si>
    <t>OAG-VEX-0231-2023</t>
  </si>
  <si>
    <t>DIEGO LEONARDO ANZOLA URREA</t>
  </si>
  <si>
    <t>https://community.secop.gov.co/Public/Tendering/ContractNoticePhases/View?PPI=CO1.PPI.23162315&amp;isFromPublicArea=True&amp;isModal=False</t>
  </si>
  <si>
    <t>OAG-VEX-0232-2023</t>
  </si>
  <si>
    <t>EDELMIS MARTÍNEZ GIL</t>
  </si>
  <si>
    <t>https://community.secop.gov.co/Public/Tendering/ContractNoticePhases/View?PPI=CO1.PPI.23162339&amp;isFromPublicArea=True&amp;isModal=False</t>
  </si>
  <si>
    <t>OAG-VEX-0235-2023</t>
  </si>
  <si>
    <t>JEMMY LISSETE PADILLLA ARAMENDEZ</t>
  </si>
  <si>
    <t>https://community.secop.gov.co/Public/Tendering/ContractNoticePhases/View?PPI=CO1.PPI.23163746&amp;isFromPublicArea=True&amp;isModal=False</t>
  </si>
  <si>
    <t>OAG-VEX-0236-2023</t>
  </si>
  <si>
    <t>JHONATAN EGIDIO MARTINEZ BETANCURT</t>
  </si>
  <si>
    <t>https://community.secop.gov.co/Public/Tendering/ContractNoticePhases/View?PPI=CO1.PPI.23163784&amp;isFromPublicArea=True&amp;isModal=False</t>
  </si>
  <si>
    <t>OAG-VEX-0237-2023</t>
  </si>
  <si>
    <t>LEIDY JOANA ALMANZA SANCHEZ</t>
  </si>
  <si>
    <t>https://community.secop.gov.co/Public/Tendering/ContractNoticePhases/View?PPI=CO1.PPI.23164670&amp;isFromPublicArea=True&amp;isModal=False</t>
  </si>
  <si>
    <t>OAG-VEX-0238-2023</t>
  </si>
  <si>
    <t>LINA MARITZA PRADA CALDERÓN</t>
  </si>
  <si>
    <t>https://community.secop.gov.co/Public/Tendering/ContractNoticePhases/View?PPI=CO1.PPI.23164837&amp;isFromPublicArea=True&amp;isModal=False</t>
  </si>
  <si>
    <t>OAG-VEX-0239-2023</t>
  </si>
  <si>
    <t>MAFE DANIELA GUTIERREZ YARA</t>
  </si>
  <si>
    <t>https://community.secop.gov.co/Public/Tendering/ContractNoticePhases/View?PPI=CO1.PPI.23162027&amp;isFromPublicArea=True&amp;isModal=False</t>
  </si>
  <si>
    <t>OAG-VEX-0240-2023</t>
  </si>
  <si>
    <t>MAIRA ATENCIA PEREZ</t>
  </si>
  <si>
    <t>https://community.secop.gov.co/Public/Tendering/ContractNoticePhases/View?PPI=CO1.PPI.23162632&amp;isFromPublicArea=True&amp;isModal=False</t>
  </si>
  <si>
    <t>OAG-VEX-0241-2023</t>
  </si>
  <si>
    <t>MARIA ELENA BERNAL SERNA</t>
  </si>
  <si>
    <t>https://community.secop.gov.co/Public/Tendering/ContractNoticePhases/View?PPI=CO1.PPI.23163569&amp;isFromPublicArea=True&amp;isModal=False</t>
  </si>
  <si>
    <t>OAG-VEX-0242-2023</t>
  </si>
  <si>
    <t>MARIA MAGDALENA TELLEZ MERCADO</t>
  </si>
  <si>
    <t>https://community.secop.gov.co/Public/Tendering/ContractNoticePhases/View?PPI=CO1.PPI.23164065&amp;isFromPublicArea=True&amp;isModal=False</t>
  </si>
  <si>
    <t>OAG-VEX-0243-2023</t>
  </si>
  <si>
    <t>NAYARIT ZULENA CADAVID CADAVID</t>
  </si>
  <si>
    <t>https://community.secop.gov.co/Public/Tendering/ContractNoticePhases/View?PPI=CO1.PPI.23164717&amp;isFromPublicArea=True&amp;isModal=False</t>
  </si>
  <si>
    <t>OAG-VEX-0244-2023</t>
  </si>
  <si>
    <t>OSCAR ANDRÉS AYALA GÓMEZ</t>
  </si>
  <si>
    <t>https://community.secop.gov.co/Public/Tendering/ContractNoticePhases/View?PPI=CO1.PPI.23164760&amp;isFromPublicArea=True&amp;isModal=False</t>
  </si>
  <si>
    <t>OAG-VEX-0245-2023</t>
  </si>
  <si>
    <t>RAMIRO ENRIQUE GOMEZ PEINADO</t>
  </si>
  <si>
    <t>https://community.secop.gov.co/Public/Tendering/ContractNoticePhases/View?PPI=CO1.PPI.23164791&amp;isFromPublicArea=True&amp;isModal=False</t>
  </si>
  <si>
    <t>OAG-VEX-0246-2023</t>
  </si>
  <si>
    <t>RAUL ANDRES RICAURTE VIDES</t>
  </si>
  <si>
    <t>https://community.secop.gov.co/Public/Tendering/ContractNoticePhases/View?PPI=CO1.PPI.23165427&amp;isFromPublicArea=True&amp;isModal=False</t>
  </si>
  <si>
    <t>OAG-VEX-0247-2023</t>
  </si>
  <si>
    <t>ROBINSON ALBERTO ARCINIEGAS LIÑAN</t>
  </si>
  <si>
    <t>https://community.secop.gov.co/Public/Tendering/ContractNoticePhases/View?PPI=CO1.PPI.23165473&amp;isFromPublicArea=True&amp;isModal=False</t>
  </si>
  <si>
    <t>OAG-VEX-0248-2023</t>
  </si>
  <si>
    <t>SANDID ZAMBRANO IBAÑEZ</t>
  </si>
  <si>
    <t>https://community.secop.gov.co/Public/Tendering/ContractNoticePhases/View?PPI=CO1.PPI.23166002&amp;isFromPublicArea=True&amp;isModal=False</t>
  </si>
  <si>
    <t>OAG-VEX-0249-2023</t>
  </si>
  <si>
    <t>YESICA ANDREA VILLARREAL SANCHEZ </t>
  </si>
  <si>
    <t>https://community.secop.gov.co/Public/Tendering/ContractNoticePhases/View?PPI=CO1.PPI.23166072&amp;isFromPublicArea=True&amp;isModal=False</t>
  </si>
  <si>
    <t>OAG-VEX-0250-2023</t>
  </si>
  <si>
    <t>ARMIN MICOLTA HURTADO</t>
  </si>
  <si>
    <t>https://community.secop.gov.co/Public/Tendering/ContractNoticePhases/View?PPI=CO1.PPI.23167526&amp;isFromPublicArea=True&amp;isModal=False</t>
  </si>
  <si>
    <t>OAG-VEX-0251-2023</t>
  </si>
  <si>
    <t>BRAYAN STIVEN RIVAS CASTILLO</t>
  </si>
  <si>
    <t>https://community.secop.gov.co/Public/Tendering/ContractNoticePhases/View?PPI=CO1.PPI.23167085&amp;isFromPublicArea=True&amp;isModal=False</t>
  </si>
  <si>
    <t>OAG-VEX-0252-2023</t>
  </si>
  <si>
    <t>CARLOS HERNANDO MANCILLA SEGURA</t>
  </si>
  <si>
    <t>https://community.secop.gov.co/Public/Tendering/ContractNoticePhases/View?PPI=CO1.PPI.23168007&amp;isFromPublicArea=True&amp;isModal=False</t>
  </si>
  <si>
    <t>OAG-VEX-0253-2023</t>
  </si>
  <si>
    <t>DIDIER EDUAR ANGULO BATALLA</t>
  </si>
  <si>
    <t>https://community.secop.gov.co/Public/Tendering/ContractNoticePhases/View?PPI=CO1.PPI.23168013&amp;isFromPublicArea=True&amp;isModal=False</t>
  </si>
  <si>
    <t>OAG-VEX-0254-2023</t>
  </si>
  <si>
    <t>DORALINA PINEDA RENGIFO</t>
  </si>
  <si>
    <t>https://community.secop.gov.co/Public/Tendering/ContractNoticePhases/View?PPI=CO1.PPI.23167565&amp;isFromPublicArea=True&amp;isModal=False</t>
  </si>
  <si>
    <t>OAG-VEX-0255-2023</t>
  </si>
  <si>
    <t>FLORALVA SALAZAR ANCHICO</t>
  </si>
  <si>
    <t>https://community.secop.gov.co/Public/Tendering/ContractNoticePhases/View?PPI=CO1.PPI.23167863&amp;isFromPublicArea=True&amp;isModal=False</t>
  </si>
  <si>
    <t>OAG-VEX-0256-2023</t>
  </si>
  <si>
    <t>FREDY PRETEL JARAMILLO</t>
  </si>
  <si>
    <t>https://community.secop.gov.co/Public/Tendering/ContractNoticePhases/View?PPI=CO1.PPI.23168033&amp;isFromPublicArea=True&amp;isModal=False</t>
  </si>
  <si>
    <t>OAG-VEX-0257-2023</t>
  </si>
  <si>
    <t>GEMA CLARENA GONGORA OBREGON</t>
  </si>
  <si>
    <t>https://community.secop.gov.co/Public/Tendering/ContractNoticePhases/View?PPI=CO1.PPI.23168037&amp;isFromPublicArea=True&amp;isModal=False</t>
  </si>
  <si>
    <t>OAG-VEX-0258-2023</t>
  </si>
  <si>
    <t>HAROL JAVIER PAREDES ANCHICO</t>
  </si>
  <si>
    <t>https://community.secop.gov.co/Public/Tendering/ContractNoticePhases/View?PPI=CO1.PPI.23168039&amp;isFromPublicArea=True&amp;isModal=False</t>
  </si>
  <si>
    <t>OAG-VEX-0259-2023</t>
  </si>
  <si>
    <t>HEIDY CUERO VALENCIA</t>
  </si>
  <si>
    <t>https://community.secop.gov.co/Public/Tendering/ContractNoticePhases/View?PPI=CO1.PPI.23168408&amp;isFromPublicArea=True&amp;isModal=False</t>
  </si>
  <si>
    <t>OAG-VEX-0260-2023</t>
  </si>
  <si>
    <t>INGRID TATIANA GONZALEZ DIAZ</t>
  </si>
  <si>
    <t>https://community.secop.gov.co/Public/Tendering/ContractNoticePhases/View?PPI=CO1.PPI.23167976&amp;isFromPublicArea=True&amp;isModal=False</t>
  </si>
  <si>
    <t>OAG-VEX-0261-2023</t>
  </si>
  <si>
    <t>IVONNE YADIRA ESTUPIÑAN ESTUPIÑAN</t>
  </si>
  <si>
    <t>https://community.secop.gov.co/Public/Tendering/ContractNoticePhases/View?PPI=CO1.PPI.23167981&amp;isFromPublicArea=True&amp;isModal=False</t>
  </si>
  <si>
    <t>OAG-VEX-0262-2023</t>
  </si>
  <si>
    <t>JUAN CARLOS HERNÁNDEZ AGUIÑO</t>
  </si>
  <si>
    <t>https://community.secop.gov.co/Public/Tendering/ContractNoticePhases/View?PPI=CO1.PPI.23168184&amp;isFromPublicArea=True&amp;isModal=False</t>
  </si>
  <si>
    <t>OAG-VEX-0263-2023</t>
  </si>
  <si>
    <t>JUANA ELENA BELALCAZAR GARCÍA</t>
  </si>
  <si>
    <t>https://community.secop.gov.co/Public/Tendering/ContractNoticePhases/View?PPI=CO1.PPI.23168193&amp;isFromPublicArea=True&amp;isModal=False</t>
  </si>
  <si>
    <t>OAG-VEX-0264-2023</t>
  </si>
  <si>
    <t>KAREN CRISITINA MORENO CASTILLO</t>
  </si>
  <si>
    <t>https://community.secop.gov.co/Public/Tendering/ContractNoticePhases/View?PPI=CO1.PPI.23168429&amp;isFromPublicArea=True&amp;isModal=False</t>
  </si>
  <si>
    <t>OAG-VEX-0265-2023</t>
  </si>
  <si>
    <t>KAREN SURELLA SANCHEZ SIERRA</t>
  </si>
  <si>
    <t>https://community.secop.gov.co/Public/Tendering/ContractNoticePhases/View?PPI=CO1.PPI.23167559&amp;isFromPublicArea=True&amp;isModal=False</t>
  </si>
  <si>
    <t>OAG-VEX-0266-2023</t>
  </si>
  <si>
    <t>KARENT LICETH RAMOS OLAVE</t>
  </si>
  <si>
    <t>https://community.secop.gov.co/Public/Tendering/ContractNoticePhases/View?PPI=CO1.PPI.23161027&amp;isFromPublicArea=True&amp;isModal=False</t>
  </si>
  <si>
    <t>OAG-VEX-0267-2023</t>
  </si>
  <si>
    <t>LEIDY KAROLINA GARCIA MORENO</t>
  </si>
  <si>
    <t>https://community.secop.gov.co/Public/Tendering/ContractNoticePhases/View?PPI=CO1.PPI.23158013&amp;isFromPublicArea=True&amp;isModal=False</t>
  </si>
  <si>
    <t>OAG-VEX-0268-2023</t>
  </si>
  <si>
    <t>LIVINTON JAVIER VIVAS NARANJO</t>
  </si>
  <si>
    <t>https://community.secop.gov.co/Public/Tendering/ContractNoticePhases/View?PPI=CO1.PPI.23158071&amp;isFromPublicArea=True&amp;isModal=False</t>
  </si>
  <si>
    <t>OAG-VEX-0269-2023</t>
  </si>
  <si>
    <t>LUZ ARELY LÓPEZ MOSQUERA</t>
  </si>
  <si>
    <t>https://community.secop.gov.co/Public/Tendering/ContractNoticePhases/View?PPI=CO1.PPI.23158611&amp;isFromPublicArea=True&amp;isModal=False</t>
  </si>
  <si>
    <t>OAG-VEX-0270-2023</t>
  </si>
  <si>
    <t>MALLIBEL MOSQUERA MORENO</t>
  </si>
  <si>
    <t>https://community.secop.gov.co/Public/Tendering/ContractNoticePhases/View?PPI=CO1.PPI.23158644&amp;isFromPublicArea=True&amp;isModal=False</t>
  </si>
  <si>
    <t>OAG-VEX-0271-2023</t>
  </si>
  <si>
    <t>MARIA ALEJANDRA ALEGRIA VENTE</t>
  </si>
  <si>
    <t>https://community.secop.gov.co/Public/Tendering/ContractNoticePhases/View?PPI=CO1.PPI.23159030&amp;isFromPublicArea=True&amp;isModal=False</t>
  </si>
  <si>
    <t>OAG-VEX-0272-2023</t>
  </si>
  <si>
    <t>MARY CRUZ CLARETTE GARCIA</t>
  </si>
  <si>
    <t>https://community.secop.gov.co/Public/Tendering/ContractNoticePhases/View?PPI=CO1.PPI.23159071&amp;isFromPublicArea=True&amp;isModal=False</t>
  </si>
  <si>
    <t>OAG-VEX-0273-2023</t>
  </si>
  <si>
    <t>MERY DAYANA NAZARENO ARBOLEDA</t>
  </si>
  <si>
    <t>https://community.secop.gov.co/Public/Tendering/ContractNoticePhases/View?PPI=CO1.PPI.23159910&amp;isFromPublicArea=True&amp;isModal=False</t>
  </si>
  <si>
    <t>OAG-VEX-0274-2023</t>
  </si>
  <si>
    <t>OLGA MIRELLA MOSQUERA MINA</t>
  </si>
  <si>
    <t>https://community.secop.gov.co/Public/Tendering/ContractNoticePhases/View?PPI=CO1.PPI.23159960&amp;isFromPublicArea=True&amp;isModal=False</t>
  </si>
  <si>
    <t>OAG-VEX-0275-2023</t>
  </si>
  <si>
    <t>SULANYER RODRÍGUEZ MINA</t>
  </si>
  <si>
    <t>https://community.secop.gov.co/Public/Tendering/ContractNoticePhases/View?PPI=CO1.PPI.23159994&amp;isFromPublicArea=True&amp;isModal=False</t>
  </si>
  <si>
    <t>OAG-VEX-0276-2023</t>
  </si>
  <si>
    <t>WALDETRUDIZ OBREGÓN ANDRADE</t>
  </si>
  <si>
    <t>https://community.secop.gov.co/Public/Tendering/ContractNoticePhases/View?PPI=CO1.PPI.23160353&amp;isFromPublicArea=True&amp;isModal=False</t>
  </si>
  <si>
    <t>OAG-VEX-0277-2023</t>
  </si>
  <si>
    <t>YEFERSON LÓPEZ GÓMEZ</t>
  </si>
  <si>
    <t>OAG-VEX-0279-2023</t>
  </si>
  <si>
    <t>YINA MARCELA HINESTROZA SINISTERRA</t>
  </si>
  <si>
    <t>https://community.secop.gov.co/Public/Tendering/ContractNoticePhases/View?PPI=CO1.PPI.23156991&amp;isFromPublicArea=True&amp;isModal=False</t>
  </si>
  <si>
    <t>OAG-VEX-0280-2023</t>
  </si>
  <si>
    <t>YORDI DESIDERIO TENORIO ARAUJO</t>
  </si>
  <si>
    <t>https://community.secop.gov.co/Public/Tendering/ContractNoticePhases/View?PPI=CO1.PPI.23158331&amp;isFromPublicArea=True&amp;isModal=False</t>
  </si>
  <si>
    <t>OAG-VEX-0281-2023</t>
  </si>
  <si>
    <t>ANGIE STEPHANY FRANCO PRIETO </t>
  </si>
  <si>
    <t>https://community.secop.gov.co/Public/Tendering/ContractNoticePhases/View?PPI=CO1.PPI.23158943&amp;isFromPublicArea=True&amp;isModal=False</t>
  </si>
  <si>
    <t>OAG-VEX-0282-2023</t>
  </si>
  <si>
    <t>DIANA YAQUELINE DIAZ ERAZO</t>
  </si>
  <si>
    <t>https://community.secop.gov.co/Public/Tendering/ContractNoticePhases/View?PPI=CO1.PPI.23159236&amp;isFromPublicArea=True&amp;isModal=False</t>
  </si>
  <si>
    <t>OAG-VEX-0285-2023</t>
  </si>
  <si>
    <t>JOSE DANILO GOMEZ NUÑEZ</t>
  </si>
  <si>
    <t xml:space="preserve">1) RECOLECTAR, DE ACUERDO AL MECANISMO DE REGISTRO DE LA INFORMACIÓN Y EL FORMATO ESTIPULADO POR EL PERSONAL LÍDEL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SISTEMATIZADA, EFECTUADAS POR EL EQUIPO TÉCNICO DEL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EVIDENCIANDO LA RESPUESTA Y EL CUMPLIMIENTO DE LAS VERIFICACIONES Y CORRECCIONES DE LOS DATOS REGISTRADOS QUE LE HAYAN SIDO SOLICITADAS POR EL EQUIPO TÉCNICO DEL SEPEC. </t>
  </si>
  <si>
    <t>https://community.secop.gov.co/Public/Tendering/ContractNoticePhases/View?PPI=CO1.PPI.23160836&amp;isFromPublicArea=True&amp;isModal=False</t>
  </si>
  <si>
    <t>OAG-VEX-0286-2023</t>
  </si>
  <si>
    <t>JOSÉ FERNANDO ORREGO AGUIRRE</t>
  </si>
  <si>
    <t>https://community.secop.gov.co/Public/Tendering/ContractNoticePhases/View?PPI=CO1.PPI.23161235&amp;isFromPublicArea=True&amp;isModal=False</t>
  </si>
  <si>
    <t>OAG-VEX-0287-2023</t>
  </si>
  <si>
    <t>JOSE WILMER CAPOTE ZUÑIGA</t>
  </si>
  <si>
    <t>https://community.secop.gov.co/Public/Tendering/ContractNoticePhases/View?PPI=CO1.PPI.23158107&amp;isFromPublicArea=True&amp;isModal=False</t>
  </si>
  <si>
    <t>OAG-VEX-0290-2023</t>
  </si>
  <si>
    <t>MARIA CRISTINA GOMEZ GARCIA</t>
  </si>
  <si>
    <t>https://community.secop.gov.co/Public/Tendering/ContractNoticePhases/View?PPI=CO1.PPI.23158993&amp;isFromPublicArea=True&amp;isModal=False</t>
  </si>
  <si>
    <t>OAG-VEX-0291-2023</t>
  </si>
  <si>
    <t>VISMAR ORLANDO GIL HERNÁNDEZ</t>
  </si>
  <si>
    <t>https://community.secop.gov.co/Public/Tendering/ContractNoticePhases/View?PPI=CO1.PPI.23160201&amp;isFromPublicArea=True&amp;isModal=False</t>
  </si>
  <si>
    <t>OAG-VEX-0292-2023</t>
  </si>
  <si>
    <t>CECILIA BERENICE OCHOA GUEVARA</t>
  </si>
  <si>
    <t>https://community.secop.gov.co/Public/Tendering/ContractNoticePhases/View?PPI=CO1.PPI.23160281&amp;isFromPublicArea=True&amp;isModal=False</t>
  </si>
  <si>
    <t>OAG-VEX-0294-2023</t>
  </si>
  <si>
    <t>ANYI TATIANA RIVAS CONRADO</t>
  </si>
  <si>
    <t>https://community.secop.gov.co/Public/Tendering/ContractNoticePhases/View?PPI=CO1.PPI.23162026&amp;isFromPublicArea=True&amp;isModal=False</t>
  </si>
  <si>
    <t>OAG-VEX-0295-2023</t>
  </si>
  <si>
    <t>BISMARY RENTERÍA BOCANEGRA</t>
  </si>
  <si>
    <t>https://community.secop.gov.co/Public/Tendering/ContractNoticePhases/View?PPI=CO1.PPI.23162076&amp;isFromPublicArea=True&amp;isModal=False</t>
  </si>
  <si>
    <t>OAG-VEX-0296-2023</t>
  </si>
  <si>
    <t>DAIRO LORENZO CAJIAO PANDALES</t>
  </si>
  <si>
    <t>https://community.secop.gov.co/Public/Tendering/ContractNoticePhases/View?PPI=CO1.PPI.23162613&amp;isFromPublicArea=True&amp;isModal=False</t>
  </si>
  <si>
    <t>OAG-VEX-0297-2023</t>
  </si>
  <si>
    <t>HAMILTON EMIRO ZUÑIGA CONRRADO</t>
  </si>
  <si>
    <t>https://community.secop.gov.co/Public/Tendering/ContractNoticePhases/View?PPI=CO1.PPI.23154197&amp;isFromPublicArea=True&amp;isModal=False</t>
  </si>
  <si>
    <t>OAG-VEX-0299-2023</t>
  </si>
  <si>
    <t>SANDRA MILENA MOSQUERA PEREA</t>
  </si>
  <si>
    <t>https://community.secop.gov.co/Public/Tendering/ContractNoticePhases/View?PPI=CO1.PPI.23158361&amp;isFromPublicArea=True&amp;isModal=False</t>
  </si>
  <si>
    <t>OAG-VEX-0300-2023</t>
  </si>
  <si>
    <t>AIDA LEIDIS PALACIOS MORENO</t>
  </si>
  <si>
    <t>https://community.secop.gov.co/Public/Tendering/ContractNoticePhases/View?PPI=CO1.PPI.23159201&amp;isFromPublicArea=True&amp;isModal=False</t>
  </si>
  <si>
    <t>OAG-VEX-0301-2023</t>
  </si>
  <si>
    <t>ERIKA ASPRILLA IBARGUEN</t>
  </si>
  <si>
    <t>https://community.secop.gov.co/Public/Tendering/ContractNoticePhases/View?PPI=CO1.PPI.23159593&amp;isFromPublicArea=True&amp;isModal=False</t>
  </si>
  <si>
    <t>OAG-VEX-0302-2023</t>
  </si>
  <si>
    <t>KATERINE VENTE GOMEZ</t>
  </si>
  <si>
    <t>https://community.secop.gov.co/Public/Tendering/ContractNoticePhases/View?PPI=CO1.PPI.23160098&amp;isFromPublicArea=True&amp;isModal=False</t>
  </si>
  <si>
    <t>OAG-VEX-0303-2023</t>
  </si>
  <si>
    <t>KARY MIYICELA ZABALA VARGAS</t>
  </si>
  <si>
    <t>https://community.secop.gov.co/Public/Tendering/ContractNoticePhases/View?PPI=CO1.PPI.23160578&amp;isFromPublicArea=True&amp;isModal=False</t>
  </si>
  <si>
    <t>OAG-VEX-0305-2023</t>
  </si>
  <si>
    <t>JONATHAN FELIPE VALENCIA PERALTA</t>
  </si>
  <si>
    <t>https://community.secop.gov.co/Public/Tendering/ContractNoticePhases/View?PPI=CO1.PPI.23162015&amp;isFromPublicArea=True&amp;isModal=False</t>
  </si>
  <si>
    <t>OAG-VEX-0306-2023</t>
  </si>
  <si>
    <t>MARLON JAIR VIDES RUGELES</t>
  </si>
  <si>
    <t>https://community.secop.gov.co/Public/Tendering/ContractNoticePhases/View?PPI=CO1.PPI.23162081&amp;isFromPublicArea=True&amp;isModal=False</t>
  </si>
  <si>
    <t>OAG-VEX-0307-2023</t>
  </si>
  <si>
    <t>NINI JOHANNA CAMARGO RAMIREZ</t>
  </si>
  <si>
    <t>https://community.secop.gov.co/Public/Tendering/ContractNoticePhases/View?PPI=CO1.PPI.23162644&amp;isFromPublicArea=True&amp;isModal=False</t>
  </si>
  <si>
    <t>OAG-VEX-0308-2023</t>
  </si>
  <si>
    <t>JOSE NEKER CIFUENTES SINISTERRA</t>
  </si>
  <si>
    <t>https://community.secop.gov.co/Public/Tendering/ContractNoticePhases/View?PPI=CO1.PPI.23162773&amp;isFromPublicArea=True&amp;isModal=False</t>
  </si>
  <si>
    <t>OAG-VEX-0309-2023</t>
  </si>
  <si>
    <t>YULY TORRES HURTADO</t>
  </si>
  <si>
    <t>https://community.secop.gov.co/Public/Tendering/ContractNoticePhases/View?PPI=CO1.PPI.23164123&amp;isFromPublicArea=True&amp;isModal=False</t>
  </si>
  <si>
    <t>OAG-VEX-0312-2023</t>
  </si>
  <si>
    <t xml:space="preserve">YUREIDYS MILAGRO PALLARES ZAMBRANO </t>
  </si>
  <si>
    <t xml:space="preserve">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t>
  </si>
  <si>
    <t>https://community.secop.gov.co/Public/Tendering/ContractNoticePhases/View?PPI=CO1.PPI.23165120&amp;isFromPublicArea=True&amp;isModal=False</t>
  </si>
  <si>
    <t>OAG-VEX-0320-2023</t>
  </si>
  <si>
    <t>MÓNICA CABEZAS LOAIZA</t>
  </si>
  <si>
    <t>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</si>
  <si>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https://community.secop.gov.co/Public/Tendering/ContractNoticePhases/View?PPI=CO1.PPI.23160267&amp;isFromPublicArea=True&amp;isModal=False</t>
  </si>
  <si>
    <t>OAG-VEX-0321-2023</t>
  </si>
  <si>
    <t>NILIA JANETH ESCOBAR NIÑO</t>
  </si>
  <si>
    <t>https://community.secop.gov.co/Public/Tendering/ContractNoticePhases/View?PPI=CO1.PPI.23160141&amp;isFromPublicArea=True&amp;isModal=False</t>
  </si>
  <si>
    <t>OAG-VEX-0322-2023</t>
  </si>
  <si>
    <t>PAOLA ANDREA INFANTE SIERRA</t>
  </si>
  <si>
    <t>https://community.secop.gov.co/Public/Tendering/ContractNoticePhases/View?PPI=CO1.PPI.23160166&amp;isFromPublicArea=True&amp;isModal=False</t>
  </si>
  <si>
    <t>OAG-VEX-0323-2023</t>
  </si>
  <si>
    <t>RUDI ROXANA RINCÓN HURTADO</t>
  </si>
  <si>
    <t xml:space="preserve">1) RECOLECTAR LAS ESTADÍSTICAS RELATIVAS A LA PRODUCCIÓN DE PECES ORNAMENTALES Y LA COMERCIALIZACIÓN DEL RECURSO PESQUERO PROVENIENTE TANTO DE LA PESCA EXTRACTIVA COMO DE LA ACUICULTURA (DE ORIGEN NACIONAL O IMPORTADO), EN EL MARCO DEL SEPEC 2023 (CONTRATO AUNAP-UNIMAGDALENA). EN AMBOS CASOS, LOS DATOS DEBERÁN SER REGISTRADOS DE ACUERDO CON EL MECANISMO ESTABLECIDO, CONFORME CON EL CRONOGRAMA DE MONITOREO Y LOS SITIOS ASIGNADOS POR LOS COORDINADORES DE LOS COMPONENTES DE ORNAMENTALES Y DE COMERCIALIZACIÓN.  2) RECUPERAR Y SISTEMATIZAR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LA MISMA. 4) DILIGENCIAR, AUDITAR Y ENTREGAR TODA LA INFORMACIÓN EN LOS FORMULARIOS FÍSICOS ESTABLECIDOS PARA EL MONITOREO Y DIGITAR LOS DATOS OBTENIDOS EN LOS FORMULARIOS ELECTRÓNICOS DEL SISTEMA DE INFORMACIÓN DEL SEPEC, VERIFICANDO QUE LA INFORMACIÓN CONTENIDA EN EL FORMULARIO FÍSICO COINCIDA CON LA DIGITADA EN LA PLATAFORMA INFORMÁTICA. 5) ATENDER Y SOLUCIONAR SATISFACTORIAMENTE LAS SOLICITUDES DE REVISIÓN Y/O CONFIRMACIÓN DE INFORMACIÓN CONSIGNADA EN LOS REGISTROS QUE PUEDEN SER EFECTUADAS POR EL EQUIPO TÉCNICO DE CADA COMPONENTE (COORDINADOR, SUPERVISOR O EL TAXÓNOMO) 6) PRESENTAR INFORME MENSUAL, EVIDENCIANDO LAS ACTIVIDADES EFECTUADAS EN CUMPLIMIENTO DE LOS LINEAMIENTOS ESTABLECIDOS POR LA COORDINACIÓN DE LOS COMPONENTES DE COMERCIALIZACIÓN Y ORNAMENTALES. </t>
  </si>
  <si>
    <t>https://community.secop.gov.co/Public/Tendering/ContractNoticePhases/View?PPI=CO1.PPI.23161502&amp;isFromPublicArea=True&amp;isModal=False</t>
  </si>
  <si>
    <t>OAG-VEX-0324-2023</t>
  </si>
  <si>
    <t>ALFREDO ANGEL HERNÁNDEZ PADILLA</t>
  </si>
  <si>
    <t xml:space="preserve">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CULMINAR EL PROCESO DE SISTEMATIZACIÓN DE LA INFORMACIÓN COLECTADA DURANTE EL MES DE DICIEMBRE DE 2022. 5) OBTENER Y SISTEMATIZAR LA INFORMACIÓN RELATIVA A LOS DESEMBARCOS INDUSTRIALES EFECTUADOS DURANTE EL MES DE ENERO DE 2023, INCLUYENDO TODAS LAS VARIABLES PREVISTAS EN LOS FORMULARIOS ESTABLECIDOS PARA EL EFECTO.  6) PRESENTAR INFORMES MENSUALES DE ACTIVIDAD DE ACUERDO A LOS LINEAMIENTOS ESTABLECIDOS EN EL SEPEC. </t>
  </si>
  <si>
    <t>https://community.secop.gov.co/Public/Tendering/ContractNoticePhases/View?PPI=CO1.PPI.23161559&amp;isFromPublicArea=True&amp;isModal=False</t>
  </si>
  <si>
    <t>OAG-VEX-0325-2023</t>
  </si>
  <si>
    <t>WILSON GONZÁLEZ MOSQUERA</t>
  </si>
  <si>
    <t>https://community.secop.gov.co/Public/Tendering/ContractNoticePhases/View?PPI=CO1.PPI.23162054&amp;isFromPublicArea=True&amp;isModal=False</t>
  </si>
  <si>
    <t>OAG-VEX-0326-2023</t>
  </si>
  <si>
    <t>YEISON REINA ROSERO</t>
  </si>
  <si>
    <t>https://community.secop.gov.co/Public/Tendering/ContractNoticePhases/View?PPI=CO1.PPI.23162094&amp;isFromPublicArea=True&amp;isModal=False</t>
  </si>
  <si>
    <t>OAG-VEX-0329-2023</t>
  </si>
  <si>
    <t>CELEDONIO RIASCOS RIASCOS</t>
  </si>
  <si>
    <t>https://community.secop.gov.co/Public/Tendering/ContractNoticePhases/View?PPI=CO1.PPI.23163579&amp;isFromPublicArea=True&amp;isModal=False</t>
  </si>
  <si>
    <t>OAG-VEX-0330-2023</t>
  </si>
  <si>
    <t>JEISSON OMAR FLOREZ GUTIERREZ</t>
  </si>
  <si>
    <t>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OBTENER Y SISTEMATIZAR LA INFORMACIÓN RELATIVA A LOS DESEMBARCOS INDUSTRIALES EFECTUADOS DURANTE EL MES DE ENERO DE 2023, INCLUYENDO TODAS LAS VARIABLES PREVISTAS EN LOS FORMULARIOS ESTABLECIDOS PARA EL EFECTO.  5) APOYAR LA ORGANIZACIÓN Y LA AUDITORÍA DE DATOS DE LA INFORMACIÓN COLECTADA EN EL MARCO DE LA OPERACIÓN ESTADÍSTICA (OE) DE DESEMBARCOS INDUSTRIALES (DI). 6) APOYAR LA ELABORACIÓN Y ORGANIZACIÓN DE INVENTARIOS DE LOS DOCUMENTOS GENERADOS EN LOS ARCHIVOS RELACIONADOS CON LA OE DI. 7) PRESENTAR INFORMES MENSUALES DE ACTIVIDAD DE ACUERDO A LOS LINEAMIENTOS ESTABLECIDOS EN EL SEPEC.</t>
  </si>
  <si>
    <t>https://community.secop.gov.co/Public/Tendering/ContractNoticePhases/View?PPI=CO1.PPI.23164017&amp;isFromPublicArea=True&amp;isModal=False</t>
  </si>
  <si>
    <t>OAG-VEX-0332-2023</t>
  </si>
  <si>
    <t>LUIS HERNAN GAITAN PEREZ</t>
  </si>
  <si>
    <t>https://community.secop.gov.co/Public/Tendering/ContractNoticePhases/View?PPI=CO1.PPI.23164096&amp;isFromPublicArea=True&amp;isModal=False</t>
  </si>
  <si>
    <t>OAG-VEX-0334-2023</t>
  </si>
  <si>
    <t>ANTONIO JULIO SANTIS BALDOVINO</t>
  </si>
  <si>
    <t>https://community.secop.gov.co/Public/Tendering/ContractNoticePhases/View?PPI=CO1.PPI.23164751&amp;isFromPublicArea=True&amp;isModal=False</t>
  </si>
  <si>
    <t>OAG-VEX-0335-2023</t>
  </si>
  <si>
    <t>LISBETH HERNADEZ PAVA</t>
  </si>
  <si>
    <t>https://community.secop.gov.co/Public/Tendering/ContractNoticePhases/View?PPI=CO1.PPI.23165401&amp;isFromPublicArea=True&amp;isModal=False</t>
  </si>
  <si>
    <t>OAG-VEX-0336-2023</t>
  </si>
  <si>
    <t>MEBLYN FERNANDO JULIO MEDINA</t>
  </si>
  <si>
    <t>https://community.secop.gov.co/Public/Tendering/ContractNoticePhases/View?PPI=CO1.PPI.23165430&amp;isFromPublicArea=True&amp;isModal=False</t>
  </si>
  <si>
    <t>OAG-VEX-0373-2023</t>
  </si>
  <si>
    <t>LINA MARCELA CORREA BUELVAS</t>
  </si>
  <si>
    <t>https://community.secop.gov.co/Public/Tendering/ContractNoticePhases/View?PPI=CO1.PPI.23250533&amp;isFromPublicArea=True&amp;isModal=False</t>
  </si>
  <si>
    <t>OAG-VEX-0374-2023</t>
  </si>
  <si>
    <t>ADRIANA LUCIA CURE GAVIRIA</t>
  </si>
  <si>
    <t>https://community.secop.gov.co/Public/Tendering/ContractNoticePhases/View?PPI=CO1.PPI.23250546&amp;isFromPublicArea=True&amp;isModal=False</t>
  </si>
  <si>
    <t>OAG-VEX-0375-2023</t>
  </si>
  <si>
    <t>PABLO JOSE PORTELA RESTREPO</t>
  </si>
  <si>
    <t>https://community.secop.gov.co/Public/Tendering/ContractNoticePhases/View?PPI=CO1.PPI.23250552&amp;isFromPublicArea=True&amp;isModal=False</t>
  </si>
  <si>
    <t>OAG-VEX-0376-2023</t>
  </si>
  <si>
    <t>ROSA ANDREINA GOMEZ RIVERA</t>
  </si>
  <si>
    <t>https://community.secop.gov.co/Public/Tendering/ContractNoticePhases/View?PPI=CO1.PPI.23250561&amp;isFromPublicArea=True&amp;isModal=False</t>
  </si>
  <si>
    <t>OAG-VEX-0378-2023</t>
  </si>
  <si>
    <t>YURBELY ATENCIO TORRES</t>
  </si>
  <si>
    <t>https://community.secop.gov.co/Public/Tendering/ContractNoticePhases/View?PPI=CO1.PPI.23249795&amp;isFromPublicArea=True&amp;isModal=False</t>
  </si>
  <si>
    <t>OAG-VEX-0379-2023</t>
  </si>
  <si>
    <t>RAMÓN EPIEYU URIANA</t>
  </si>
  <si>
    <t>https://community.secop.gov.co/Public/Tendering/ContractNoticePhases/View?PPI=CO1.PPI.23246374&amp;isFromPublicArea=True&amp;isModal=False</t>
  </si>
  <si>
    <t>OAG-VEX-0382-2023</t>
  </si>
  <si>
    <t>DEIBER VELEZ GUTIERREZ</t>
  </si>
  <si>
    <t>https://community.secop.gov.co/Public/Tendering/ContractNoticePhases/View?PPI=CO1.PPI.23250504&amp;isFromPublicArea=True&amp;isModal=False</t>
  </si>
  <si>
    <t>OAG-VEX-0384-2023</t>
  </si>
  <si>
    <t>HAROLD MOSCOTE ROJAS</t>
  </si>
  <si>
    <t>https://community.secop.gov.co/Public/Tendering/ContractNoticePhases/View?PPI=CO1.PPI.23250671&amp;isFromPublicArea=True&amp;isModal=False</t>
  </si>
  <si>
    <t>OAG-VEX-0385-2023</t>
  </si>
  <si>
    <t>DORALINA TORRES RODRIGUEZ</t>
  </si>
  <si>
    <t>https://community.secop.gov.co/Public/Tendering/ContractNoticePhases/View?PPI=CO1.PPI.23248533&amp;isFromPublicArea=True&amp;isModal=False</t>
  </si>
  <si>
    <t>OAG-VEX-0386-2023</t>
  </si>
  <si>
    <t>JOSE BADILLO HURTADO</t>
  </si>
  <si>
    <t>https://community.secop.gov.co/Public/Tendering/ContractNoticePhases/View?PPI=CO1.PPI.23248561&amp;isFromPublicArea=True&amp;isModal=False</t>
  </si>
  <si>
    <t>OAG-VEX-0387-2023</t>
  </si>
  <si>
    <t>MARIA DEL ROSARIO ARBOLEDA PARRA</t>
  </si>
  <si>
    <t>https://community.secop.gov.co/Public/Tendering/ContractNoticePhases/View?PPI=CO1.PPI.23248592&amp;isFromPublicArea=True&amp;isModal=False</t>
  </si>
  <si>
    <t>OAG-VEX-0388-2023</t>
  </si>
  <si>
    <t>ROIVER HINESTROZA LOZANO</t>
  </si>
  <si>
    <t>https://community.secop.gov.co/Public/Tendering/ContractNoticePhases/View?PPI=CO1.PPI.23250151&amp;isFromPublicArea=True&amp;isModal=False</t>
  </si>
  <si>
    <t>OAG-VEX-0389-2023</t>
  </si>
  <si>
    <t>JESUS ANTONIO MORENO MOSQUERA</t>
  </si>
  <si>
    <t>https://community.secop.gov.co/Public/Tendering/ContractNoticePhases/View?PPI=CO1.PPI.23245320&amp;isFromPublicArea=True&amp;isModal=False</t>
  </si>
  <si>
    <t>OAG-VEX-0390-2023</t>
  </si>
  <si>
    <t>LIBIA DORIS ASPRILLA MURILLO</t>
  </si>
  <si>
    <t>https://community.secop.gov.co/Public/Tendering/ContractNoticePhases/View?PPI=CO1.PPI.23246315&amp;isFromPublicArea=True&amp;isModal=False</t>
  </si>
  <si>
    <t>OAG-VEX-0391-2023</t>
  </si>
  <si>
    <t>LUZ NELLY RIVAS MEDINA</t>
  </si>
  <si>
    <t>https://community.secop.gov.co/Public/Tendering/ContractNoticePhases/View?PPI=CO1.PPI.23246437&amp;isFromPublicArea=True&amp;isModal=False</t>
  </si>
  <si>
    <t>OAG-VEX-0392-2023</t>
  </si>
  <si>
    <t>ROSA EMILIANA OROBIO SIERRA</t>
  </si>
  <si>
    <t>https://community.secop.gov.co/Public/Tendering/ContractNoticePhases/View?PPI=CO1.PPI.23248261&amp;isFromPublicArea=True&amp;isModal=False</t>
  </si>
  <si>
    <t>OAG-VEX-0393-2023</t>
  </si>
  <si>
    <t>CARMEN CENIA ASPRILLA MORENO</t>
  </si>
  <si>
    <t>https://community.secop.gov.co/Public/Tendering/ContractNoticePhases/View?PPI=CO1.PPI.23248276&amp;isFromPublicArea=True&amp;isModal=False</t>
  </si>
  <si>
    <t>OAG-VEX-0394-2023</t>
  </si>
  <si>
    <t>SULEY VANEGAS MORENO</t>
  </si>
  <si>
    <t>https://community.secop.gov.co/Public/Tendering/ContractNoticePhases/View?PPI=CO1.PPI.23249712&amp;isFromPublicArea=True&amp;isModal=False</t>
  </si>
  <si>
    <t>OAG-VEX-0413-2023</t>
  </si>
  <si>
    <t>CARMEN FABIOLA PEREA COPETE</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</si>
  <si>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</si>
  <si>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https://community.secop.gov.co/Public/Tendering/ContractNoticePhases/View?PPI=CO1.PPI.23459815&amp;isFromPublicArea=True&amp;isModal=False</t>
  </si>
  <si>
    <t>OAG-VEX-0414-2023</t>
  </si>
  <si>
    <t>OLIREIDA GUERRERO RUZ</t>
  </si>
  <si>
    <t xml:space="preserve">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</si>
  <si>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https://community.secop.gov.co/Public/Tendering/ContractNoticePhases/View?PPI=CO1.PPI.23455923&amp;isFromPublicArea=True&amp;isModal=False</t>
  </si>
  <si>
    <t>OAG-VEX-0415-2023</t>
  </si>
  <si>
    <t>LUZ JENNY CAICEDO CORTES</t>
  </si>
  <si>
    <t>https://community.secop.gov.co/Public/Tendering/ContractNoticePhases/View?PPI=CO1.PPI.23457307&amp;isFromPublicArea=True&amp;isModal=False</t>
  </si>
  <si>
    <t>OAG-VEX-0416-2023</t>
  </si>
  <si>
    <t>JEISSON ALEXIS LÓPEZ CASTAÑO</t>
  </si>
  <si>
    <t>1.RECOLECTAR LAS ESTADÍSTICAS RELATIVAS A LA PRODUCCIÓN DE PECES ORNAMENTALES EN LOS PUNTOS QUE LE SEAN ASIGNADOS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</si>
  <si>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https://community.secop.gov.co/Public/Tendering/ContractNoticePhases/View?PPI=CO1.PPI.23454900&amp;isFromPublicArea=True&amp;isModal=False</t>
  </si>
  <si>
    <t>OAG-VEX-0417-2023</t>
  </si>
  <si>
    <t>JAIME ANDRÉS BOHORQUEZ ROZO</t>
  </si>
  <si>
    <t>1.RECOLECTAR LAS ESTADÍSTICAS RELATIVAS A LA PRODUCCIÓN DE PECES ORNAMENTALES EN LOS PUNTOS QUE LE SEAN ASIGNADOS, SIGUIENDO EL CRONOGRAMA DE MONITOREO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</si>
  <si>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https://community.secop.gov.co/Public/Tendering/ContractNoticePhases/View?PPI=CO1.PPI.23454792&amp;isFromPublicArea=True&amp;isModal=False</t>
  </si>
  <si>
    <t>OAG-VEX-0419-2023</t>
  </si>
  <si>
    <t>BELKY PRETEL PARRA</t>
  </si>
  <si>
    <t>https://community.secop.gov.co/Public/Tendering/ContractNoticePhases/View?PPI=CO1.PPI.23458208&amp;isFromPublicArea=True&amp;isModal=False</t>
  </si>
  <si>
    <t>OAG-VEX-0444-2023</t>
  </si>
  <si>
    <t>LADY YASMIN FORERO SÁNCHEZ</t>
  </si>
  <si>
    <t>LA PRESTACIÓN DE SERVICIOS DE APOYO A LA GESTIÓN, EN EL MARCO DEL CONTRATO INTERADMINISTRATIVO NO 75 DE 2023, SUSCRITO ENTRE LA AUNAP Y LA UNIVERSIDAD DEL MAGDALENA, PARA 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t>
  </si>
  <si>
    <t>https://community.secop.gov.co/Public/Tendering/ContractNoticePhases/View?PPI=CO1.PPI.23578006&amp;isFromPublicArea=True&amp;isModal=False</t>
  </si>
  <si>
    <t>OAG-VEX-0445-2023</t>
  </si>
  <si>
    <t>LORENA CENTENO MEJÍA</t>
  </si>
  <si>
    <t>LA PRESENTE ORDEN TIENE POR OBJETO LA PRESTACIÓN DE SERVICIOS DE APOYO A LA GESTIÓN, EN EL MARCO DEL CONTRATO INTERADMINISTRATIVO NO 75 DE 2023, SUSCRITO ENTRE LA AUNAP Y LA UNIVERSIDAD DEL MAGDALENA, PARA EL DESARROLLO DE LAS SIGUIENTES ACTIVIDADES:1) 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t>
  </si>
  <si>
    <t>https://community.secop.gov.co/Public/Tendering/ContractNoticePhases/View?PPI=CO1.PPI.23578331&amp;isFromPublicArea=True&amp;isModal=False</t>
  </si>
  <si>
    <t>OAG-VEX-0450-2023</t>
  </si>
  <si>
    <t>ANA BETTY MICOLTA HURTADO</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</si>
  <si>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DEL PROYECTO EN LO CONCERNIENTE A LA LEGALIZACIÓN DE LAS SALIDAS DE CAMPO. 6) PRESENTAR INFORMES MENSUALES DE ACTIVIDAD </t>
  </si>
  <si>
    <t>https://community.secop.gov.co/Public/Tendering/ContractNoticePhases/View?PPI=CO1.PPI.23630196&amp;isFromPublicArea=True&amp;isModal=False</t>
  </si>
  <si>
    <t>OAG-VEX-0451-2023</t>
  </si>
  <si>
    <t>DARIA VERGARA BARCO</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</si>
  <si>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 </t>
  </si>
  <si>
    <t>https://community.secop.gov.co/Public/Tendering/ContractNoticePhases/View?PPI=CO1.PPI.23629577&amp;isFromPublicArea=True&amp;isModal=False</t>
  </si>
  <si>
    <t>OAG-VEX-0452-2023</t>
  </si>
  <si>
    <t>ALEIZA MOSQUERA MOSQUERA</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</si>
  <si>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DE LOS RECURSOS PESQUEROS PRIORIZADOS PARA SU RESPECTIVA ÁREA DE COBERTURA 6) SERVIR DE APOYO AL PROCESO ADMINISTRATIVO </t>
  </si>
  <si>
    <t>https://community.secop.gov.co/Public/Tendering/ContractNoticePhases/View?PPI=CO1.PPI.23629510&amp;isFromPublicArea=True&amp;isModal=False</t>
  </si>
  <si>
    <t>OAG-VEX-0453-2023</t>
  </si>
  <si>
    <t>ZOBEIDA RIVAS POTES</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</si>
  <si>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DEL SEPEC, GARANTIZANDO QUE AMBAS INFORMACIONES SEAN COINCIDENTES. 5) SERVIR DE APOYO AL PROCESO ADMINISTRATIVO DEL PROYECTO 6) PRESENTAR INFORMES MENSUALES DE ACTIVIDAD </t>
  </si>
  <si>
    <t>https://community.secop.gov.co/Public/Tendering/ContractNoticePhases/View?PPI=CO1.PPI.23628372&amp;isFromPublicArea=True&amp;isModal=False</t>
  </si>
  <si>
    <t>OAG-VEX-0457-2023</t>
  </si>
  <si>
    <t>IRIS YILESA PALACIOS CORDOBA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</si>
  <si>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3) DILIGENCIAR, AUDITAR Y ENTREGAR TODA LA INFORMACIÓN EN LOS FORMATOS FÍSICOS ESTABLECIDOS PARA EL MONITOREO. 4) DIGITAR LOS DATOS EN LOS FORMULARIOS ELECTRÓNICOS DE LA PLATAFORMA INFORMÁTICA DEL SEPEC 5) SERVIR DE APOYO AL PROCESO ADMINISTRATIVO DEL PROYECTO EN LA LEGALIZACIÓN DE LAS SALIDAS DE CAMPO. 6) PRESENTAR INFORMES MENSUALES DE ACTIVIDAD DE ACUERDO CON LOS LINEAMIENTOS ESTABLECIDOS POR EL COORDINADOR DEL COMPONENTE DE PESCA DE CONSUMO DEL SEPEC</t>
  </si>
  <si>
    <t>https://community.secop.gov.co/Public/Tendering/ContractNoticePhases/View?PPI=CO1.PPI.23670989&amp;isFromPublicArea=True&amp;isModal=False</t>
  </si>
  <si>
    <t>OAG-VEX-0458-2023</t>
  </si>
  <si>
    <t>PEDRO NEL AHUÉ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</si>
  <si>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t>
  </si>
  <si>
    <t>https://community.secop.gov.co/Public/Tendering/ContractNoticePhases/View?PPI=CO1.PPI.23670905&amp;isFromPublicArea=True&amp;isModal=False</t>
  </si>
  <si>
    <t>OAG-VEX-0463-2023</t>
  </si>
  <si>
    <t>BEATRIZ ELENA JIMENEZ TABORDA</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</si>
  <si>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t>
  </si>
  <si>
    <t>https://community.secop.gov.co/Public/Tendering/ContractNoticePhases/View?PPI=CO1.PPI.23723217&amp;isFromPublicArea=True&amp;isModal=False</t>
  </si>
  <si>
    <t>OAG-VEX-0464-2023</t>
  </si>
  <si>
    <t>MIRLENIS GARCIA GONZALEZ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</si>
  <si>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SEAN COINCIDENTES. 5) SERVIR DE APOYO AL PROCESO ADMINISTRATIVO EN LA LEGALIZACIÓN DE LAS SALIDAS DE CAMPO. 6) PRESENTAR INFORMES MENSUALES DE ACTIVIDAD</t>
  </si>
  <si>
    <t>https://community.secop.gov.co/Public/Tendering/ContractNoticePhases/View?PPI=CO1.PPI.23723050&amp;isFromPublicArea=True&amp;isModal=False</t>
  </si>
  <si>
    <t>OAG-VEX-0467-2023</t>
  </si>
  <si>
    <t>SAMANDA LILIANA MALDONADO OROZCO</t>
  </si>
  <si>
    <t>REGISTRAR LOS DATOS DE LONGITUDES DE CAPTURA DE LOS RECURSOS PESQUEROS PRIORIZADOS PARA SU RESPECTIVA ÁREA DE COBERTURA, DE CONFORMIDAD CON EL CRONOGRAMA DE MUESTREO ESTABLECIDO POR EL COORDINADOR DEL COMPONENTE DE LONGITUDES DE CAPTURA DEL SEPEC. 2) DIGITAR LOS DATOS DE LONGITUDES DE CAPTURA EN EL FORMULARIO ELECTRÓNICO DE LA PLATAFORMA INFORMÁTICA DEL SEPEC, GARANTIZANDO QUE AMBAS INFORMACIONES, TANTO LA CONTENIDA EN EL FORMATO FÍSICO COMO EN LA PLATAFORMA INFORMÁTICA, SEAN COINCIDENTES. 3) DILIGENCIAR, AUDITAR Y ENTREGAR TODA LA INFORMACIÓN EN EL FORMATO FÍSICO ESTABLECIDO PARA EL MONITOREO. 4)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t>
  </si>
  <si>
    <t>https://community.secop.gov.co/Public/Tendering/ContractNoticePhases/View?PPI=CO1.PPI.23774804&amp;isFromPublicArea=True&amp;isModal=False</t>
  </si>
  <si>
    <t>OAG-VEX-0480-2023</t>
  </si>
  <si>
    <t>DANIEL ANDRES PEREZ JIMENEZ</t>
  </si>
  <si>
    <t>LA PRESTACIÓN DE SERVICIOS DE APOYO A LA GESTIÓN, EN EL MARCO DEL CONTRATO INTERADMINISTRATIVO NO 75 DE 2023, SUSCRITO ENTRE LA AUNAP Y LA UNIVERSIDAD DEL MAGDALENA, PARA EL DESARROLLO DE LAS SIGUIENTES ACTIVIDADES: 1) APOYAR A LA COORDINACIÓN ADMINISTRATIVA DEL PROYECTO SEPEC. 2) APOYAR EN EL CARGUE DE LA INFORMACIÓN DE LA PLATAFORMA SIA OBSERVA, CON BASE EN LA INFORMACIÓN RELACIONADA CON LOS CONTRATOS QUE SE GENEREN EN EL MARCO DEL PROYECTO SEPEC. 3) APOYAR EN LA CARGA DE LA INFORMACIÓN DE LA PLATAFORMA SECOP II, CON BASE EN LA INFORMACIÓN RELACIONADA CON LOS CONTRATOS QUE SE GENEREN EN EL MARCO DEL PROYECTO SEPEC. 4) APOYAR EN EL CARGUE DE LA INFORMACIÓN DE LA PLATAFORMA SIGEP, REVISAR LA INFORMACIÓN SUMINISTRADA POR LOS CONTRATISTAS VINCULADOS AL PROYECTO SEPEC EN LA PLATAFORMA SIGEP Y CARGAR LA INFORMACIÓN DE LAS ÓRDENES SUSCRITAS EN LA EJECUCIÓN DEL PROYECTO SEPEC</t>
  </si>
  <si>
    <t>https://community.secop.gov.co/Public/Tendering/ContractNoticePhases/View?PPI=CO1.PPI.23831412&amp;isFromPublicArea=True&amp;isModal=False</t>
  </si>
  <si>
    <t>OAG-VEX-0482-2023</t>
  </si>
  <si>
    <t>ANGELICA DEL CARMEN SOLANO BERTEL</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</si>
  <si>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Y PARA LOS FINES ESTABLECIDOS DE LAS DOTACIONES INSTITUCIONALES Y DE LAS HERRAMIENTAS DE TRABAJO ENTREGADAS PARA LA TOMA DE INFORMACIÓN</t>
  </si>
  <si>
    <t>https://community.secop.gov.co/Public/Tendering/ContractNoticePhases/View?PPI=CO1.PPI.23859051&amp;isFromPublicArea=True&amp;isModal=False</t>
  </si>
  <si>
    <t>OAG-VEX-0483-2023</t>
  </si>
  <si>
    <t>DEVERLIS LIZ MEJÍA DÍAZ</t>
  </si>
  <si>
    <t>https://community.secop.gov.co/Public/Tendering/ContractNoticePhases/View?PPI=CO1.PPI.23844427&amp;isFromPublicArea=True&amp;isModal=False</t>
  </si>
  <si>
    <t>OAG-VEX-0506-2023</t>
  </si>
  <si>
    <t>DORWIN VALERO ROMERO</t>
  </si>
  <si>
    <t>RECOLECTAR, DE ACUERDO CON EL MECANISMO DE REGISTRO DE LA INFORMACIÓN Y EL FORMULARIO ESTIPULADO POR EL EQUIPO TÉCNICO DEL CONTRATO 075 DE 2023, LA INFORMACIÓN REQUERIDA PARA CARACTERIZAR 190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</si>
  <si>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https://community.secop.gov.co/Public/Tendering/ContractNoticePhases/View?PPI=CO1.PPI.23995345&amp;isFromPublicArea=True&amp;isModal=False</t>
  </si>
  <si>
    <t>OAG-VEX-0507-2023</t>
  </si>
  <si>
    <t>EDWIN LEONARDO MENDEZ CASTAÑEDA</t>
  </si>
  <si>
    <t>https://community.secop.gov.co/Public/Tendering/ContractNoticePhases/View?PPI=CO1.PPI.23995312&amp;isFromPublicArea=True&amp;isModal=False</t>
  </si>
  <si>
    <t>OAG-VEX-0508-2023</t>
  </si>
  <si>
    <t>ELIZABETH BEDOYA AGUDELO</t>
  </si>
  <si>
    <t>RECOLECTAR, DE ACUERDO CON EL MECANISMO DE REGISTRO DE LA INFORMACIÓN Y EL FORMULARIO ESTIPULADO POR EL EQUIPO TÉCNICO DEL CONTRATO 075 DE 2023, LA INFORMACIÓN REQUERIDA PARA CARACTERIZAR 135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</si>
  <si>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https://community.secop.gov.co/Public/Tendering/ContractNoticePhases/View?PPI=CO1.PPI.23995184&amp;isFromPublicArea=True&amp;isModal=False</t>
  </si>
  <si>
    <t>OAG-VEX-0522-2023</t>
  </si>
  <si>
    <t>ANDREA CAROLINA DURANGO ALVARINO</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</si>
  <si>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t>
  </si>
  <si>
    <t>https://community.secop.gov.co/Public/Tendering/ContractNoticePhases/View?PPI=CO1.PPI.24085805&amp;isFromPublicArea=True&amp;isModal=False</t>
  </si>
  <si>
    <t>OAG-VEX-0543-2023</t>
  </si>
  <si>
    <t>SIMARI FINCE EPINAYU</t>
  </si>
  <si>
    <t>1) RECOLECTAR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EN LA LEGALIZACIÓN DE LAS SALIDAS DE CAMPO. 4) GARANTIZAR EL USO ADECUADO Y PARA LOS FINES ESTABLECIDOS TANTO DE LAS DOTACIONES INSTITUCIONALES</t>
  </si>
  <si>
    <t>https://community.secop.gov.co/Public/Tendering/ContractNoticePhases/View?PPI=CO1.PPI.24391937&amp;isFromPublicArea=True&amp;isModal=False</t>
  </si>
  <si>
    <t>OAG-VEX-0547-2023</t>
  </si>
  <si>
    <t>ROSA ESNEIDA MORENO QUIÑONES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</si>
  <si>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7) GARANTIZAR EL USO ADECUADO DE LAS DOTACIONES INSTITUCIONALES Y DE LAS HERRAMIENTAS DE TRABAJO ENTREGADAS PARA LA TOMA DE INFORMACIÓN</t>
  </si>
  <si>
    <t>https://community.secop.gov.co/Public/Tendering/ContractNoticePhases/View?PPI=CO1.PPI.24434081&amp;isFromPublicArea=True&amp;isModal=False</t>
  </si>
  <si>
    <t>OAG-VEX-0549-2023</t>
  </si>
  <si>
    <t>CARLOS CARLOS ANDRIOLI EPIEYU</t>
  </si>
  <si>
    <t>)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</si>
  <si>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https://community.secop.gov.co/Public/Tendering/ContractNoticePhases/View?PPI=CO1.PPI.24434247&amp;isFromPublicArea=True&amp;isModal=False</t>
  </si>
  <si>
    <t>OAG-VEX-0550-2023</t>
  </si>
  <si>
    <t>MARIA TRINIDAD YARURO VARGAS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</si>
  <si>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DE LAS DOTACIONES INSTITUCIONALES</t>
  </si>
  <si>
    <t>https://community.secop.gov.co/Public/Tendering/ContractNoticePhases/View?PPI=CO1.PPI.24446485&amp;isFromPublicArea=True&amp;isModal=False</t>
  </si>
  <si>
    <t>OAG-VEX-0552-2023</t>
  </si>
  <si>
    <t>HELVER EZEQUIEL VALERO ROMERO</t>
  </si>
  <si>
    <t>RECOLECTAR LA INFORMACIÓN REQUERIDA PARA CARACTERIZAR 150 GRANJAS DE ACUICULTURA EN SU RESPECTIVA ÁREA DE COBERTURA, DE CONFORMIDAD CON LA DISTRIBUCIÓN GEOGRÁFICA DEL ESFUERZO DE MUESTREO QUE LE SEA ESTIPULADA POR EL COORDINADOR DEL COMPONENTE DE ACUICULTURA, CONTRATO INTERADMINISTRATIVO 075 DE 2023 SEPEC  2) CUMPLIR CON EL ESFUERZO DE MUESTREO QUE LE SEA ASIGNADO EN EL TIEMPO ESTIPULADO POR EL COORDINADOR DEL COMPONENTE DE ACUICULTURA. 3) SISTEMATIZAR EN LA PLATAFORMA INFORMÁTICA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LOS LINEAMIENTOS Y LA PROGRAMACIÓN QUE SE ESTIPULE PARA EL EFECTO. 6) PRESENTAR INFORME MENSUAL DE ACTIVIDADES</t>
  </si>
  <si>
    <t>https://community.secop.gov.co/Public/Tendering/ContractNoticePhases/View?PPI=CO1.PPI.24470437&amp;isFromPublicArea=True&amp;isModal=False</t>
  </si>
  <si>
    <t>OAG-VEX-0556-2023</t>
  </si>
  <si>
    <t xml:space="preserve">FELIX RUFINO IGUARAN FINCE </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</si>
  <si>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t>
  </si>
  <si>
    <t>https://community.secop.gov.co/Public/Tendering/ContractNoticePhases/View?PPI=CO1.PPI.24555516&amp;isFromPublicArea=True&amp;isModal=False</t>
  </si>
  <si>
    <t>OAG-VEX-0557-2023</t>
  </si>
  <si>
    <t>CARLOS EPIEYU</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</si>
  <si>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</si>
  <si>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https://community.secop.gov.co/Public/Tendering/ContractNoticePhases/View?PPI=CO1.PPI.24555245&amp;isFromPublicArea=True&amp;isModal=False</t>
  </si>
  <si>
    <t>OAG-VEX-0563-2023</t>
  </si>
  <si>
    <t>NOELIA ESTER CORREA RODRIGUEZ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</si>
  <si>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t>
  </si>
  <si>
    <t>https://community.secop.gov.co/Public/Tendering/ContractNoticePhases/View?PPI=CO1.PPI.24697771&amp;isFromPublicArea=True&amp;isModal=False</t>
  </si>
  <si>
    <t>OAG-VEX-0564-2023</t>
  </si>
  <si>
    <t>YUREIDYS MILAGRO PALLARES ZAMBRANO</t>
  </si>
  <si>
    <t>PRESTACIÓN DE SERVICIOS DE APOYO A LA GESTIÓN, EN EL MARCO DEL CONTRATO INTERADMINISTRATIVO NO 75 DE 2023, SUSCRITO ENTRE LA AUNAP Y LA UNIVERSIDAD DEL MAGDALENA, PARA EL DESARROLLO DE LAS SIGUIENTES ACTIVIDADES:1).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P</t>
  </si>
  <si>
    <t>https://community.secop.gov.co/Public/Tendering/ContractNoticePhases/View?PPI=CO1.PPI.24698932&amp;isFromPublicArea=True&amp;isModal=False</t>
  </si>
  <si>
    <t>OAG-VEX-0604-2023</t>
  </si>
  <si>
    <t>KARLA DEL CARMEN BELTRAN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</si>
  <si>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D</t>
  </si>
  <si>
    <t>https://community.secop.gov.co/Public/Tendering/ContractNoticePhases/View?PPI=CO1.PPI.25168202&amp;isFromPublicArea=True&amp;isModal=False</t>
  </si>
  <si>
    <t>ODC-VEX-0001-2023</t>
  </si>
  <si>
    <t>LA COMPRA DE PAPELERÍA (20 RESMAS CARTA, 20 RESMAS OFICIO, 1 TONER LASER HP, 2 TONER LASER HP 202 A ROJA, 2 TONER LASER HP 202 A NEGRA, 2 TONER LASER HP 202 A AZUL, 5 RECARGAS EPSON NEGRO, 7 RECARGA EPSON T544, 600 FOLFER YUTE OFICIO, 72 SACAPUNTAS METÁLICOS, 80 BORRADORES NATA, 108 LAPIZ NEGROS NORMA, 156 BOLÍFRAFOS NEGROS, 96 LAPIZ CORRECTOR, CAJA DE ARCHIVO, PLANILLERO…) NECESARIA PARA EL DESARROLLO Y EJECUCIÓN DE LAS ACTIVIDADES PROGRAMADAS EN EL PROYECTO SEPEC, EN EL MARCO DEL CONTRATO INTERADMINISTRATIVO NO 75 DE 2023, SUSCRITO ENTRE LA AUNAP Y UNIMAGDALENA</t>
  </si>
  <si>
    <t>https://community.secop.gov.co/Public/Tendering/ContractNoticePhases/View?PPI=CO1.PPI.23578861&amp;isFromPublicArea=True&amp;isModal=False</t>
  </si>
  <si>
    <t>ODC-VEX-0002-2023</t>
  </si>
  <si>
    <t>GLADYS ALEJANDRA GAVIRIA ESCOBAR – ESTABLECIMIENTO DE COMERCIO: GARA FASHION</t>
  </si>
  <si>
    <t>LA COMPRA DE DOTACIÓN DE CAMPO TALES COMO: CHALECOS, GORRAS, MORRALES, CAMISETAS, CAMIBUSOS, BOTAS DE CAUCHO, BOTAS DE SEGURIDAD, IMPERMEABLES Y CASCOS, NECESARIOS PARA LA DISTINCIÓN DEL PERSONAL DE CAMPO DEL PROYECTO SEPEC, EN EL MARCO DEL CONTRATO INTERADMINISTRATIVO NO 75 DE 2023 SUSCRITO ENTRE LA AUNAP Y UNIMAGDALENA</t>
  </si>
  <si>
    <t>https://community.secop.gov.co/Public/Tendering/ContractNoticePhases/View?PPI=CO1.PPI.24058973&amp;isFromPublicArea=True&amp;isModal=False</t>
  </si>
  <si>
    <t>ODC-VEX-0004-2023</t>
  </si>
  <si>
    <t>LAHERAL S.A.S</t>
  </si>
  <si>
    <t>LA COMPRA DE QUINIENTAS (500) MINIBÁSCULAS ELECTRÓNICAS PORTÁTILES DE 50KG, BALANZAS ELECTRÓNICAS DE ALTA PRECISIÓN, LLAMADAS RESORTE DE PEQUEÑA ESCALA, NECESARIAS PARA SER DISTRIBUIDAS ENTRE LOS COLECTORES DE CAMPO DE LOS COMPONENTES PESCA ARTESANAL DE CONSUMO Y PESCA INDUSTRIAL DEL PROYECTO SEPEC, PARA EL DESARROLLO DE LAS ACTIVIDADES PREVISTAS EN EL MARCO DEL CONTRATO INTERADMINISTRATIVO NO 075 DE 2023, SUSCRITO ENTRE LA AUNAP Y LA UNIVERSIDAD DEL MAGDALENA</t>
  </si>
  <si>
    <t>https://community.secop.gov.co/Public/Tendering/ContractNoticePhases/View?PPI=CO1.PPI.24554650&amp;isFromPublicArea=True&amp;isModal=False</t>
  </si>
  <si>
    <t>OPSP-VEX-0001-2023</t>
  </si>
  <si>
    <t>KATERIN JULIETH ALMENDRALES TEJEDA</t>
  </si>
  <si>
    <t xml:space="preserve">LA PRESENTE ORDEN TIENE POR OBJETO LA PRESTACIÓN DE SERVICIOS PROFESIONALES EN EL MARCO DEL CONTRATO INTERADMINISTRATIVO NO 75 DE 2023, SUSCRITO ENTRE LA AUNAP Y LA UNIVERSIDAD DEL MAGDALENA, PARA EL DESARROLLO DE LAS SIGUIENTES ACTIVIDADES:1) COORDINAR LAS ACTIVIDADES ADMINISTRATIVAS Y FINANCIERAS DEL PROYECTO SEPEC,. 2) COORDINAR Y REALIZAR  LAS SOLICITUDES DE CDPS, REGISTROS PRESUPUESTALES, GENERACIÓN DE ÓRDENES Y TRAMITES DE PAGO DE PROVEEDORES, ELABORACIÓN RESOLUCIONES DE VIÁTICOS, RESOLUCIONES DE APOYOS ECONOMICOS, RESOLUCIONES ESTÍMULOS DOCENTES, RESOLUCIONES PAGO DE AYUDANTIAS, RESOLUCIONES DE AVANCES, REVISAR NOMINA  DE PAGOS CONTRATISTAS, AFECTACIONES PRESUPUESTALES, TRASLADOS, PAGO DE GASTOS FINANCIEROS, FACTURACIÓN ANTE LA CONTRAPARTIDA(AUNAP),  Y REQUERIMIENTOS EN LA EJECUCIÓN DEL PROYECTO, TRAMITES DE ADICIONES, OTROS SÍ, TERMINACIONES,  Y DEMÁS MODIFICACIONES QUE PRESENTEN LAS ORDENES DEL PROYECTO SEPEC. 3) SUPERVISAR LAS TAREAS DE REVISIÓN DE LOS SOPORTES DOCUMENTALES PRE-CONTRACTUALES, CONTRACTUALES Y POST-CONTRACTUALES, CONTABLES, CARGUE DE PLATAFORMAS, ARCHIVO Y TODAS LAS DERIVADAS DEL PROCESO DE CONTRATACIÓN Y EJECUCIÓN ADMINISTRATIVA DEL PERSONAL VINCULADO AL COMPONENTE ADMINISTRATIVO DEL PROYECTO SEPEC. 4). TRAMITAR Y HACER SEGUIMIENTO A LOS TRÁMITES ADMINISTRATIVOS DEL CONTRATO QUE DEBAN EFECTUARSE A TRAVÉS DE LA VICERRECTORÍA DE EXTENSIÓN Y PROYECCIÓN SOCIAL. 5) RESPONDER A LOS REQUERIMIENTOS DE REVISÓN POR ENTES DE CONTROL REALIAZADOS AL PROYECTO SEPEC. 6) GENERAR INFORMES Y REVISAR LA EJECUCIÓN PRESUPUESTAL DEL PROYECTO. 7) COORDINAR LAS TAREAS REQUERIDAS PARA RESPONDER LAS SOLICITUDES DE TIPO ADMINISTRATIVO Y FINANCIERO FORMULADAS POR LA AUNAP Y LA UNIVERSIDAD Y LOS TRAMITES CONTRACTUALES, PRECONTRACTUALES, Y DEMÁS REQUERIMIENTOS QUE SE GENEREN EN LA EJECUCIÓN DEL CONTRATO NO 75 DE 2023; 8) CORDINAR Y TRAMITAR ANTE LAS DEPENDENCIAS CORRESPONDIENTES LOS TRAMITES DE RECUADO E INGRESOS QUE SE DERIVEN DE LA EJECUCIÓN DEL PROYECTO. </t>
  </si>
  <si>
    <t>https://community.secop.gov.co/Public/Tendering/ContractNoticePhases/View?PPI=CO1.PPI.23070635&amp;isFromPublicArea=True&amp;isModal=False</t>
  </si>
  <si>
    <t>OPSP-VEX-0002-2023</t>
  </si>
  <si>
    <t>LAURA MARGARITA CANTILLO ROSARIO</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</si>
  <si>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GEDOCO Y SIGEP DE  LA DOCUMENTACIÓN INHERENTE A LA CONTRATACIÓN DEL PERSONAL.  2). APOYAR A LA COORDINACIÓN ADMINISTRATIVA Y DIRECTIVA DEL PROYECTO EN LOS PROCESOS  QUE SUBYACEN EN LAS DIFERENTES DEPENDENCIAS DE LA UNIVERSIDAD. 3) APOYAR EN EL PROCESO DE ENLACE ENTRE LOS DIVERSOS, COORDINADORES, SUPERVISORES, CONTRATISTAS Y EL DIRECTOR DEL PROYECTO CON LAS DIFERENTES DEPENDENCIAS ADMINISTRATIVAS DE LA UNIVERSIDAD. 4) APOYAR EN LA REVISIÓN DE DOCUMENTOS SOPORTES PARA EL PAGO DE LA NÓMINA DE LOS CONTRATISTAS DEL PROYECTO SEPEC, ATENDER LAS SOLICITUDES QUE SE REALICEN A TRAVEZ DEL CORREO INSTITUCIONAL DEL PROYECTO SEPEC DE ACUERDO A LAS DIRECTRICEZ DE LA COORDINACIÓN ADMINISTRATIVA Y FINANCIERA. </t>
  </si>
  <si>
    <t>https://community.secop.gov.co/Public/Tendering/ContractNoticePhases/View?PPI=CO1.PPI.23074601&amp;isFromPublicArea=True&amp;isModal=False</t>
  </si>
  <si>
    <t>OPSP-VEX-0003-2023</t>
  </si>
  <si>
    <t>SANDRA MARCELA PARRA MARULANDA</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</si>
  <si>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SIGEP LA DOCUMENTACIÓN INHERENTE A LA CONTRATACIÓN DEL PERSONAL. 2). APOYAR A LA COORDINACIÓN ADMINISTRATIVA Y DIRECTIVA DEL PROYECTO EN LOS PROCESOS  QUE SUBYACEN EN LAS DIFERENTES DEPENDENCIAS DE LA UNIVERSIDAD. 3) APOYAR EN EL PROCESO DE ENLACE ENTRE LOS DIVERSOS CONTRATISTAS, EL DIRECTOR DEL PROYECTO Y LAS DIFERENTES DEPENDENCIAS ADMINISTRATIVAS DE LA UNIVERSIDAD. 4) APOYAR EN LA REVISIÓN DE DOCUMENTOS SOPORTES PARA EL PAGO DE LA NÓMINA DE LOS CONTRATISTAS DEL PROYECTO SEPEC.  </t>
  </si>
  <si>
    <t>https://community.secop.gov.co/Public/Tendering/ContractNoticePhases/View?PPI=CO1.PPI.23075332&amp;isFromPublicArea=True&amp;isModal=False</t>
  </si>
  <si>
    <t>OPSP-VEX-0004-2023</t>
  </si>
  <si>
    <t>CAROLINA MARÍA BORNACELLI ROPAIN</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</si>
  <si>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COORDINACIÓN ADMINISTRATIVA DEL PROYECTO SEPEC EN LOS TRÁMITES QUE DEBEN EFECTUARSE EN LAS DIFERENTES DEPENDENCIAS ADMINISTRATIVAS DE LA UNIVERSIDAD. 2) CARGAR LA INFORMACIÓN Y MANTENER ACTUALIZADO A LA PLATAFORMA SIA OBSERVA, CON BASE EN LA INFORMACIÓN RELACIONADA CON LOS CONTRATOS QUE SE GENEREN EN EL MARCO DEL PROYECTO SEPEC. 3) CARGAR LA INFORMACIÓN Y MANTENER ACTUALIZADO A LA PLATAFORMA SECOP II, CON BASE EN LA INFORMACIÓN RELACIONADA CON LOS CONTRATOS QUE SE GENEREN EN EL MARCO DEL PROYECTO SEPEC. 4) SERVIR DE ENLACE ENTRE LOS DIVERSOS CONTRATISTAS, LA DIRECCIÓN DEL PROYECTO Y LA UNIVERSIDAD EN LOS PROCESOS ADMINISTRATIVOS DEL PROYECTO. 5) SERVIR DE APOYO Y HACER SEGUIMIENTO DE LOS PROCEDIMIENTOS ADMINISTRATIVOS A QUE HAYA LUGAR EN EL DESARROLLO DEL CONTRATO.  6) ASISTIR EN EL CARGUE DE LA INFORMACIÓN DE LA PLATAFORMA SIGEP, REVISAR LA INFORMACIÓN SUMINISTRADA POR LOS CONTRATISTAS VINCULADOS AL PROYECTO SEPEC EN LA PLATAFORMA SIGEP Y CARGAR LA INFORMACIÓN DE LAS ORDENES SUSCRITAS EN LA EJECUCIÓN DEL PROYECTO SEPEC. </t>
  </si>
  <si>
    <t>https://community.secop.gov.co/Public/Tendering/ContractNoticePhases/View?PPI=CO1.PPI.23075370&amp;isFromPublicArea=True&amp;isModal=False</t>
  </si>
  <si>
    <t>OPSP-VEX-0005-2023</t>
  </si>
  <si>
    <t>KAREN KATERINE MARQUEZ LORA</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</si>
  <si>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2) SERVIR DE APOYO A LA DIRECCIÓN DEL CONTRATO Y CORDINACIÓN ADMINISTRATIVA EN EL PROCESO DE ENVIO, OBTENCIÓN DE GUIAS Y LLEVAR EL CONTROL DEL GASTO DE LAS MISMAS QUE SEAN SOLICITADAS POR LOS DIFERENTES COMPONENTES  Y REALIZAR ENVIO DE INFORMACIÓN DE REQUERIMIENTOS REALIZADOS POR EL COMITÉ DE SUPERVISIÓN DEL MISMO DE ACUERDO A INDICACIONES DEL DIRECTOR Y CORDINADOR ADMINISTRATIVO DEL PROYECTO. 3) SERVIR DE APOYO A LA DIRECCIÓN DEL CONTRATO EN EL PROCESO DE OBTENCIÓN DE LA DOCUMENTACIÓN REQUERIDA PARA LAS COMPRAS, SUMINISTROS Y SERVICIOS A PROVEEDORES PREVISTAS EN EL RESPECTIVO PLAN DE INVERSIÓN Y ELABORACIÓN DE LAS SOLICITUDES CON SUS RESPECTIVOS ANEXOS Y LLEVAR A CABO LAS TAREAS DE DILIGENCIAMIENTO, ORGANIZACIÓN Y ARCHIVO DE LA CORRESPONDENCIA RELACIONADA CON LA DIRECCIÓN Y LA COORDINACIÓN ADMINISTRATIVA DEL CONTRATO. 4) APOYAR EN EL DILIGENCIAR LOS FORMATOS DE CALIDAD INHERENTES AL CONTRATO. 5) APOYAR  EN LO ATINENTE A LA BUSQUEDA DE LOS ITINERARIOS MÁS CONVENIENTES PARA LOS DESPLAZAMIENTOS QUE REQUIEREN TIQUETES AÉREOS DEL PERSONAL ABSCRITO AL PROYECTO SEPEC, TRASMITIR DICHA INFORMACIÓN A LA COORDINACIÓN ADMINISTRATIVA DEL PROYECTO Y HACER SEGUIMIENTO A LA OBTENCIÓN EFECTIVA DE LOS TIQUETES Y ENVIAR AL VIAJERO. 6) APOYAR EN EL PROCESO PRECONTRACTUAL Y CONTRACTUAL. </t>
  </si>
  <si>
    <t>https://community.secop.gov.co/Public/Tendering/ContractNoticePhases/View?PPI=CO1.PPI.23076127&amp;isFromPublicArea=True&amp;isModal=False</t>
  </si>
  <si>
    <t>OPSP-VEX-0006-2023</t>
  </si>
  <si>
    <t>ALEJANDRA PAOLA RODRIGUEZ FRANCO</t>
  </si>
  <si>
    <t xml:space="preserve">1) REVISAR LOS SOPORTES DOCUMENTALES Y LOS DOCUMENTOS JURÍDICOS (MINUTAS) NECESARIOS PARA EL DESARROLLO CONTRACTUAL DEL PROYECTO SEPEC. 2) PRESTAR ASISTENCIA  Y ASESORÍA JURÍDICA EN EL PROYECTO EN LAS ETAPAS PRE-CONTRACTUALES, CONTRACTUALES Y POST-CONTRACTUALES, DERIVADAS DEL MISMO. 3) ASESORAR AL DIRECTOR DEL PROYECTO EN LAS REUNIONES DEL COMITÉ DE SUPERVISIÓN DEL CONTRATO, CUANDO SEA NECESARIO. 4) INTERACTUAR CON LA OFICINA ASESORA JURÍDICA Y LA VICERRECTORÍA DE EXTENSIÓN Y PROYECCIÓN SOCIAL CON LA FINALIDAD DE SOLUCIONAR CON PRONTITUD LAS DIVERSAS SITUACIONES JURÍDICAS QUE SE PUEDAN PRESENTAR EN EL DESARROLLO DEL CONTRATO . 5) ELABORAR LOS CONCEPTOS JURÍDICOS QUE SEAN SOLICITADOS POR EL  DIRECTOR DEL PROYECTO, POR LA VICERRECTORÍA DE EXTENSIÓN Y PROYECCIÓN SOCIAL Y/O  LA OFICINA ASESORA JURÍDICA DE LA UNIVERSIDAD ,SOBRE TEMAS ATINENTES AL PROYECTO. </t>
  </si>
  <si>
    <t>https://community.secop.gov.co/Public/Tendering/ContractNoticePhases/View?PPI=CO1.PPI.23076179&amp;isFromPublicArea=True&amp;isModal=False</t>
  </si>
  <si>
    <t>OPSP-VEX-0007-2023</t>
  </si>
  <si>
    <t>ALBERT HERNÁNDEZ HERNÁNDEZ</t>
  </si>
  <si>
    <t xml:space="preserve">LA PRESENTE ORDEN TIENE POR OBJETO LA PRESTACIÓN DE SERVICIOS PROFESIONALES EN EL MARCO DEL CONTRATO INTERADMINISTRATIVO NO 75 DE 2023, SUSCRITO ENTRE LA AUNAP Y LA UNIVERSIDAD DEL MAGDALENA, PARA EL DESARROLLO DE LAS SIGUIENTES ACTIVIDADES:1. COORDINAR EL PROCESO DE GESTIÓN DOCUMENTAL DE LA INFORMACIÓN DE CAMPO GENERADA EN EL MARCO DEL COMPONENTE DE PESCA ARTESANAL DE CONSUMO DEL PROYECTO SEPEC, DE CONFORMIDAD CON LA PROGRAMACIÓN ESTIPULADA POR COORDINADOR DEL COMPONENTE. 2. COORDINAR LA ACTIVIDADES REQUERIDAS PARA EFECTOS DE CONSOLIDAR Y ORGANIZAR LOS ARCHIVOS FÍSICOS Y MAGNÉTICOS DE LOS REGISTROS DE DESEMBARCO DE LAS PESQUERÍAS ARTESANALES EN LOS SITIOS MONITOREADOS POR EL SEPEC. 3. REALIZAR LA AUDITORIA DE LOS FORMULARIOS DE REGISTRO DE DESEMBARCO DE LAS PESQUERÍAS ARTESANALES CORRESPONDIENTES A LOS SITIOS MONITOREADOS EN LA CUENCA DEL ATRATO Y LA ZONA NORTE DEL LITORAL PACIFICO.  4. REVISAR Y VALIDAR LOS INFORMES MENSUALES DE ACTIVIDAD PRESENTADOS POR LOS INTEGRANTES DEL EQUIPO DE GESTIÓN DOCUMENTAL DEL COMPONENTE DE PESCA ARTESANAL DE CONSUMO. 5. PRESENTAR INFORMES MENSUALES DE ACTIVIDAD DE ACUERDO CON LOS LINEAMIENTOS ESTABLECIDOS POR EL COORDINADOR DEL COMPONENTE DE PESCA ARTESANAL DE CONSUMO. </t>
  </si>
  <si>
    <t>https://community.secop.gov.co/Public/Tendering/ContractNoticePhases/View?PPI=CO1.PPI.23077177&amp;isFromPublicArea=True&amp;isModal=False</t>
  </si>
  <si>
    <t>OPSP-VEX-0008-2023</t>
  </si>
  <si>
    <t>BRIGITTE DIMELSA GIL MANRIQUE</t>
  </si>
  <si>
    <t>1) REVISAR, VERIFICAR (DETECCIÓN DE DATOS ATÍPICOS) Y VALIDAR LA INFORMACIÓN CONSIGNADA EN LAS BASES DE DATOS SOBRE PESCA ARTESANAL DE CONSUMO REFERIDA A LOS DESEMBARCOS, LONGITUDES, VALOR MONETARIO, COSTOS DE FAENA, CONTROL DE ACOPIO E IMPUTACIÓN REGISTRADOS EN LA ORINOQUÍA Y AMAZONÍA,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ORINOQUÍA Y LA AMAZONÍA, LA IDENTIFICACIÓN DE CASOS DE DIFERENCIAS NOTORIAS Y EL REGISTRO DE LAS CAUSAS DETECTADAS PARA ESAS DIFERENCIAS DE ACUERDO CON EL ANÁLISIS DE CONTEXTO.
6) APOYAR LA ELABORACIÓN DE LOS INFORMES DE ACTIVIDADES SOBRE PESCA DE CONSUMO Y MONITOREO DE LONGITUDES EN LA ORINOQUÍA Y LA AMAZONÍA,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</si>
  <si>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https://community.secop.gov.co/Public/Tendering/ContractNoticePhases/View?PPI=CO1.PPI.23077539&amp;isFromPublicArea=True&amp;isModal=False</t>
  </si>
  <si>
    <t>OPSP-VEX-0009-2023</t>
  </si>
  <si>
    <t>EIDER LUIS MUÑOZ FONTALVO</t>
  </si>
  <si>
    <t>1. REALIZAR LA AUDITORIA DE LOS FORMULARIOS DE REGISTRO DE DESEMBARCO DE LAS PESQUERÍAS ARTESANALES CORRESPONDIENTES A LOS SITIOS PESQUEROS DE LA MACROCUENCA DEL RÍO MAGDALENA UBICADOS EN LA ZONA DEL RÍO SAN JORGE, BAJO Y MEDIO CAUCA, MEDIO MAGDALENA Y BAJO ATRATO.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</si>
  <si>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https://community.secop.gov.co/Public/Tendering/ContractNoticePhases/View?PPI=CO1.PPI.23077561&amp;isFromPublicArea=True&amp;isModal=False</t>
  </si>
  <si>
    <t>OPSP-VEX-0010-2023</t>
  </si>
  <si>
    <t>1. COORDINAR LAS ACTIVIDADES RELATIVAS AL SOPORTE INFORMÁTICO DEL SISTEMA DE INFORMACIÓN DEL SERVICIO ESTADÍSTICO PESQUERO DE COLOMBIA (SEPEC). 2. COORDINAR LAS ACTIVIDADES RELATIVAS AL SOPORTE TÉCNICO E INFORMÁTICO DE LA APP DE ALEATORIZACIÓN DE UEP. 3. INTERACTUAR CON LOS DESARROLLADORES DE SISTEMA DE INFORMACIÓN DEL CONTRATO PARA EFECTOS DE LA IMPLEMENTACIÓN DE LAS NUEVAS FUNCIONALIDADES Y EL MANTENIMIENTO DEL SISTEMA. 4. COORDINAR EL DESARROLLO DE LAS PRUEBAS DE ESCRITORIO DE LA PLATAFORMA INFORMÁTICA DEL SEPEC. 5. COORDINAR EL DISEÑO DE LAS BASES DE DATOS, LOS FORMULARIOS DE INGRESO Y LAS CONSULTAS QUE SE REQUIERAN EN VIRTUD DE LAS NUEVAS FUNCIONALIDADES DEL SISTEMA. 6. COORDINAR LA ELABORACIÓN DE LA DOCUMENTACIÓN CORRESPONDIENTE A LOS NUEVOS DESARROLLOS INFORMÁTICOS O LAS MODIFICACIONES QUE SE ADELANTEN EN EL MARCO DEL CONTRATO. 7. COORDINAR LAS ACTIVIDADES INFORMÁTICAS RELATIVAS A LOS PROCESOS DE ANONIMIZACIÓN DE BASES DE DATOS ASOCIADA A LOS COMPONENTES DE PESCA ARTESANAL DE CONSUMO Y DE DESEMBARCOS INDUSTRIALES DEL SEPEC. 8. PARTICIPAR EN ACTIVIDADES DE CAPACITACIÓN AL PERSONAL DEL SEPEC Y DE TRANSFERENCIA A PERSONAL TÉCNICO DE LA AUNAP, CUANDO SE REQUIERA. 9. PARTICIPAR EN LOS TALLERES DE SOCIALIZACIÓN DE OBLIGACIONES Y DE RESULTADOS DEL CONTRATO Y EN LOS TALLERES DE CAPACITACIÓN A TÉCNICOS DE LA AUNAP, DE CONFORMIDAD CON LA PROGRAMACIÓN ESTABLECIDA PARA EL EFECTO POR LA DIRECCIÓN DEL CONTRATO. 10. PRESENTAR INFORMES MENSUALES DE ACTIVIDAD DE ACUERDO CON LOS LINEAMIENTOS ESTABLECIDOS POR LA DIRECCIÓN DEL SEPEC.</t>
  </si>
  <si>
    <t>https://community.secop.gov.co/Public/Tendering/ContractNoticePhases/View?PPI=CO1.PPI.23078514&amp;isFromPublicArea=True&amp;isModal=False</t>
  </si>
  <si>
    <t>OPSP-VEX-0012-2023</t>
  </si>
  <si>
    <t>ABRAHAM ALBERTO NARVAEZ VALERA</t>
  </si>
  <si>
    <t xml:space="preserve">1. APOYAR AL COORDINADOR DEL COMPONENTE EN LA ELABORACIÓN DE LA DOCUMENTACIÓN CORRESPONDIENTE A LOS NUEVOS DESARROLLOS INFORMÁTICOS O A LAS MODIFICACIONES EN LA PLATAFORMA QUE SE ADELANTEN EN EL MARCO DEL CONTRATO.  2. APOYAR AL COORDINADOR DEL COMPONENTE EN LA REVISIÓN Y ACTUALIZACIÓN CONTINUA DEL MANUAL DE USUARIO Y EL MANUAL TÉCNICO DE LAS OPERACIONES ESTADÍSTICAS DI, DSAP Y EVADSP, EN LO QUE RESPECTA AL SISTEMA DEL SEPEC.  3.	APOYAR AL COORDINADOR DEL COMPONENTE EN LO QUE RESPECTA A LA EJECUCIÓN DE ACTIVIDADES RELACIONADAS CON EL SOPORTE TÉCNICO E INFORMÁTICO DE LA OPERACIÓN ESTADÍSTICA DE DESEMBARCOS INDUSTRIALES (DI), EN CASO DE QUE SE REQUIERA. 4. APOYAR AL COORDINADOR DEL COMPONENTE EN LO RELACIONADO CON LA PLANIFICACIÓN Y EJECUCIÓN DE LAS PRUEBAS DE RENDIMIENTO Y/O FUNCIONALIDAD DEL SEPEC DE LOS NUEVOS DESARROLLOS O MODIFICACIONES QUE SE ADELANTEN EN EL MARCO DEL CONTRATO.  5. PRESENTAR INFORMES MENSUALES DE ACTIVIDAD DE ACUERDO CON LOS LINEAMIENTOS ESTABLECIDOS POR LA DIRECCIÓN DEL SEPEC. </t>
  </si>
  <si>
    <t>https://community.secop.gov.co/Public/Tendering/ContractNoticePhases/View?PPI=CO1.PPI.23078558&amp;isFromPublicArea=True&amp;isModal=False</t>
  </si>
  <si>
    <t>OPSP-VEX-0013-2023</t>
  </si>
  <si>
    <t>ANDREA LUCIA GOMEZ KERGUELEN</t>
  </si>
  <si>
    <t xml:space="preserve">1) DOCUMENTAR LOS ANÁLISIS DE CONTEXTO DE LA INFORMACIÓN OBTENIDA EN EL MONITOREO DE PESCA ARTESANAL DE LAS CUENCAS Y LITORALES DEL PAÍS, A PARTIR DEL CONOCIMIENTO DE LOS FENÓMENOS (INTERNOS Y EXTERNOS) QUE INFLUYAN EN LOS DATOS.
2) REALIZAR Y DOCUMENTAR EL ANÁLISIS SOBRE LA INFORMACIÓN OBTENIDA PARA VALIDAR LA COHERENCIA INTERNA ENTRE VARIABLES Y CON RESPECTO A LAS SERIES HISTÓRICAS EN LAS CUENCAS Y LITORALES DONDE SE MONITOREA LA PESCA ARTESANAL, COORDINANDO CON LOS ANALISTAS DE DATOS LA ELABORACIÓN DE MATRICES CON LAS EXPLICACIONES DE CONTEXTO PARA LAS CIFRAS ATÍPICAS QUE SE OBTENGAN CADA MES.
3) DOCUMENTAR EL CUMPLIMIENTO DE LA COBERTURA (TAMAÑO DE LA MUESTRA) DEL MONITOREO DE PESCA ARTESANAL EN LOS SITIOS DE LAS CUENCAS Y LITORALES DEL PAÍS.
4) COMPILAR LOS BALANCES DE REVISIÓN Y TRAZABILIDAD DE LOS DATOS POR CUENCA O LITORAL COMO DOCUMENTACIÓN DEL PROCESO DE ANÁLISIS DE DATOS Y ELABORAR LOS INDICADORES DE LA EVALUACIÓN DE DESEMPEÑO EN EL COMPONENTE DE PESCA ARTESANAL.
5) ELABORAR CUADROS Y FIGURAS DE BALANCE MENSUAL DE LA INFORMACIÓN REVISADA Y DETECCIONES DEL COMPONENTE DE PESCA DE CONSUMO, ASÍ COMO DE LA CANTIDAD DE EVENTOS DE CONTEXTO REGISTRADOS.
6) APOYAR LA PROGRAMACIÓN DE LAS REUNIONES DEL GRUPO DE ANÁLISIS DE DATOS CON LA ELABORACIÓN DE LAS ACTAS Y SEGUIMIENTO DE LAS ACTIVIDADES QUE SE DERIVEN.
7) APOYAR LA TAREA DE ELABORACIÓN Y SEGUIMIENTO DE ACTAS DE LAS REUNIONES TÉCNICAS DEL EQUIPO LÍDER DEL SEPEC Y DE MONITOREO DEL CUMPLIMIENTO DE LAS TAREAS ACORDADAS EN DICHAS REUNIONES.
8) PRESENTAR INFORMES MENSUALES DE ACTIVIDAD DE ACUERDO CON LOS LINEAMIENTOS ESTABLECIDOS POR EL EQUIPO LÍDER DEL SEPEC, EVIDENCIANDO EL CUMPLIMIENTO DE LAS ACTIVIDADES DE LA ORDEN DE SERVICIOS.
</t>
  </si>
  <si>
    <t>https://community.secop.gov.co/Public/Tendering/ContractNoticePhases/View?PPI=CO1.PPI.23078590&amp;isFromPublicArea=True&amp;isModal=False</t>
  </si>
  <si>
    <t>OPSP-VEX-0014-2023</t>
  </si>
  <si>
    <t>CARLOS MARIO SALAZAR PÉREZ</t>
  </si>
  <si>
    <t>1. COORDINAR LAS ACCIONES DE ENTRENAMIENTO A COLECTORES DE CAMPO Y SUPERVISORES REGIONALES EN EL MARCO DE LA OPERACIÓN ESTADÍSTICA "CAPTURA DESEMBARCADA POR VOLUMEN" (EVADSP) DEL COMPONENTE PESCA ARTESANAL DE CONSUMO (PAC). 2. COORDINAR LAS ACCIONES DE SENSIBILIZACIÓN DE LA FUENTE EN SITIOS DE DESEMBARCO DE LA OPERACIÓN ESTADÍSTICA EVADSP DEL COMPONENTE PAC. 3. ATENCIÓN DE CONSULTAS POR PARTE DE COLECTORES DE CAMPO Y SUPERVISORES REGIONALES SOBRE LOS PROCEDIMIENTOS DEL MONITOREO DE LA OPERACIÓN ESTADÍSTICA EVADSP DEL COMPONENTE PAC. 4. VERIFICAR EL CUMPLIMIENTO DEL PROCESO DE ALEATORIZACIÓN DE LAS UEP PARA EFECTOS DEL MUESTREO DE DESEMBARCOS ARTESANALES EN LA OPERACIÓN ESTADÍSTICA EVADSP DEL COMPONENTE PAC. 5. REVISAR PERIÓDICAMENTE LA INFORMACIÓN DEL FORMULARIO DE ACTIVIDAD DIARIA A FIN DE DETECTAR CAMBIOS EN EL CENSO DE UEP POR SITIO DE DESEMBARCO Y MÉTODO DE PESCA, Y REPORTAR TALES CAMBIOS A LOS SUPERVISORES REGIONALES. 6. COORDINAR LA ELABORACIÓN DEL INFORME MENSUAL DE ACTIVIDADES QUE SOPORTA LA CUENTA DE COBRO Y DEL INFORME OPERATIVO DE LA OPERACIÓN ESTADÍSTICA EVADSP DEL COMPONENTE PAC. 7. COORDINAR LAS ACTIVIDADES RELACIONADAS CON EL PROCESO DE ANONIMIZACIÓN DE LAS BASES DE DATOS DE LA OPERACIÓN ESTADÍSTICA EVADSP DEL COMPONENTE PAC, Y PARTICIPAR EN LAS AUDITORÍAS RELACIONADAS CON LA OPERACIÓN ESTADÍSTICA. 8. ASESORAR A LA COORDINACIÓN DEL COMPONENTE ENCUESTA ESTRUCTURAL DE PESCA ARTESANAL EN LAS ACTIVIDADES RELACIONADAS CON LOS PROCEDIMIENTOS PARA LA RECOLECCIÓN O ACOPIO DE LOS DATOS, ASÍ COMO EN LAS ACCIONES RELACIONADAS CON LA PLATAFORMA INFORMÁTICA DEL SEPEC. 9. PARTICIPAR EN CALIDAD DE INSTRUCTOR EN UN TALLER DE CAPACITACIÓN SOBRE REGISTRO DE DATOS BIOLÓGICOS-PESQUEROS, DIRIGIDOS A INTEGRANTES DE COMUNIDADES PESQUERAS ARTESANALES, EN EL MARCO DEL COMPONENTE GENERACIÓN DE COMPETENCIAS DEL SEPEC. 10. PRESENTAR INFORMES MENSUALES DE ACTIVIDAD DE ACUERDO CON LOS LINEAMIENTOS ESTABLECIDOS POR LA DIRECCIÓN DEL SEPEC.</t>
  </si>
  <si>
    <t>https://community.secop.gov.co/Public/Tendering/ContractNoticePhases/View?PPI=CO1.PPI.23079112&amp;isFromPublicArea=True&amp;isModal=False</t>
  </si>
  <si>
    <t>OPSP-VEX-0015-2023</t>
  </si>
  <si>
    <t>EDUARDO RAFAEL GARCIA RUBIO</t>
  </si>
  <si>
    <t>1) REVISAR, VERIFICAR Y VALIDAR LA INFORMACIÓN CONSIGNADA EN LAS BASES DE DATOS DE LONGITUDES REGISTRADOS EN EN LAS CUENCAS CONTINENTALES MONITOREADAS.
2) REPORTAR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
4) ENVIAR OPORTUNAMENTE, DE ACUERDO CON EL CALENDARIO DE REVISIÓN Y ANÁLISIS DE LOS DATOS, EL BALANCE DE LA REVISIÓN DE DATOS EFECTUADA, EMPLEANDO EL INSTRUMENTO ESTABLECIDO PARA TAL FIN.
5) ESTIMAR LAS RELACIONES BIOMÉTRICAS Y LOS INDICADORES BIOLÓGICOS QUE SEAN REQUERIDOS PARA EL ANÁLISIS DE LA INFORMACIÓN Y PARA LA PRESENTACIÓN DE RESULTADOS.
6) APOYAR LA ELABORACIÓN DE LOS INFORMES DE ACTIVIDADES DE DATOS BIOLÓGICO-PESQUEROS EN LAS CUENCAS ASIGNADAS, DE CONFORMIDAD CON LO ESTABLECIDO EN EL PLAN DE TRABAJO DEL CONTRATO.
7) PRESENTAR INFORMES MENSUALES DE ACTIVIDAD DE ACUERDO A LOS LINEAMIENTOS ESTABLECIDOS POR EL EQUIPO LIDER DEL SEPEC, EVIDENCIANDO LAS VERIFICACIONES, CORRECCIONES Y ANÁLISIS DE LOS DATOS.</t>
  </si>
  <si>
    <t>https://community.secop.gov.co/Public/Tendering/ContractNoticePhases/View?PPI=CO1.PPI.23079138&amp;isFromPublicArea=True&amp;isModal=False</t>
  </si>
  <si>
    <t>OPSP-VEX-0016-2023</t>
  </si>
  <si>
    <t>EMERSON SAMIR IBARRA GARCIA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</si>
  <si>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LOS LITORALES MARINOS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LLEVAR A CABO EL PROCESO DE DETECCIÓN DE VALORES ATÍPICOS DE LA VARIABLE DE RESULTADO REFERIDA AL PESO PROMEDIO DE LAS ESPECIES REGISTRADAS EN EL MONITOREO DE DESEMBARCOS DE PESCA ARTESANAL EN EL PAÍS.
5) PRESENTAR INFORMES MENSUALES DE ACTIVIDAD DE ACUERDO CON LOS LINEAMIENTOS ESTABLECIDOS POR EL EQUIPO LÍDER DEL SEPEC, EVIDENCIANDO EL CUMPLIMIENTO DE LAS ACTIVIDADES DE LA ORDEN DE SERVICIOS.</t>
  </si>
  <si>
    <t>https://community.secop.gov.co/Public/Tendering/ContractNoticePhases/View?PPI=CO1.PPI.23079146&amp;isFromPublicArea=True&amp;isModal=False</t>
  </si>
  <si>
    <t>OPSP-VEX-0017-2023</t>
  </si>
  <si>
    <t>FÉLIX DE JESÚS CUELLO</t>
  </si>
  <si>
    <t>1) REVISAR, VERIFICAR (DETECCIÓN DE DATOS ATÍPICOS) Y VALIDAR LA INFORMACIÓN CONSIGNADA EN LAS BASES DE DATOS SOBRE PESCA ARTESANAL DE CONSUMO REFERIDA AL ESFUERZO PESQUERO, DESEMBARCOS, VALOR MONETARIO, COSTOS DE FAENA, ACTIVIDAD Y DÍAS EFECTIVOS REGISTRADOS EN LA REGIÓN CENTRAL DEL CARIBE (DEPARTAMENTOS DEL MAGDALENA, ATLÁNTICO Y BOLIVAR),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CON LOS ESTIMADOS EN AÑOS ANTERIORES PARA CADA SITIO MONITOREADO EN LA REGIÓN CENTRAL DEL CARIBE COLOMBIANO, LA IDENTIFICACIÓN DE CASOS DE DIFERENCIAS NOTORIAS Y EL REGISTRO DE LAS CAUSAS DETECTADAS PARA ESAS DIFERENCIAS DE ACUERDO CON EL ANÁLISIS DE CONTEXTO. 6) APOYAR LA ELABORACIÓN DE LOS INFORMES DE ACTIVIDADES SOBRE PESCA DE CONSUMO EN EL LITORAL CARIBE, DE CONFORMIDAD CON LO ESTABLECIDO EN EL PLAN DE TRABAJO DEL CONTRATO.7) CAPACITAR A LOS NUEVOS ANALISTAS Y AYUDANTES VINCULADOS A LAS TAREAS DE ANÁLISIS DE DATOS DEL COMPONENTE DE PESCA DE CONSUMO DEL SEPEC.8) AUDITAR LAS REVISIONES EFECTUADAS POR EL ANALISTA ASIGNADO AL CARIBE NORTE (SECTOR DE LA GUAJIRA), HASTA COMPLETA SATISFACCIÓN DE LA LABOR DESARROLLADA POR ESTE ANALSITA.9) APOYAR EL PROCESO DE IMPLEMENTACIÓN DE NUEVOS MECANISMOS INFORMÁTICOS DE REVISIÓN DE LOS DATOS DEL COMPONENTE DE PESCAR ARTESANAL DE CONSUMO.10) PRESENTAR INFORMES MENSUALES DE ACTIVIDAD DE ACUERDO A LOS LINEAMIENTOS ESTABLECIDOS EN EL SEPEC, EVIDENCIANDO LAS VERIFICACIONES Y ANÁLISIS DE LOS DATOS.</t>
  </si>
  <si>
    <t>https://community.secop.gov.co/Public/Tendering/ContractNoticePhases/View?PPI=CO1.PPI.23079167&amp;isFromPublicArea=True&amp;isModal=False</t>
  </si>
  <si>
    <t>OPSP-VEX-0018-2023</t>
  </si>
  <si>
    <t>JESÚS EDUARDO CURIEL PÉREZ</t>
  </si>
  <si>
    <t>1)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CON LOS ESTIMADOS EN AÑOS ANTERIORES PARA CADA SITIO MONITOREADO EN EL SUR DEL LITORAL CARIBE, LA IDENTIFICACIÓN DE CASOS DE DIFERENCIAS NOTORIAS Y EL REGISTRO DE LAS CAUSAS DETECTADAS PARA ESAS DIFERENCIAS DE ACUERDO CON EL ANÁLISIS DE CONTEXTO.
6) PARTICIPAR EN CALIDAD DE INSTRUCTOR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EL SUR DEL LITORAL CARIBE,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</si>
  <si>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https://community.secop.gov.co/Public/Tendering/ContractNoticePhases/View?PPI=CO1.PPI.23079184&amp;isFromPublicArea=True&amp;isModal=False</t>
  </si>
  <si>
    <t>OPSP-VEX-0019-2023</t>
  </si>
  <si>
    <t>KARINA LIZETH TEJEDA RICO</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</si>
  <si>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LAS CUENCAS DE LOS RÍOS CAUCA, SINÚ Y ATRATO, LA IDENTIFICACIÓN DE CASOS DE DIFERENCIAS NOTORIAS Y EL REGISTRO DE LAS CAUSAS DETECTADAS PARA ESAS DIFERENCIAS DE ACUERDO CON EL ANÁLISIS DE CONTEXTO.
6) PARTICIPAR EN CALIDAD DE INSTRUCTORA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LAS CUENCAS DE LOS RÍOS CAUCA, SINÚ Y ATRATO,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</si>
  <si>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https://community.secop.gov.co/Public/Tendering/ContractNoticePhases/View?PPI=CO1.PPI.23079198&amp;isFromPublicArea=True&amp;isModal=False</t>
  </si>
  <si>
    <t>OPSP-VEX-0020-2023</t>
  </si>
  <si>
    <t>MARIA CAMILA SAMPER MEZA</t>
  </si>
  <si>
    <t>1.LLEVAR A CABO LAS ACTIVIDADES DE SOPORTE INFORMÁTICO DE LOS COMPONENTES DE PESCA ARTESANAL Y PECES ORNAMENTALES.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DE ACTIVIDADES DEL COMPONENTE DE SOPORTE INFORMÁTICO, DE CONFORMIDAD CON LO PREVISTO EN EL PLAN OPERATIVO DEL CONTRATO. 6. SERVIR DE APOYO AL PROCESO DE ARTICULACIÓN CON LA AUNAP PARA EFECTOS DE LA TRANSFERENCIA DEL DESARROLLO DEL SISTEMA. 7. PARTICIPAR EN LOS TALLERES DE SOCIALIZACIÓN DE OBLIGACIONES Y DE RESULTADOS DEL CONTRATO Y EN LOS TALLERES DE CAPACITACIÓN A TÉCNICOS DE LA AUNAP, DE CONFORMIDAD CON LA PROGRAMACIÓN ESTABLECIDA PARA EL EFECTO POR LA DIRECCIÓN DEL CONTRATO.  8. PRESENTAR INFORMES MENSUALES DE ACTIVIDAD DE ACUERDO CON LOS LINEAMIENTOS ESTABLECIDOS POR LA DIRECCIÓN DEL SEPEC</t>
  </si>
  <si>
    <t>https://community.secop.gov.co/Public/Tendering/ContractNoticePhases/View?PPI=CO1.PPI.23079505&amp;isFromPublicArea=True&amp;isModal=False</t>
  </si>
  <si>
    <t>OPSP-VEX-0021-2023</t>
  </si>
  <si>
    <t>MIRIAN ESTHER FERNANDEZ MOSQUERA</t>
  </si>
  <si>
    <t>1) VERIFICAR EL CUMPLIMIENTO DEL TAMAÑO DE LA MUESTRA EN LOS SITIOS DE MONITOREO DE DESEMBARCOS DE PESCA ARTESANAL DONDE SE EMPLEA LA METODOLOGÍA MUESTRAL Y ENVIAR EL RESULTADOS A LOS SUPERVISORES REGIONALES Y COORDINADOR DEL COMPONENTE DE PESCA ARTESANAL DE CONSUMO.
2) REVISAR LA COHERENCIA (VALIDACIÓN) ENTRE LOS FORMULARIOS DE CAPTURA Y ESFUERZO, ACTIVIDAD DIARIA Y DÍAS EFECTIVOS DE PESCA EN LOS SITIOS DE MONITOREO DE DESEMBARCOS DE PESCA ARTESANAL DONDE SE EMPLEA LA METODOLOGÍA MUESTRAL.
3) REVISAR LA COHERENCIA (VALIDACIÓN) ENTRE LOS FORMULARIOS DE VOLÚMENES DE PESCA, CONTROL DE ACOPIO E IMPUTACIÓN EN LOS SITIOS DE MONITOREO DE DESEMBARCOS DE PESCA ARTESANALS DONDE SE EMPLEA LA METODOLOGÍA CENSAL.
4) REALIZAR CUADROS Y FIGURAS CON EL BALANCE MENSUAL DE LA CANTIDAD DE VALIDACIONES EFECTUADAS Y DETECCIONES OBTENIDAS, TANTO EN LOS SITIOS DONDE SE EMPLEA LA METODOLOGÍA MUESTRAL, COMO CENSAL.
5) ELABORAR MATRICES MENSUALES CON LAS EXPLICACIONES, OBTENIDAS DE COLECTORES Y SUPERVISORES REGIONALES, DE LOS CASOS DE NO CUMPLIMIENTO DEL TAMAÑO DE LA MUESTRA EN LOS SITIOS DE MONITOREO DE DESEMBARCOS DE PESCA ARTESANAL DONDE SE EMPLEA LA METODOLOGÍA MUESTRAL Y DE LOS CASOS DE IMPUTACIÓN EN LOS SITIOS DE MONITOREO DONDE SE EMPLEA LA METODOLOGÍA CENSAL.
6) ENVIAR OPORTUNAMENTE, DE ACUERDO CON EL CALENDARIO DE REVISIÓN Y ANÁLISIS DE LOS DATOS, EL BALANCE DEL ANÁLISIS DE COMPLETITUD Y DE VALIDACIÓN DE DATOS EFECTUADA, EMPLEANDO EL INSTRUMENTO ESTABLECIDO PARA TAL FIN.
7) PRESENTAR INFORMES MENSUALES DE ACTIVIDAD DE ACUERDO CON LOS LINEAMIENTOS ESTABLECIDOS POR EL EQUIPO LÍDER DEL SEPEC, EVIDENCIANDO EL CUMPLIMIENTO DE LAS ACTIVIDADES DE LA ORDEN DE SERVICIOS.</t>
  </si>
  <si>
    <t>https://community.secop.gov.co/Public/Tendering/ContractNoticePhases/View?PPI=CO1.PPI.23079730&amp;isFromPublicArea=True&amp;isModal=False</t>
  </si>
  <si>
    <t>OPSP-VEX-0022-2023</t>
  </si>
  <si>
    <t>RICARDO ANDRES ROJAS MARTINEZ</t>
  </si>
  <si>
    <t>1. REALIZAR LA AUDITORIA DE LOS FORMULARIOS DE REGISTRO DE DESEMBARCO DE LAS PESQUERÍAS ARTESANALES CORRESPONDIENTES A LOS SITIOS MONITOREADOS EN LA CUENCA DE LA ORINOQUIA Y LA ZONA SUR DEL LITORAL CARIBE, INCLUYENDO URABÁ.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</si>
  <si>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https://community.secop.gov.co/Public/Tendering/ContractNoticePhases/View?PPI=CO1.PPI.23079760&amp;isFromPublicArea=True&amp;isModal=False</t>
  </si>
  <si>
    <t>OPSP-VEX-0023-2023</t>
  </si>
  <si>
    <t>SANDRA PAOLA TABARES BUELVAS</t>
  </si>
  <si>
    <t>1. REALIZAR LA AUDITORIA DE LOS FORMULARIOS DE REGISTRO DE DESEMBARCO DE LAS PESQUERÍAS ARTESANALES CORRESPONDIENTES A LOS SITIOS MONITOREADOS EN LA CUENCA DEL SINÚ Y LA ZONA SUR DEL LITORAL PACIFICO. 2. APOYAR LA ORGANIZACIÓN DE LOS FORMULARIOS DE CAMPO DE REGISTROS DE DESEMBARCO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</si>
  <si>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https://community.secop.gov.co/Public/Tendering/ContractNoticePhases/View?PPI=CO1.PPI.23079786&amp;isFromPublicArea=True&amp;isModal=False</t>
  </si>
  <si>
    <t>OPSP-VEX-0024-2023</t>
  </si>
  <si>
    <t>SHEYLA CAROLINA HERNANDEZ PRIETO</t>
  </si>
  <si>
    <t>1. REALIZAR LA AUDITORIA DE LOS FORMULARIOS DE REGISTRO DE DESEMBARCO DE LAS PESQUERÍAS ARTESANALES CORRESPONDIENTES A LOS SITIOS MONITOREADOS EN LA CUENCA AMAZONIA Y LA ZONA NORTE DEL LITORAL CARIBE.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</si>
  <si>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https://community.secop.gov.co/Public/Tendering/ContractNoticePhases/View?PPI=CO1.PPI.23079141&amp;isFromPublicArea=True&amp;isModal=False</t>
  </si>
  <si>
    <t>OPSP-VEX-0025-2023</t>
  </si>
  <si>
    <t>DIEGO FERNANDO CÓRDOBA ROJAS</t>
  </si>
  <si>
    <t xml:space="preserve">1)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75 DE 2023. 2) BRINDAR DIRECTRICES POR MEDIO VIRTUAL O PRESENCIAL AL PERSONAL DE CAMPO, SUPERVISORES Y ANALISTAS PARA LA IDENTIFICACIÓN TAXONÓMICA DE LAS ESPECIES COMERCIALES DEL LITORAL PACÍFICO DEL PAÍS. 3) A PARTIR DE LISTADOS REMITIDOS DESDE LA DIRECCIÓN DEL CONTRATO, REVISAR, VERIFICAR Y VALIDAR LA INFORMACIÓN TAXONÓMICA CONSIGNADA EN LAS BASES DE DATOS EN CADA UNO DE LOS SITIOS DE MUESTREO DEL LITORAL PACÍFICO DEL PAÍS. 4) ELABORAR UN REPORTE MENSUAL DE NOVEDADES TAXONÓMICAS REGISTRADAS EN EL PACÍFICO COLOMBIANO EN EL MARCO DE LOS DIFERENTES COMPONENTES DEL SEPEC, DURANTE LA VIGENCIA DEL CONTRATO.5)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EVIDENCIANDO LAS VERIFICACIONES, DIRECTRICES, CORRECCIONES, CAPACITACIONES Y DOCUMENTACIÓN DE LA INFORMACIÓN TAXONÓMICA EN EL LITORAL PACÍFICO DEL PAÍS. </t>
  </si>
  <si>
    <t>https://community.secop.gov.co/Public/Tendering/ContractNoticePhases/View?PPI=CO1.PPI.23079134&amp;isFromPublicArea=True&amp;isModal=False</t>
  </si>
  <si>
    <t>OPSP-VEX-0026-2023</t>
  </si>
  <si>
    <t>CARLOS ANDRÉS CUERVO CARVAJAL</t>
  </si>
  <si>
    <t>1) REALIZAR EL PROCESO DE TRAZABILIDAD DE LAS REVISIONES EFECTUADAS POR LOS ANALISTAS EN LAS BASES DE DATOS SOBRE PESCA DE CONSUMO, DATOS BIOLÓGICO-PESQUEROS Y DATOS DE COSTOS DE FAENA REGISTRADOS EN EL SEPEC PARA LAS CUENCAS DEL RÍO MAGDALENA, AMAZONÍA Y ORINOQUÍA.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LAS CUENCAS ASIGNADAS,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</si>
  <si>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https://community.secop.gov.co/Public/Tendering/ContractNoticePhases/View?PPI=CO1.PPI.23079124&amp;isFromPublicArea=True&amp;isModal=False</t>
  </si>
  <si>
    <t>OPSP-VEX-0027-2023</t>
  </si>
  <si>
    <t>DANIELA BARRIOS NAIZZIR</t>
  </si>
  <si>
    <t xml:space="preserve">1. CONSOLIDAR Y ARCHIVAR EN EL REPOSITORIO DE LA AUNAP LAS EVIDENCIAS TIPO REGISTRO DE LAS FASES DE RECOLECCIÓN, PROCESAMIENTO, ANÁLISIS Y DIFUSIÓN DE LAS TRES OPERACIONES ESTADÍSTICAS CERTIFICADAS POR EL DANE.  2. COORDINAR LA ACTUALIZACIÓN DE LA DOCUMENTACIÓN METODOLÓGICA DE LA OPERACIÓN ESTADÍSTICA "CAPTURA DESEMBARCADA POR VOLUMEN", DE ACUERDO CON LOS LINEAMIENTOS DE GENERACIÓN DE ESTADÍSTICAS DE LA AUNAP. 3. COORDINAR LA IMPLEMENTACIÓN DE LOS PLANES DE MEJORA RESULTANTES DE LAS AUDITORÍAS REALIZADAS A LAS OPERACIONES ESTADÍSTICAS DEL SEPEC. 4. REALIZAR UN DIAGNÓSTICO DEL ESTADO DE DESARROLLO DE LAS OPERACIONES ESTADÍSTICAS DEL SEPEC NO CERTIFICADAS, A LA LUZ DE LA NTC-PE 1000:2022. 5. ASESORAR A LOS COMPONENTES QUE AÚN NO TIENEN OPERACIONES ESTADÍSTICAS CERTIFICADAS, PARA EFECTOS DE AVANZAR EN EL PROCESO DE ELABORACIÓN DE LOS RESPECTIVOS DOCUMENTOS TIPO PARÁMETRO Y TIPO REGISTRO EXIGIDOS POR LA NTC -PE 1000:2020. 6. APOYAR LOGÍSTICAMENTE A LA DIRECCIÓN GENERAL DEL CONTRATO EN LO CONCERNIENTE A LA REALIZACIÓN DE LAS JORNADAS DE SOCIALIZACIÓN DE OBLIGACIONES Y RESULTADOS DEL SEPEC, ASÍ COMO LAS JORNADAS DE TRANSFERENCIA CON LA AUNAP, DE CONFORMIDAD CON LA PROGRAMACIÓN Y METODOLOGÍA ESTABLECIDA PARA EL EFECTO. 7. PRESENTAR INFORMES MENSUALES DE ACTIVIDAD DE ACUERDO CON LOS LINEAMIENTOS ESTABLECIDOS POR LA DIRECCIÓN DEL SEPEC. </t>
  </si>
  <si>
    <t>https://community.secop.gov.co/Public/Tendering/ContractNoticePhases/View?PPI=CO1.PPI.23072508&amp;isFromPublicArea=True&amp;isModal=False</t>
  </si>
  <si>
    <t>OPSP-VEX-0028-2023</t>
  </si>
  <si>
    <t>GIAN LUCA LO VERSO ALONSO</t>
  </si>
  <si>
    <t>1) COORDINAR EL MUESTREO DE LONGITUDES DE CAPTURA EFECTUADO EN LAS CUENCAS Y LITORALES DE PAÍS EN EL MARCO DEL SEPEC DURANTE EL PERÍODO DE VIGENCIA DEL CONTRATO AUNAP-UNIMAGDALENA 2023. 2) SUPERVISAR EL ESFUERZO DE MUESTREO DE LONGITUDES DESARROLLADO POR LOS COLECTORES DE CAMPO DEL COMPONENTE DE PESCA DE CONSUMO DEL SEPEC. 3) LLEVAR A CABO ACTIVIDADES DE CAPACITACIÓN EN TORNO AL REGISTRO DE LONGITUDES DE CAPTURA, DE CONFORMIDAD CON LA METODOLOGÍA ESTABLECIDA PARA EL EFECTO. 4) DEFINIR EL TIPO DE LONGITUD A MEDIR EN EL FORMULARIO DE FRECUENCIA DE TALLAS A AQUELLAS ESPECIES QUE AUN NO SE HAN REGISTRADO EN ESE FORMATO. 5) PARTICIPAR EN LAS ACTIVIDADES TENDIENTES A MEJORAR EL AJUSTE DE LA OPERACIÓN ESTADÍSTICA DEL COMPONENTE DE REGISTRO DE LONGITUDES DE CAPTURA A LA NORMA TÉCNICA DE CALIDAD DEL DANE QUE RIGE EL PROCESO DE CERTIFICACIÓN DE OPERACIONES ESTADÍSTICAS. 6). PARTICIPAR EN LOS TALLERES DE SOCIALIZACIÓN DE OBLIGACIONES Y DE RESULTADOS DEL CONTRATO Y EN LOS TALLERES DE CAPACITACIÓN A TÉCNICOS DE LA AUNAP, DE CONFORMIDAD CON LA PROGRAMACIÓN ESTABLECIDA PARA EL EFECTO POR LA DIRECCIÓN DEL CONTRATO.  7) PRESENTAR INFORMES MENSUALES DE ACTIVIDAD DE ACUERDO CON LOS LINEAMIENTOS ESTABLECIDOS POR EL EQUIPO LÍDER DEL SEPEC, EVIDENCIANDO EL CUMPLIMIENTO DE LAS ACTIVIDADES DE LA ORDEN DE SERVICIOS.</t>
  </si>
  <si>
    <t>https://community.secop.gov.co/Public/Tendering/ContractNoticePhases/View?PPI=CO1.PPI.23074052&amp;isFromPublicArea=True&amp;isModal=False</t>
  </si>
  <si>
    <t>OPSP-VEX-0029-2023</t>
  </si>
  <si>
    <t>GLORIA CECILIA DE LEÓN MARTÍNEZ</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</si>
  <si>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EN CURSO CON LOS ESTIMADOS EN AÑOS ANTERIORES PARA CADA SITIO MONITOREADO EN LA CUENCA DEL RIO MAGDALENA, LA IDENTIFICACIÓN DE CASOS DE DIFERENCIAS NOTORIAS Y EL REGISTRO DE LAS CAUSAS DETECTADAS PARA ESAS DIFERENCIAS DE ACUERDO CON EL ANÁLISIS DE CONTEXTO.6) APOYAR LA ELABORACIÓN DE LOS INFORMES DE ACTIVIDADES SOBRE PESCA DE CONSUMO EN LA CUENCA DEL RÍO MAGDALENA, DE CONFORMIDAD CON LO ESTABLECIDO EN EL PLAN DE TRABAJO DEL CONTRATO.7) PRESENTAR INFORMES MENSUALES DE ACTIVIDAD DE ACUERDO A LOS LINEAMIENTOS ESTABLECIDOS EN EL SEPEC, EVIDENCIANDO LAS VERIFICACIONES Y ANÁLISIS DE LOS DATOS.</t>
  </si>
  <si>
    <t>https://community.secop.gov.co/Public/Tendering/ContractNoticePhases/View?PPI=CO1.PPI.23074611&amp;isFromPublicArea=True&amp;isModal=False</t>
  </si>
  <si>
    <t>OPSP-VEX-0038-2023</t>
  </si>
  <si>
    <t>DAMARIS CABALLERO MAURY</t>
  </si>
  <si>
    <t>https://community.secop.gov.co/Public/Tendering/ContractNoticePhases/View?PPI=CO1.PPI.23078774&amp;isFromPublicArea=True&amp;isModal=False</t>
  </si>
  <si>
    <t>OPSP-VEX-0040-2023</t>
  </si>
  <si>
    <t>EIMMY ROSA GONZALEZ GUTIERREZ</t>
  </si>
  <si>
    <t>1) COORDINAR Y VERIFICAR CON PERIODICIDAD SEMANAL LAS ACTIVIDADES DE LOS TÉCNICOS DE CAMPO DEL COMPONENTE DE PESCA DE CONSUMO ARTESANAL DEL SEPEC EN LA ZONA NORTE DEL LITORAL CARIBE,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</si>
  <si>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https://community.secop.gov.co/Public/Tendering/ContractNoticePhases/View?PPI=CO1.PPI.23078796&amp;isFromPublicArea=True&amp;isModal=False</t>
  </si>
  <si>
    <t>OPSP-VEX-0045-2023</t>
  </si>
  <si>
    <t>GISELLA ROA NORIEGA</t>
  </si>
  <si>
    <t>1) REGISTRAR LOS DATOS DE TALLAS (LONGITUDES) DE LOS RECURSOS PESQUEROS PRIORIZADOS PARA SU RESPECTIVA ÁREA DE COBERTURA, DE CONFORMIDAD CON EL CRONOGRAMA DE MUESTREO ESTABLECIDO POR EL COORDINADOR DEL COMPONENTE DE REGISTRO DE TALLAS DEL SEPEC.  2) DILIGENCIAR, AUDITAR Y ENTREGAR TODA LA INFORMACIÓN EN LOS FORMATOS FÍSICOS ESTABLECIDOS PARA EL MONITOREO DE TALLAS. 3) DIGITAR LOS DATOS EN LOS FORMULARIOS ELECTRÓNICOS DE LA PLATAFORMA INFORMÁTICA DEL SEPEC, GARANTIZANDO QUE AMBAS INFORMACIONES, TANTO LA CONTENIDA EN EL FORMATO FÍSICO COMO EN LA PLATAFORMA INFORMÁTICA, SEAN COINCIDENTES. 4) DIGITAR EN LA PLATAFORMA INFORMÁTICA DEL SEPEC LOS DATOS DEL MONITOREO DE DESEMBARCOS ARTESANALES DE DOS SITIOS DE DESEMBARCO ESTABLECIDOS POR EL COORDINADOR DEL COMPONENTE DE PESCA DE CONSUMO DEL SEPEC. 5) SERVIR DE APOYO AL PROCESO ADMINISTRATIVO DEL PROYECTO EN LO CONCERNIENTE A LA LEGALIZACIÓN DE LAS SALIDAS DE CAMPO. 6) REALIZAR TAREAS DE ENTRENAMIENTO SOBRE REGISTRO DE DATOS DE DESEMBARCO Y DE TALLAS A OTROS COLECTORES DE CAMPO DEL SEPEC, CUANDO LO ESTIME PERTINENTE LA COORDINACIÓN DEL COMPONENTE DE PESCA DE CONSUMO DEL SEPEC.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</si>
  <si>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https://community.secop.gov.co/Public/Tendering/ContractNoticePhases/View?PPI=CO1.PPI.23079207&amp;isFromPublicArea=True&amp;isModal=False</t>
  </si>
  <si>
    <t>OPSP-VEX-0066-2023</t>
  </si>
  <si>
    <t>WILDER ALONSO CAMPO MENGUAL</t>
  </si>
  <si>
    <t>https://community.secop.gov.co/Public/Tendering/ContractNoticePhases/View?PPI=CO1.PPI.23077161&amp;isFromPublicArea=True&amp;isModal=False</t>
  </si>
  <si>
    <t>OPSP-VEX-0073-2023</t>
  </si>
  <si>
    <t>EDITH AUXILIADORA BELTRAN ORTEGA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</si>
  <si>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</si>
  <si>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https://community.secop.gov.co/Public/Tendering/ContractNoticePhases/View?PPI=CO1.PPI.23077566&amp;isFromPublicArea=True&amp;isModal=False</t>
  </si>
  <si>
    <t>OPSP-VEX-0080-2023</t>
  </si>
  <si>
    <t>LILIAN SAIDITH REZA GAVIRIA</t>
  </si>
  <si>
    <t>1) COORDINAR Y VERIFICAR CON PERIODICIDAD SEMANAL LAS ACTIVIDADES DE LOS TÉCNICOS DE CAMPO DEL COMPONENTE DE PESCA DE CONSUMO ARTESANAL DEL SEPEC EN LA ZONA DE URABÁ,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</si>
  <si>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https://community.secop.gov.co/Public/Tendering/ContractNoticePhases/View?PPI=CO1.PPI.23070814&amp;isFromPublicArea=True&amp;isModal=False</t>
  </si>
  <si>
    <t>OPSP-VEX-0089-2023</t>
  </si>
  <si>
    <t>ALFENIS ENILETH ARTEAGA DURANGO</t>
  </si>
  <si>
    <t>https://community.secop.gov.co/Public/Tendering/ContractNoticePhases/View?PPI=CO1.PPI.23079501&amp;isFromPublicArea=True&amp;isModal=False</t>
  </si>
  <si>
    <t>OPSP-VEX-0098-2023</t>
  </si>
  <si>
    <t>GERALDINE INES DORIA DURANGO</t>
  </si>
  <si>
    <t>https://community.secop.gov.co/Public/Tendering/ContractNoticePhases/View?PPI=CO1.PPI.23078443&amp;isFromPublicArea=True&amp;isModal=False</t>
  </si>
  <si>
    <t>OPSP-VEX-0120-2023</t>
  </si>
  <si>
    <t>WILLIAM ANDRÉS PÉREZ DORIA</t>
  </si>
  <si>
    <t>1) COORDINAR Y VERIFICAR CON PERIODICIDAD SEMANAL LAS ACTIVIDADES DE LOS TÉCNICOS DE CAMPO DEL COMPONENTE DE PESCA DE CONSUMO ARTESANAL DEL SEPEC EN LA ZONA DEL RÍO SAN JORGE Y EL BAJO CAUCA,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</si>
  <si>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https://community.secop.gov.co/Public/Tendering/ContractNoticePhases/View?PPI=CO1.PPI.23079877&amp;isFromPublicArea=True&amp;isModal=False</t>
  </si>
  <si>
    <t>OPSP-VEX-0122-2023</t>
  </si>
  <si>
    <t>YULY PAULINA SILVA MEZA</t>
  </si>
  <si>
    <t>https://community.secop.gov.co/Public/Tendering/ContractNoticePhases/View?PPI=CO1.PPI.23100547&amp;isFromPublicArea=True&amp;isModal=False</t>
  </si>
  <si>
    <t>OPSP-VEX-0137-2023</t>
  </si>
  <si>
    <t>LADY JOHANNA MEZA BOTINA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</si>
  <si>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REGISTRAR LOS DATOS DE TALLAS (LONGITUDES) DE LOS RECURSOS PESQUEROS PRIORIZADOS PARA SU RESPECTIVA ÁREA DE COBERTURA, DE CONFORMIDAD CON EL CRONOGRAMA DE MUESTREO ESTABLECIDO POR EL COORDINADOR DEL COMPONENTE DE REGISTRO DE TALLAS DEL SEPEC. 5) DIGITAR LOS DATOS EN LOS FORMULARIOS ELECTRÓNICOS DE LA PLATAFORMA INFORMÁTICA DEL SEPEC, GARANTIZANDO QUE AMBAS INFORMACIONES, TANTO LA CONTENIDA EN EL FORMATO FÍSICO COMO EN LA PLATAFORMA INFORMÁTICA, SEAN COINCIDENTES.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</si>
  <si>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https://community.secop.gov.co/Public/Tendering/ContractNoticePhases/View?PPI=CO1.PPI.23080196&amp;isFromPublicArea=True&amp;isModal=False</t>
  </si>
  <si>
    <t>OPSP-VEX-0141-2023</t>
  </si>
  <si>
    <t>LUIS FRANCISCO CUBILLOS ARIZA</t>
  </si>
  <si>
    <t>https://community.secop.gov.co/Public/Tendering/ContractNoticePhases/View?PPI=CO1.PPI.23080722&amp;isFromPublicArea=True&amp;isModal=False</t>
  </si>
  <si>
    <t>OPSP-VEX-0152-2023</t>
  </si>
  <si>
    <t>DANNY PAOLA HERNÁNDEZ HERRERA</t>
  </si>
  <si>
    <t>https://community.secop.gov.co/Public/Tendering/ContractNoticePhases/View?PPI=CO1.PPI.23080568&amp;isFromPublicArea=True&amp;isModal=False</t>
  </si>
  <si>
    <t>OPSP-VEX-0160-2023</t>
  </si>
  <si>
    <t>IVAN ANTONIO PÉREZ TAPIAS</t>
  </si>
  <si>
    <t>https://community.secop.gov.co/Public/Tendering/ContractNoticePhases/View?PPI=CO1.PPI.23072044&amp;isFromPublicArea=True&amp;isModal=False</t>
  </si>
  <si>
    <t>OPSP-VEX-0164-2023</t>
  </si>
  <si>
    <t>JESUS YOHAN VARGAS GONZALEZ</t>
  </si>
  <si>
    <t>https://community.secop.gov.co/Public/Tendering/ContractNoticePhases/View?PPI=CO1.PPI.23075960&amp;isFromPublicArea=True&amp;isModal=False</t>
  </si>
  <si>
    <t>OPSP-VEX-0167-2023</t>
  </si>
  <si>
    <t>LINDA PAOLA LÓPEZ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</si>
  <si>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</si>
  <si>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https://community.secop.gov.co/Public/Tendering/ContractNoticePhases/View?PPI=CO1.PPI.23078710&amp;isFromPublicArea=True&amp;isModal=False</t>
  </si>
  <si>
    <t>OPSP-VEX-0171-2023</t>
  </si>
  <si>
    <t>ROBERTO CARLOS GENES GONZÁLEZ</t>
  </si>
  <si>
    <t>1) COORDINAR Y VERIFICAR CON PERIODICIDAD SEMANAL LAS ACTIVIDADES DE LOS TÉCNICOS DE CAMPO DEL COMPONENTE DE PESCA DE CONSUMO ARTESANAL DEL SEPEC EN LA ZONA DEL BAJO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</si>
  <si>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https://community.secop.gov.co/Public/Tendering/ContractNoticePhases/View?PPI=CO1.PPI.23079712&amp;isFromPublicArea=True&amp;isModal=False</t>
  </si>
  <si>
    <t>OPSP-VEX-0181-2023</t>
  </si>
  <si>
    <t>JHASBLEYDI PALACIO VALDES</t>
  </si>
  <si>
    <t>1) COORDINAR Y VERIFICAR CON PERIODICIDAD SEMANAL LAS ACTIVIDADES DE LOS TÉCNICOS DE CAMPO DEL COMPONENTE DE PESCA DE CONSUMO ARTESANAL DEL SEPEC EN LA CUENCA DEL ATRATO,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</si>
  <si>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https://community.secop.gov.co/Public/Tendering/ContractNoticePhases/View?PPI=CO1.PPI.23078977&amp;isFromPublicArea=True&amp;isModal=False</t>
  </si>
  <si>
    <t>OPSP-VEX-0192-2023</t>
  </si>
  <si>
    <t>ANDRÉS RICARDO BARROSO GARCÉS</t>
  </si>
  <si>
    <t>https://community.secop.gov.co/Public/Tendering/ContractNoticePhases/View?PPI=CO1.PPI.23080877&amp;isFromPublicArea=True&amp;isModal=False</t>
  </si>
  <si>
    <t>OPSP-VEX-0194-2023</t>
  </si>
  <si>
    <t>AYRINI PATRICIA MORA RHENALS</t>
  </si>
  <si>
    <t>1) COORDINAR Y VERIFICAR CON PERIODICIDAD SEMANAL LAS ACTIVIDADES DE LOS TÉCNICOS DE CAMPO DEL COMPONENTE DE PESCA DE CONSUMO ARTESANAL DEL SEPEC EN LA ZONA SUR DEL LITORAL CARIBE SUR Y EN LA CUENCA DEL SINÚ,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</si>
  <si>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https://community.secop.gov.co/Public/Tendering/ContractNoticePhases/View?PPI=CO1.PPI.23081126&amp;isFromPublicArea=True&amp;isModal=False</t>
  </si>
  <si>
    <t>OPSP-VEX-0202-2023</t>
  </si>
  <si>
    <t>JAVIER JOAQUÍN NIEVES LÓPEZ</t>
  </si>
  <si>
    <t>https://community.secop.gov.co/Public/Tendering/ContractNoticePhases/View?PPI=CO1.PPI.23148085&amp;isFromPublicArea=True&amp;isModal=False</t>
  </si>
  <si>
    <t>OPSP-VEX-0204-2023</t>
  </si>
  <si>
    <t>JOSÉ DARÍO DONADO GARCÍA</t>
  </si>
  <si>
    <t>https://community.secop.gov.co/Public/Tendering/ContractNoticePhases/View?PPI=CO1.PPI.23148778&amp;isFromPublicArea=True&amp;isModal=False</t>
  </si>
  <si>
    <t>OPSP-VEX-0205-2023</t>
  </si>
  <si>
    <t>JUAN JOSÉ HERNÁNDEZ CORREA</t>
  </si>
  <si>
    <t>https://community.secop.gov.co/Public/Tendering/ContractNoticePhases/View?PPI=CO1.PPI.23149529&amp;isFromPublicArea=True&amp;isModal=False</t>
  </si>
  <si>
    <t>OPSP-VEX-0206-2023</t>
  </si>
  <si>
    <t>LUZ ELENA BEDOYA BRAVO</t>
  </si>
  <si>
    <t>https://community.secop.gov.co/Public/Tendering/ContractNoticePhases/View?PPI=CO1.PPI.23151644&amp;isFromPublicArea=True&amp;isModal=False</t>
  </si>
  <si>
    <t>OPSP-VEX-0209-2023</t>
  </si>
  <si>
    <t>MARTHA LUCÍA CONTRERAS ORTEGA</t>
  </si>
  <si>
    <t>https://community.secop.gov.co/Public/Tendering/ContractNoticePhases/View?PPI=CO1.PPI.23153893&amp;isFromPublicArea=True&amp;isModal=False</t>
  </si>
  <si>
    <t>OPSP-VEX-0215-2023</t>
  </si>
  <si>
    <t>   1084742661</t>
  </si>
  <si>
    <t>ANGIE MELISSA CAMACHO RODRÍGUEZ</t>
  </si>
  <si>
    <t>1) APOYAR AL COORDINADOR DEL COMPONENTE DE ACUICULTURA EN LAS LABORES TÉCNICAS Y LOGÍSTICAS REQUERIDAS PARA EL DESARROLLO DE LAS ACTIVIDADES DE CAMPO DEL COMPONENTE, INCLUYENDO LA CONTRATACIÓN DE LOS COLECTORES DE DATOS. 2) SUPERVISAR EL CUMPLIMIENTO DEL PLAN DE ACTIVIDADES DISEÑADO MENSUALMENTE POR EL COORDINADOR DEL COMPONENTE DE ACUICULTURA. 3) APOYAR EL SEGUIMIENTO QUE SE REALICE A LA(S) CORRECCIÓN(ES) O VERIFICACIÓN DE DATOS POR PARTE DE LOS COLECTORES DEL COMPONENTE DE ACUICULTURA, HASTA COMPLETA SATISFACCIÓN. 4) ORGANIZAR, ESCANEAR Y ARCHIVAR LOS FORMULARIOS EMPLEADOS POR LOS COLECTORES DEL COMPONENTE DE ACUICULTURA DURANTE EL OPERATIVO DE CAMPO. 5) PRESENTAR INFORME MENSUAL DE ACTIVIDADES DE ACUERDO CON LOS LINEAMIENTOS QUE SE ESTIPULEN PARA EL EFECTO.</t>
  </si>
  <si>
    <t>https://community.secop.gov.co/Public/Tendering/ContractNoticePhases/View?PPI=CO1.PPI.23152885&amp;isFromPublicArea=True&amp;isModal=False</t>
  </si>
  <si>
    <t>OPSP-VEX-0216-2023</t>
  </si>
  <si>
    <t>BRAYAN ENRIQUE ROCA LANAO</t>
  </si>
  <si>
    <t>1) COORDINAR LA ENCUESTA ESTRUCTURAL DE UNIDADES DE PRODUCCIÓN DE ACUICULTURA, INCLUYENDO LOS PROCESOS DE RECOLECCIÓN, SISTEMATIZACIÓN, PROCESAMIENTO, ANÁLISIS Y ESCANEADO DE LA INFORMACIÓN GENERADA POR LA MISMA. 2) COORDINAR LOS ANÁLISIS DE COHERENCIA Y COMPARABILIDAD DE LOS DATOS DE ACUICULTURA SISTEMATIZADOS EN LA PLATAFORMA INFORMÁTICA DEL SEPEC. 3) VERIFICAR MEDIANTE EL USO DE HERRAMIENTAS DE SISTEMA DE INFORMACIÓN GEOGRÁFICA-SIG LA CALIDAD DE LA INFORMACIÓN DE ACUICULTURA INGRESADA EN LA PLATAFORMA INFORMÁTICA DEL SEPEC. 4) INTERACTUAR CON EL EQUIPO DE SOPORTE INFORMÁTICO PARA EFECTOS DE ACTUALIZAR LAS RUTINAS DE CAPTACIÓN, PROCESAMIENTO O CONSULTA DE LA INFORMACIÓN REFERIDA AL COMPONENTE DE ACUICULTURA. 5) COORDINAR LA ELABORACIÓN DE LOS INFORMES DE ACTIVIDADES Y DEMÁS DOCUMENTOS RELATIVOS AL COMPONENTE DE ACUICULTURA. 6) PARTICIPAR EN LOS TALLERES DE SOCIALIZACIÓN DE OBLIGACIONES Y DE RESULTADOS DEL CONTRATO SUSCRITO ENTRE LA AUNAP Y LA UNIVERSIDAD DEL MAGDALENA, DE CONFORMIDAD CON LA PROGRAMACIÓN ESTABLECIDA PARA EL EFECTO POR LA DIRECCIÓN DEL CONTRATO. 7) PARTICIPAR EN LAS ACTIVIDADES TENDIENTES A MEJORAR EL AJUSTE DE LAS OPERACIONES ESTADÍSTICAS DEL COMPONENTE DE ACUICULTURA A LA NORMA TÉCNICA DE CALIDAD DEL DANE QUE RIGE EL PROCESO DE CERTIFICACIÓN DE ESTAS OPERACIONES. 8) PRESENTAR INFORME MENSUAL DE ACTIVIDADES DE ACUERDO CON LOS LINEAMIENTOS QUE SE ESTIPULEN PARA EL EFECTO.</t>
  </si>
  <si>
    <t>https://community.secop.gov.co/Public/Tendering/ContractNoticePhases/View?PPI=CO1.PPI.23153316&amp;isFromPublicArea=True&amp;isModal=False</t>
  </si>
  <si>
    <t>OPSP-VEX-0217-2023</t>
  </si>
  <si>
    <t>RAFAEL ORLANDO MENDOZA URECHE</t>
  </si>
  <si>
    <t>1) REVISAR, VERIFICAR (DETECCIÓN DE DATOS ATÍPICOS) Y VALIDAR LA INFORMACIÓN CONSIGNADA EN LAS BASES DE DATOS DE LA ENCUESTA ESTRUCTURAL DE UNIDADES DE PRODUCCIÓN DE ACUICULTURA (UPA) EFECTUADA EN EL MARCO DEL SEPEC DURANTE EL AÑO 2023, A FIN DE SUPERVISAR Y VERIFICAR LA CALIDAD DE LA INFORMACIÓN DE ACUICULTURA SISTEMATIZADA EN LA PLATAFORMA INFORMÁTICA DEL SEPEC. 2) APOYAR LAS LABORES TÉCNICAS Y LOGÍSTICAS REQUERIDAS PARA EL DESARROLLO DE LAS ACTIVIDADES DE CAMPO DEL COMPONENTE DE ACUICULTURA. 3) PARTICIPAR EN LA SUPERVISIÓN DEL TRABAJO DE CAMPO DEL COMPONENTE DE ACUICULTURA, CUANDO EL COORDINADOR DEL MISMO ASÍ LO REQUIERA. 4) HACER SEGUIMIENTO A LOS PROCESOS DE SISTEMATIZACIÓN DE INFORMACIÓN, CORRECCIÓN O VERIFICACIÓN DE DATOS POR PARTE DE LOS COLECTORES DEL COMPONENTE DE ACUICULTURA, HASTA COMPLETA SATISFACCIÓN.  5) PARTICIPAR EN LA ELABORACIÓN DE LOS INFORMES DE ACTIVIDADES Y DEMÁS DOCUMENTOS RELATIVOS AL COMPONENTE DE ACUICULTURA. 6) PRESENTAR INFORME MENSUAL DE ACTIVIDADES DE ACUERDO CON LOS LINEAMIENTOS QUE SE ESTIPULEN PARA EL EFECTO.</t>
  </si>
  <si>
    <t>https://community.secop.gov.co/Public/Tendering/ContractNoticePhases/View?PPI=CO1.PPI.23153338&amp;isFromPublicArea=True&amp;isModal=False</t>
  </si>
  <si>
    <t>OPSP-VEX-0218-2023</t>
  </si>
  <si>
    <t>ANA SOFÍA BALLESTEROS MADERA</t>
  </si>
  <si>
    <t>https://community.secop.gov.co/Public/Tendering/ContractNoticePhases/View?PPI=CO1.PPI.23153905&amp;isFromPublicArea=True&amp;isModal=False</t>
  </si>
  <si>
    <t>OPSP-VEX-0219-2023</t>
  </si>
  <si>
    <t>HEIDELMANN GRAJALES FLOREZ</t>
  </si>
  <si>
    <t>https://community.secop.gov.co/Public/Tendering/ContractNoticePhases/View?PPI=CO1.PPI.23157234&amp;isFromPublicArea=True&amp;isModal=False</t>
  </si>
  <si>
    <t>OPSP-VEX-0222-2023</t>
  </si>
  <si>
    <t>LORENA PATRICIA ORTEGA VILLOTA</t>
  </si>
  <si>
    <t>https://community.secop.gov.co/Public/Tendering/ContractNoticePhases/View?PPI=CO1.PPI.23159006&amp;isFromPublicArea=True&amp;isModal=False</t>
  </si>
  <si>
    <t>OPSP-VEX-0224-2023</t>
  </si>
  <si>
    <t>NILSA DE LA ENCARNACIÓN MONTENEGRO</t>
  </si>
  <si>
    <t>https://community.secop.gov.co/Public/Tendering/ContractNoticePhases/View?PPI=CO1.PPI.23159095&amp;isFromPublicArea=True&amp;isModal=False</t>
  </si>
  <si>
    <t>OPSP-VEX-0225-2023</t>
  </si>
  <si>
    <t>RAQUEL CECILIA DELGADO RAMOS</t>
  </si>
  <si>
    <t>1) SUPERVISAR EL CUMPLIMIENTO DEL CRONOGRAMA MENSUAL DE MONITOREO DEL COMPONENTE DE COMERCIALIZACIÓN, POR PARTE DE LOS RESPECTIVOS COLECTORES DE CAMPO. 2) REALIZAR LOS DESPLAZAMIENTOS O VISITAS DE SUPERVISIÓN A LOS SITIOS DE TOMA DE INFORMACIÓN, CUANDO ASÍ LO PROGRAME LA COORDINACIÓN DEL COMPONENTE. 3) VELAR POR LA CALIDAD DE LA INFORMACIÓN COLECTADA EN LOS SITIOS DE TOMA DE INFORMACIÓN, HACIENDO REVISIONES PERIÓDICAS DE LAS BASES DE DATOS DE INFORMACIÓN. EN CASO QUE SE DETECTE ALGÚN DATO ATÍPICO O EXTRAÑO DEBERÁ HACER LA RESPECTIVA OBSERVACIÓN AL COLECTOR DE CAMPO Y VERIFICAR QUE SE HAGA LA CORRESPONDIENTE CORRECCIÓN, CUANDO ELLO SEA PERTINENTE. 4) HACER SEGUIMIENTO AL PROCESO DE CORRECCIÓN O VERIFICACIÓN DE TALES DATOS POR PARTE DEL COLECTOR RESPECTIVO, HASTA COMPLETA SATISFACCIÓN. 5) PARTICIPAR EN LAS CAPACITACIONES REFERIDAS AL COMPONENTE, CUANDO ASÍ SE REQUIERA. 6) PRESENTAR INFORME MENSUAL, EVIDENCIANDO EL CUMPLIMIENTO DE LAS ACTIVIDADES EFECTUADAS, DE CONFORMIDAD CON LOS LINEAMIENTOS ESTABLECIDOS POR LA COORDINACIÓN DEL COMPONENTE.</t>
  </si>
  <si>
    <t>https://community.secop.gov.co/Public/Tendering/ContractNoticePhases/View?PPI=CO1.PPI.23159950&amp;isFromPublicArea=True&amp;isModal=False</t>
  </si>
  <si>
    <t>OPSP-VEX-0226-2023</t>
  </si>
  <si>
    <t>VICTORIA EUGENIA CETINA MONTES</t>
  </si>
  <si>
    <t xml:space="preserve">1) RECOLECTAR, DE ACUERDO CON EL MECANISMO DE REGISTRO DE LA INFORMACIÓN Y EL FORMATO ESTIPULADO POR EL EQUIPO TÉCNICO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SERVICIO ESTADÍSTICO PESQUERO DE COLOMBIA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</si>
  <si>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https://community.secop.gov.co/Public/Tendering/ContractNoticePhases/View?PPI=CO1.PPI.23160252&amp;isFromPublicArea=True&amp;isModal=False</t>
  </si>
  <si>
    <t>OPSP-VEX-0233-2023</t>
  </si>
  <si>
    <t>ELIZABETH GONGORA POVEDA</t>
  </si>
  <si>
    <t>https://community.secop.gov.co/Public/Tendering/ContractNoticePhases/View?PPI=CO1.PPI.23162369&amp;isFromPublicArea=True&amp;isModal=False</t>
  </si>
  <si>
    <t>OPSP-VEX-0234-2023</t>
  </si>
  <si>
    <t>JAVIER FERNANDO RAMÍREZ RAMÍREZ</t>
  </si>
  <si>
    <t>https://community.secop.gov.co/Public/Tendering/ContractNoticePhases/View?PPI=CO1.PPI.23163709&amp;isFromPublicArea=True&amp;isModal=False</t>
  </si>
  <si>
    <t>OPSP-VEX-0278-2023</t>
  </si>
  <si>
    <t>YESENIA SUARES SAAVEDRA</t>
  </si>
  <si>
    <t>1) COORDINAR Y VERIFICAR CON PERIODICIDAD SEMANAL LAS ACTIVIDADES DE LOS TÉCNICOS DE CAMPO DEL COMPONENTE DE PESCA DE CONSUMO ARTESANAL DEL SEPEC EN LA ZONA ASIGNADA POR LA COORDINACIÓN DEL COMPONENTE,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</si>
  <si>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https://community.secop.gov.co/Public/Tendering/ContractNoticePhases/View?PPI=CO1.PPI.23155265&amp;isFromPublicArea=True&amp;isModal=False</t>
  </si>
  <si>
    <t>OPSP-VEX-0283-2023</t>
  </si>
  <si>
    <t>JADER SAMIR CORREA MARTINEZ</t>
  </si>
  <si>
    <t>https://community.secop.gov.co/Public/Tendering/ContractNoticePhases/View?PPI=CO1.PPI.23160043&amp;isFromPublicArea=True&amp;isModal=False</t>
  </si>
  <si>
    <t>OPSP-VEX-0284-2023</t>
  </si>
  <si>
    <t>JESUS RAMON MORÒN DIAZ</t>
  </si>
  <si>
    <t>https://community.secop.gov.co/Public/Tendering/ContractNoticePhases/View?PPI=CO1.PPI.23160508&amp;isFromPublicArea=True&amp;isModal=False</t>
  </si>
  <si>
    <t>OPSP-VEX-0288-2023</t>
  </si>
  <si>
    <t>LIGIA MERCEDES CARRILLO VILLAR</t>
  </si>
  <si>
    <t>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TAMBIÉN EL VALOR ECONÓMICO DEL DESEMBARCO Y COSTOS DE LA FAENA DE UNIDADES ECONÓMICAS DE PESCA INDIVIDUALES, CON LA PERIODICIDAD Y EL ESFUERZO DE MUESTREO SEÑALADOS POR EL COORDINADOR DEL COMPONENTE DE PESCA DE CONSUMO DEL SEPEC. 4) RECOLECTAR LAS ESTADÍSTICAS RELATIVAS A LA PRODUCCIÓN DE PECES ORNAMENTALES Y A LA COMERCIALIZACIÓN DEL RECURSO PESQUERO PROVENIENTE TANTO DE LA PESCA EXTRACTIVA COMO DE LA ACUICULTURA (DE ORIGEN NACIONAL O IMPORTADO) EN AMBOS CASOS, LOS DATOS DEBERÁN SER REGISTRADOS DE ACUERDO CON EL MECANISMO ESTABLECIDO, CONFORME CON EL CRONOGRAMA Y LOS SITIOS ASIGNADOS POR LOS COORDINADORES DE CADA COMPONENTE PARA EL MONITOREO. 5) RECUPERAR LAS ESTADÍSTICAS RELATIVAS A LA PRODUCCIÓN DE PECES ORNAMENTALES DURANTE EL MES DE ENERO DE 2023 EN CADA UNO DE LOS CENTROS DE ACOPIO DEL MUNICIPIO. 6) REALIZAR REGISTROS FOTOGRÁFICOS DE LAS ESPECIES DE PECES ORNAMENTALES RESEÑADAS EN CADA REGISTRO DE ACOPIO, Y ENVIARLAS AL TAXÓNOMO PARA LA CORRESPONDIENTE IDENTIFICACIÓN O CONFIRMACIÓN DE DICHAS ESPECIES. 7) DILIGENCIAR, AUDITAR Y ENTREGAR TODA LA INFORMACIÓN EN LOS FORMATOS FÍSICOS ESTABLECIDOS PARA EL MONITOREO Y DIGITAR LOS DATOS EN LOS FORMULARIOS ELECTRÓNICOS DE LA PLATAFORMA INFORMÁTICA DEL SEPEC, VERIFICANDO QUE AMBAS INFORMACIONES, TANTO LA CONTENIDA EN EL FORMATO FÍSICO COMO EN LA PLATAFORMA INFORMÁTICA, SEAN COINCIDENTE. 8) ATENDER Y SOLUCIONAR SATISFACTORIAMENTE LAS SOLICITUDES DE REVISIÓN Y/O CONFIRMACIÓN DE INFORMACIÓN CONSIGNADA EN LOS REGISTROS QUE PUEDEN SER EFECTUADAS POR EL EQUIPO TÉCNICO DE CADA COMPONENTE (COORDINADOR, SUPERVISOR O EL TAXÓNOMO). 9) SERVIR DE APOYO AL PROCESO ADMINISTRATIVO DEL PROYECTO EN LO CONCERNIENTE A LA LEGALIZACIÓN DE LAS SALIDAS DE CAMPO. 10) PRESENTAR INFORMES MENSUALES DE ACTIVIDAD DE ACUERDO CON LOS LINEAMIENTOS ESTABLECIDOS POR LOS RESPECTIVOS COORDINADORES DE LOS COMPONENTES DE PESCA DE CONSUMO, COMERCIALIZACIÓN Y ORNAMENTALES, EVIDENCIANDO LA RESPUESTA Y EL CUMPLIMIENTO DE LAS VERIFICACIONES Y CORRECCIONES DE LOS DATOS REGISTRADOS QUE LE HAYAN SIDO SOLICITADAS POR EL EQUIPO TÉCNICO DEL SEPEC. 11) GARANTIZAR EL USO ADECUADO Y PARA LOS FINES ESTABLECIDOS TANTO DE LAS DOTACIONES INSTITUCIONALES, COMO DE LAS HERRAMIENTAS DE TRABAJO ENTREGADAS PARA LA TOMA DE INFORMACIÓN BIOLÓGICA PESQUERA (DINAMÓMETRO)</t>
  </si>
  <si>
    <t>https://community.secop.gov.co/Public/Tendering/ContractNoticePhases/View?PPI=CO1.PPI.23161246&amp;isFromPublicArea=True&amp;isModal=False</t>
  </si>
  <si>
    <t>OPSP-VEX-0289-2023</t>
  </si>
  <si>
    <t>MARGARITA ROSA RANGEL DURÁN</t>
  </si>
  <si>
    <t>1) LLEVAR A CABO LAS TAREAS DE COORDINACIÓN DEL COMPONENTE DE COMERCIALIZACIÓN DEL CONTRATO SEPEC  2023 (AUNAP-UNIMAGDALENA). 2) ESTRUCTURAR LA PROGRAMACIÓN MENSUAL DE DICHO COMPONENTE. 3) LLEVAR A CABO LA VALIDACIÓN DE LAS BASES DE DATOS Y TABLAS DE REFERENCIA DEL COMPONENTE DE COMERCIALIZACIÓN. 4) COORDINAR EL PROCESO DE REVISIÓN DE LA INFORMACIÓN INGRESADA A LA PLATAFORMA Y LA VALIDACIÓN DE LOS INFORMES MENSUALES DE ACTIVIDADES DE LOS TÉCNICOS ASIGNADOS AL COMPONENTE. 5) COORDINAR LA ELABORACIÓN DE LOS INFORMES DE ACTIVIDADES. 6) PARTICIPAR EN LAS REUNIONES TÉCNICAS REQUERIDAS PARA DISEÑAR LOS AJUSTES DEL SISTEMA DE INFORMACIÓN DEL SEPEC REFERIDOS AL COMPONENTE DE COMERCIALIZACIÓN (CAMBIOS QUE SE REQUIERAN EN LOS FORMATOS DE REGISTRO DE DATOS Y/O EN LOS REPORTES DEL COMPONENTE DE COMERCIALIZACIÓN) 7) COORDINAR LAS TAREAS DE SISTEMATIZACIÓN Y ESCANEADO DE LOS FORMATOS DEL COMPONENTE DE COMERCIALIZACIÓN DEL CONTRATO. 8) PARTICIPAR EN LAS CAPACITACIONES REFERIDAS AL COMPONENTE, CUANDO ASÍ SE REQUIERA. 9) PARTICIPAR EN LAS ACTIVIDADES TENDIENTES A MEJORAR EL AJUSTE DE LA OPERACIÓN ESTADÍSTICA DEL COMPONENTE DE COMERCIALIZACIÓN A LA NORMA TÉCNICA DE CALIDAD DEL DANE QUE RIGE EL PROCESO DE CERTIFICACIÓN DE OPERACIONES ESTADÍSTICAS. 10). PARTICIPAR EN LOS TALLERES DE SOCIALIZACIÓN DE OBLIGACIONES Y DE RESULTADOS DEL CONTRATO Y EN LOS TALLERES DE CAPACITACIÓN A TÉCNICOS DE LA AUNAP, DE CONFORMIDAD CON LA PROGRAMACIÓN ESTABLECIDA PARA EL EFECTO POR LA DIRECCIÓN DEL CONTRATO.  11) PRESENTAR INFORMES MENSUALES DE ACTIVIDAD, EVIDENCIANDO EL CUMPLIMIENTO DE LAS ACTIVIDADES DE LA ORDEN DE SERVICIOS.</t>
  </si>
  <si>
    <t>https://community.secop.gov.co/Public/Tendering/ContractNoticePhases/View?PPI=CO1.PPI.23158483&amp;isFromPublicArea=True&amp;isModal=False</t>
  </si>
  <si>
    <t>OPSP-VEX-0293-2023</t>
  </si>
  <si>
    <t>YULY ALEXANDRA CONTRERAS BARBOSA</t>
  </si>
  <si>
    <t>https://community.secop.gov.co/Public/Tendering/ContractNoticePhases/View?PPI=CO1.PPI.23160866&amp;isFromPublicArea=True&amp;isModal=False</t>
  </si>
  <si>
    <t>OPSP-VEX-0298-2023</t>
  </si>
  <si>
    <t>JENIFFER MOSQUERA VALOIS</t>
  </si>
  <si>
    <t>https://community.secop.gov.co/Public/Tendering/ContractNoticePhases/View?PPI=CO1.PPI.23157585&amp;isFromPublicArea=True&amp;isModal=False</t>
  </si>
  <si>
    <t>OPSP-VEX-0304-2023</t>
  </si>
  <si>
    <t>OVIDIO BRAN BONILLA</t>
  </si>
  <si>
    <t>1) COORDINAR Y VERIFICAR CON PERIODICIDAD SEMANAL LAS ACTIVIDADES DE LOS TÉCNICOS DE CAMPO DEL COMPONENTE DE PESCA DE CONSUMO ARTESANAL DEL SEPEC EN LA ZONA DEL MEDIO Y ALTO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</si>
  <si>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https://community.secop.gov.co/Public/Tendering/ContractNoticePhases/View?PPI=CO1.PPI.23161230&amp;isFromPublicArea=True&amp;isModal=False</t>
  </si>
  <si>
    <t>OPSP-VEX-0310-2023</t>
  </si>
  <si>
    <t>LUIS ORLANDO DUARTE CASARES</t>
  </si>
  <si>
    <t>1) COORDINAR LA REVISIÓN, EL PROCESAMIENTO Y EL ANÁLISIS DE LA INFORMACIÓN INHERENTE AL MONITOREO DE PESCA ARTESANAL EN EL SEPEC.2) ELABORAR LA PROGRAMACIÓN DEL PROCESO DE REVISIÓN, CORRECCIÓN, VALIDACIÓN Y PUBLICACIÓN DE LA INFORMACIÓN DE PESCA ARTESANAL.3) VERIFICAR EL CUMPLIMIENTO DE LA COBERTURA DEL MONITOREO DE LOS DESEMBARCOS PESQUEROS ARTESANALES, TANTO EN LOS SITIOS DONDE SE EMPLEAR LA METODOLOGÍA MUESTRAL, COMO EN AQUELLOS DONDE SE EMPLEA LA METODOLOGÍA CENSAL.4) REALIZAR EL BALANCE MENSUAL DE LA INFORMACIÓN REGISTRADA DE PESCA ARTESANAL, ASÍ COMO DEL PROCESO DE REVISIÓN DE DICHA INFORMACIÓN.5) SOLICITAR AL GRUPO DE SOPORTE INFORMÁTICO EL PROCESAMIENTO DE LA INFORMACIÓN PARA OBTENER LOS DESEMBARCOS PESQUEROS ARTESANALES MENSUALES UNA VEZ SE VERIFICA EL CIERRE DE LA REVISIÓN Y DEPURACIÓN DE LOS DATOS.6) EFECTUAR LOS ANÁLISIS DE COHERENCIA O COMPARABILIDAD CON RESPECTO A LAS SERIES HISTÓRICAS DE LOS RESULTADOS DE LOS DESEMBARCOS MENSUALES DE PESCA ARTESANAL EN LOS SITIOS DE LAS CUENCAS CONTINENTALES Y LITORALES MARINOS MONITOREADOS, EN EL MARCO DEL SEPEC.7) PRESENTAR ANTE EL COMITÉ DE SUPERVISIÓN DEL SEPEC EL BALANCE DEL MONITOREO, LA SÍNTESIS DE LOS ANÁLISIS Y LAS CIFRAS DE DESEMBARCOS MENSUALES A SER PUBLICADAS EN LOS CUADROS DE RESULTADOS DE PESCA ARTESANAL.8) VERIFICAR LA DOCUMENTACIÓN DE LOS ANÁLISIS DE CONTEXTO, COHERENCIA, COMPARABILIDAD Y EL CUMPLIMIENTO DE LA COBERTURA EN EL MONITOREO DE LOS DESEMBARCOS PESQUEROS ARTESANALES LLEVADO A CABO EN SITIOS DE LAS CUENCAS CONTINENTALES Y LITORALES MARINOS DEL PAÍS.9)  ASESORAR AL GRUPO DE SOPORTE INFORMÁTICO DEL SEPEC EN EL PROCESAMIENTO DE LA INFORMACIÓN Y EN EL DESARROLLO DE INFORMES DE RESULTADOS EN LA PLATAFORMA INFORMÁTICA CORRESPONDIENTES A LA PESCA ARTESANAL.10) ASESORAR EL PROCESO DE GENERACIÓN DE COMPETENCIAS EN COMUNIDADES PESQUERAS ARTESANALES PARA EL REGISTRO DE INFORMACIÓN DE DESEMBARCOS Y DE LONGITUDES DE CAPTURA, MEDIANTE LA REVISIÓN Y AJUSTE DE LOS MATERIALES USADOS EN LOS TALLERES DE CAPACITACIÓN A INTEGRANTES DE LAS COMUNIDADES PESQUERAS Y LA RESPECTIVA INDUCCIÓN A LOS INSTRUCTORES QUE IMPARTIRÁN ESTOS TALLERES. 11) COORDINAR LA ELABORACIÓN DE LOS INFORMES DE ACTIVIDADES INFORMATIVOS DEL ESFUERZO DE MONITOREO LLEVADO A CABO A NIVEL MENSUAL PARA LA COLECTA DE LAS ESTADÍSTICAS DE DESEMBARCO Y DE LONGITUDES DE CAPTURA DE LAS ESPECIES. 12) ASESORAR A LA COORDINACIÓN DEL COMPONENTE DE ENCUESTA ESTRUCTURAL DE PESCA ARTESANAL, PARA EFECTOS DEL DISEÑO DE LA MISMA Y EL PROCESAMIENTO Y ANÁLISIS DE LA INFORMACIÓN RESULTANTE.   13) PRESENTAR INFORMES MENSUALES DE ACTIVIDAD, DE CONFORMIDAD CON LAS DIRECTRICES ESTABLECIDASA POR LA DIRECCOÓN DEL PROYECTO</t>
  </si>
  <si>
    <t>https://community.secop.gov.co/Public/Tendering/ContractNoticePhases/View?PPI=CO1.PPI.23162867&amp;isFromPublicArea=True&amp;isModal=False</t>
  </si>
  <si>
    <t>OPSP-VEX-0311-2023</t>
  </si>
  <si>
    <t>OLGA CECILIA VARGAS CHARRIS</t>
  </si>
  <si>
    <t>1)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LOS LITORALES Y CUENCAS ASIGNADOS,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</si>
  <si>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https://community.secop.gov.co/Public/Tendering/ContractNoticePhases/View?PPI=CO1.PPI.23162885&amp;isFromPublicArea=True&amp;isModal=False</t>
  </si>
  <si>
    <t>OPSP-VEX-0313-2023</t>
  </si>
  <si>
    <t>CIRO ALFONSO POLO PALLARES</t>
  </si>
  <si>
    <t>1. LLEVAR A CABO LAS ACTIVIDADES DE SOPORTE INFORMÁTICO DE LOS COMPONENTES DE ACUICULTURA, COMERCIALIZACIÓN Y LONGITUDES DE CAPTURA (TALLAS), EN EL MARCO DEL CONTRATO INTERADMINISTRATIVO SUSCRITO ENTRE LA AUTORIDAD NACIONAL DE ACUICULTURA Y PESCA AUNAP Y LA UNIVERSIDAD DEL MAGDALENA (PROYECTO SEPEC 2023).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TÉCNICOS Y DE ACTIVIDADES DEL COMPONENTE DE SOPORTE INFORMÁTICO, DE CONFORMIDAD CON LO PREVISTO EN EL PLAN OPERATIVO DEL CONTRATO. 6. SERVIR DE APOYO AL PROCESO DE ARTICULACIÓN CON LA AUNAP PARA EFECTOS DE LA TRANSFERENCIA DEL DESARROLLO DEL SISTEMA. 7. PRESENTAR INFORMES MENSUALES DE ACTIVIDAD DE ACUERDO CON LOS LINEAMIENTOS ESTABLECIDOS POR LA DIRECCIÓN DEL SEPEC.</t>
  </si>
  <si>
    <t>https://community.secop.gov.co/Public/Tendering/ContractNoticePhases/View?PPI=CO1.PPI.23165141&amp;isFromPublicArea=True&amp;isModal=False</t>
  </si>
  <si>
    <t>OPSP-VEX-0314-2023</t>
  </si>
  <si>
    <t>1018436590</t>
  </si>
  <si>
    <t>OLGA LUCIA JIMENEZ LUQUE</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</si>
  <si>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CUENCA DEL RÍO SAN JORGE Y EN EL TRAMO DE LA CUENCA BAJA DEL RÍO MAGDALENA QUE LE CORRESPONDE REVISAR, LA IDENTIFICACIÓN DE CASOS DE DIFERENCIAS NOTORIAS Y EL REGISTRO DE LAS CAUSAS DETECTADAS PARA ESAS DIFERENCIAS DE ACUERDO CON EL ANÁLISIS DE CONTEXTO.
6) APOYAR LA ELABORACIÓN DE LOS INFORMES DE ACTIVIDADES SOBRE PESCA DE CONSUMO EN EL RÍO SAN JORGE,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</si>
  <si>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https://community.secop.gov.co/Public/Tendering/ContractNoticePhases/View?PPI=CO1.PPI.23165164&amp;isFromPublicArea=True&amp;isModal=False</t>
  </si>
  <si>
    <t>OPSP-VEX-0315-2023</t>
  </si>
  <si>
    <t>ROBERTO CARLOS RIVERA MENDOZA</t>
  </si>
  <si>
    <t>1) COORDINAR EL COMPONENTE DE PESCA DE CONSUMO DEL SEPEC 2023 (CONTRATO AUNAP-UNIMAGDALENA). 2) COORDINAR EL PROCESO DE SELECCIÓN DEL PERSONAL DE CAMPO REQUERIDO PARA LA EJECUCIÓN DEL CONTRATO EN LO QUE RESPECTA AL COMPONENTE DE PESCA ARTESANAL DE CONSUMO. 3) COORDINAR EL PROCESO DE INDUCCIÓN DE LOS SUPERVISORES Y COLECTORES DE CAMPO DEL COMPONENTE DE PESCA DE CONSUMO.  4) COORDINAR EL PROCESO DE ADQUISICIÓN Y DISTRIBUCIÓN DE LOS MATERIALES E INSUMOS NECESARIOS PARA EL DESARROLLO DE LAS ACTIVIDADES DE CAMPO DEL COMPONENTE DE PESCA DE CONSUMO DEL SEPEC. 5) COORDINAR LA ELABORACIÓN DEL CRONOGRAMA DE MUESTREO EN LOS SITIOS SELECCIONADOS POR LA AUNAP PARA EL MONITOREO DE LOS DESEMBARCOS PESQUEROS ARTESANALES. 6) ESTABLECER LA ASIGNACIÓN DE RECURSOS DE VIÁTICOS REQUERIDOS PARA EL TRABAJO DE CAMPO DE SUPERVISORES Y TÉCNICOS DE CAMPO DEL SEPEC, ASÍ COMO PARA OTRAS ACTIVIDADES QUE DEMANDEN EL DESPLAZAMIENTO DE PERSONAL ADSCRITO AL SEPEC. 7) COORDINAR EL PROCESO DE REVISIÓN Y VERIFICACIÓN DE LOS INFORMES MENSUALES DE LOS SUPERVISORES Y TÉCNICOS DE CAMPO ADSCRITOS AL COMPONENTE DE PESCA DE CONSUMO. 8) PARTICIPAR EN LAS ACTIVIDADES RELACIONADAS CON LOS PROCESOS DE AUDITORÍA DE OPERACIONES ESTADÍSTICAS DEL COMPONENTE DE PESCA ARTESANAL DE CONSUMO. 9) PARTICIPAR EN LOS TALLERES DE SOCIALIZACIÓN DE OBLIGACIONES Y DE RESULTADOS DEL CONTRATO Y EN LOS TALLERES DE CAPACITACIÓN A TÉCNICOS DE LA AUNAP, DE CONFORMIDAD CON LA PROGRAMACIÓN ESTABLECIDA PARA EL EFECTO POR LA DIRECCIÓN DEL CONTRATO.  10) COLABORAR EN LA ELABORACIÓN DE LOS INFORMES DE ACTIVIDADES DEL COMPONENTE DE PESCA ARTESANAL DE CONSUMO, QUE DEBEN PRESENTARSE A LA AUNAP EN EL MARCO DEL CONTRATO. 11) APOYAR DESDE LOS PUNTOS DE VISTA TÉCNICO Y LOGÍSTICO LAS ACTIVIDADES RELACIONADAS CON LA REALIZACIÓN DE LA ENCUESTA ESTRUCTURAL DE PESCA ARTESANAL. 12) PRESENTAR INFORMES MENSUALES DE ACTIVIDAD DE ACUERDO CON LOS LINEAMIENTOS ESTABLECIDOS POR LA DIRECCIÓN DEL SEPEC.</t>
  </si>
  <si>
    <t>https://community.secop.gov.co/Public/Tendering/ContractNoticePhases/View?PPI=CO1.PPI.23165184&amp;isFromPublicArea=True&amp;isModal=False</t>
  </si>
  <si>
    <t>OPSP-VEX-0316-2023</t>
  </si>
  <si>
    <t>ANA KARINA RIASCOS ORTIZ</t>
  </si>
  <si>
    <t>1. VERIFICAR LA CORRESPONDENCIA ENTRE LA INFORMACIÓN REGISTRADA EN LOS FORMULARIOS IMPRESOS Y LA SISTEMATIZADA EN LAS BASES DE DATOS DEL SISTEMA DE INFORMACIÓN DEL SEPEC, RELATIVAS A LOS COMPONENTES DE PRODUCCIÓN DE PECES ORNAMENTALES Y DE DESEMBARCOS INDUSTRIALES.  2. REALIZAR EL ESCANEADO DE LOS FORMULARIOS IMPRESOS, DE ACUERDO CON LAS INDICACIONES DADAS POR LOS COORDINADORES DE LOS DOS COMPONENTES ANTES REFERIDOS. 3. ORGANIZAR LOS FORMULARIOS IMPRESOS DE ACUERDO CON LAS DIRECTRICES IMPARTIDAS POR LOS COORDINADORES DE LOS DOS COMPONENTES ANTES REFERIDOS. 4. PRESENTAR INFORME MENSUAL DONDE SE EVIDENCIEN LAS ACTIVIDADES EFECTUADAS, DE ACUERDO CON LOS LINEAMIENTOS ESTABLECIDOS POR LA COORDINACIÓN DE LOS COMPONENTES DE PECES ORNAMENTALES Y DESEMBARCOS INDUSTRIALES.</t>
  </si>
  <si>
    <t>https://community.secop.gov.co/Public/Tendering/ContractNoticePhases/View?PPI=CO1.PPI.23165197&amp;isFromPublicArea=True&amp;isModal=False</t>
  </si>
  <si>
    <t>OPSP-VEX-0317-2023</t>
  </si>
  <si>
    <t>MAURICIO ALFONSO HURTADO PELÁEZ</t>
  </si>
  <si>
    <t xml:space="preserve">1) REVISAR, VERIFICAR (DETECCIÓN DE DATOS ATÍPICOS) Y VALIDAR LA INFORMACIÓN CONSIGNADA EN LA BASE DE DATOS SOBRE LA COMERCIALIZACIÓN DE ESPECIES DE CONSUMO EN EL MARCO DEL  SEPEC  2023 (CONTRATO AUNAP-UNIMAGDALENA). 2) REPORTAR OPORTUNAMENTE, DE ACUERDO CON EL CALENDARIO DE REVISIÓN Y ANÁLISIS DE LOS DATOS, A LOS COLECTORES DE CAMPO Y SUPERVISOR RESPECTIVO LOS ERRORES, DATOS ATÍPICOS, INCONSISTENCIAS U OMISIONES DETECTADOS EN LA BASE DE DATOS ANTES MENCIONADA. 3) RECOPILAR Y DOCUMENTAR OPORTUNAMENTE, DE ACUERDO CON EL CALENDARIO DE REVISIÓN Y ANÁLISIS DE LOS DATOS Y MEDIANTE EL INSTRUMENTO ESTABLECIDO, LA INFORMACIÓN SUMINISTRADA POR LOS COLECTORES DE CAMPO SOBRE EVENTOS PARTICULARES QUE INFLUYAN EN LA ACTIVIDAD COMERCIAL COMO BASE DE LOS ANÁLISIS DE CONTEXTO QUE PERMITEN VERIFICAR SI LAS DETECCIONES DE DATOS ATÍPICOS SON CONGRUENTES CON LA DINÁMICA DE LA COMERCIALIZACIÓN DE PRODUCTOS DE LA PESCA EN LOS SITIOS MONITOREADOS.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 </t>
  </si>
  <si>
    <t>https://community.secop.gov.co/Public/Tendering/ContractNoticePhases/View?PPI=CO1.PPI.23158043&amp;isFromPublicArea=True&amp;isModal=False</t>
  </si>
  <si>
    <t>OPSP-VEX-0318-2023</t>
  </si>
  <si>
    <t>ERIKA PATRICIA PAVA ESCOBAR</t>
  </si>
  <si>
    <t xml:space="preserve">1. DIRIGIR EL COMPONENTE DE PRODUCCIÓN DE PECES ORNAMENTALES DEL PROYECTO SEPEC, EN EL MARCO DEL CONTRATO INTERADMINISTRATIVO AUNAP-UNIMAGDALENA SUSCRITO EN EL 2023.  2. COORDINAR EL PROCESO DE COLECTA, SISTEMATIZACIÓN, ESCANEADO, PROCESAMIENTO Y ANÁLISIS DE LA INFORMACIÓN REFERIDA A LOS REGISTROS DE PRODUCCIÓN DE PECES ORNAMENTALES, DE CONFORMIDAD CON EL ESQUEMA DE MONITOREO ESTABLECIDO PARA EL EFECTO POR LA DIRECCIÓN DEL CONTRATO. 3. PARTICIPAR EN LAS REUNIONES TÉCNICAS REQUERIDAS PARA DISEÑAR LOS AJUSTES DEL SISTEMA DE INFORMACIÓN DEL SEPEC REFERIDOS AL COMPONENTE DE ORNAMENTALES.  4. INTERACTUAR CON EL EQUIPO DE SOPORTE INFORMÁTICO DEL CONTRATO PARA ACTUALIZAR LAS RUTINAS DE CAPTACIÓN, PROCESAMIENTO Y CONSULTA EN LA PLATAFORMA DE LA INFORMACIÓN REFERIDA AL COMPONENTE DE PECES ORNAMENTALES DEL CONTRATO.  5. COORDINAR LA ELABORACIÓN DE LOS INFORMES DE ACTIVIDADES RELATIVOS AL COMPONENTE DE PECES ORNAMENTALES DEL SEPEC.  6. PARTICIPAR EN LOS TALLERES DE SOCIALIZACIÓN DE OBLIGACIONES Y DE RESULTADOS DEL CONTRATO Y EN LOS TALLERES DE CAPACITACIÓN A TÉCNICOS DE LA AUNAP, DE CONFORMIDAD CON LA PROGRAMACIÓN ESTABLECIDA PARA EL EFECTO POR LA DIRECCIÓN DEL CONTRATO.  7. AVANZAR EN LA ELABORACIÓN DE LOS DOCUMENTOS DEL COMPONENTE DE PRODUCCIÓN DE PECES ORNAMENTALES REQUERIDOS PARA CUMPLIR LOS LINEAMIENTOS DE LA NTC PE 1000:2020. 8. PRESENTAR INFORMES MENSUALES DE ACTIVIDAD, EVIDENCIANDO EL CUMPLIMIENTO DE LAS ACTIVIDADES DE LA ORDEN DE SERVICIOS.  </t>
  </si>
  <si>
    <t>https://community.secop.gov.co/Public/Tendering/ContractNoticePhases/View?PPI=CO1.PPI.23159052&amp;isFromPublicArea=True&amp;isModal=False</t>
  </si>
  <si>
    <t>OPSP-VEX-0319-2023</t>
  </si>
  <si>
    <t>JHONATAN MAURICIO QUIÑONES MONTIEL</t>
  </si>
  <si>
    <t>1. SUPERVISAR LAS ACTIVIDADES DE LOS COLECTORES DE CAMPO DEL COMPONENTE, DE ACUERDO CON EL CRONOGRAMA Y EL ESFUERZO DE MUESTREO ESTABLECIDO DESDE LA COORDINACIÓN DEL COMPONENTE DE PESCES ORNAMENTALES DEL PROYECTO SEPEC. 2. VERIFICAR Y COMPARAR LA CORRESPONDENCIA ENTRE LA INFORMACIÓN REGISTRADA EN LOS FORMULARIOS IMPRESOS Y LA DIGITADA EN LOS FORMULARIOS ELECTRÓNICOS DEL SISTEMA DE INFORMACIÓN DEL SEPEC, RELATIVA AL COMPONENTE DE PRODUCCIÓN DE PECES ORNAMENTALES. CUANDO HAYA DIFERENCIAS DEBERÁ CONSULTAR AL COLECTOR DE CAMPO PARA SUBSANAR EL ERROR. 3. REVISAR, VERIFICAR Y VALIDAR LA INFORMACIÓN CONSIGNADA EN LAS BASES DE DATOS DEL COMPONENTE DE PECES ORNAMENTALES. EN CASO DE QUE SE DETECTE ALGÚN DATO ATÍPICO O EXTRAÑO, DEBERÁ HACER LA RESPECTIVA OBSERVACIÓN AL COLECTOR DE CAMPO, PARA EFECTOS DE CORRECCIÓN O VALIDACIÓN. 4. HACER SEGUIMIENTO AL PROCESO DE CORRECCIÓN O VERIFICACIÓN DE TALES DATOS POR PARTE DEL TÉCNICO RESPECTIVO, HASTA COMPLETA SATISFACCIÓN. 5. APOYAR AL COORDINADOR DEL COMPONENTE DE PECES ORNAMENTALES EN LA ORGANIZACIÓN DE CAPACITACIONES, CUANDO ELLO SEA PERTINENTE. 6. PRESENTAR INFORMES MENSUALES, EVIDENCIANDO LAS ACTIVIDADES EFECTUADAS DE ACUERDO CON LOS LINEAMIENTOS Y SOLICITUDES DE REVISIÓN O VALIDACIÓN PLANTEADAS POR LA COORDINACIÓN DEL COMPONENTE.</t>
  </si>
  <si>
    <t>https://community.secop.gov.co/Public/Tendering/ContractNoticePhases/View?PPI=CO1.PPI.23160204&amp;isFromPublicArea=True&amp;isModal=False</t>
  </si>
  <si>
    <t>OPSP-VEX-0327-2023</t>
  </si>
  <si>
    <t>EMILIANO ZAMBRANO RODRÍGUEZ</t>
  </si>
  <si>
    <t xml:space="preserve">1) APOYAR LAS ACTIVIDADES LOGÍSTICAS TENDIENTES A VIABILIZAR LA RECOLECCIÓN DE INFORMACIÓN DE LOS DESEMBARCOS DE LA FLOTA INDUSTRIAL EN EL LITORAL PACÍFICO. 2) COORDINAR LAS TAREAS DE PROGRAMACIÓN DE LOS MONITOREO QUE DEBEN EFECTUAR LOS COLECTORES DE CAMPO ASIGNADOS AL LITORAL PACÍFICO, CONSIDERANDO, ENTRE OTRAS INFORMACIONES, LA DE PREVIO AVISO DEL ARRIBO DE LAS EMBARCACIONES PESQUERAS. 3) REALIZAR UNA AUDITORÍA PRELIMINAR DE LA INFORMACIÓN DIGITALIZADA EN LA PLATAFORMA SEPEC, CONCERNIENTE A LOS DATOS REGISTRADOS POR LOS COLECTORES DEL LITORAL PACÍFICO EN LOS DIFERENTES PUERTOS DE DESEMBARCO INDUSTRIALES ESTABLECIDOS, A FIN DE IDENTIFICAR DATOS ATÍPICOS Y NOTIFICAR A LA COORDINACIÓN DEL COMPONENTE EL NÚMERO DE DESEMBARCOS MENSUALES REGISTRADOS EN LOS PUERTOS MONITOREADOS. 4) RECIBIR Y REVISAR LOS FORMATOS DILIGENCIADOS POR LOS COLECTORES DE CAMPO DE LA OE DI EN EL LITORAL PACÍFICO Y ENVIARLOS A LA COORDINACIÓN DEL COMPONENTE. 5) REALIZAR LA SUPERVISIÓN EN CAMPO DE LAS ACTIVIDADES DE MONITOREO DE DESEMBARCOS REALIZADAS POR LOS COLECTORES DEL COMPONENTE EN EL LITORAL PACÍFICO. 6) SUPERVISAR A LOS TÉCNICOS EN EL PROCESO DE LA DIGITACIÓN DE LOS FORMULARIOS EN LA PLATAFORMA SEPEC. 7) MANTENER COMUNICACIÓN DIRECTA CON EL PERSONAL DEL CONTRATO ADSCRITO A LA OE DI, PARA ATENDER CUALQUIER NOVEDAD O INQUIETUD RELACIONADA CON EL MONITOREO. 8) PRESENTAR INFORMES MENSUALES DE ACTIVIDAD DE ACUERDO A LOS LINEAMIENTOS ESTABLECIDOS POR EL EQUIPO LIDER DEL SEPEC. </t>
  </si>
  <si>
    <t>https://community.secop.gov.co/Public/Tendering/ContractNoticePhases/View?PPI=CO1.PPI.23162625&amp;isFromPublicArea=True&amp;isModal=False</t>
  </si>
  <si>
    <t>OPSP-VEX-0328-2023</t>
  </si>
  <si>
    <t>JESUS CORREA HELBRUM</t>
  </si>
  <si>
    <t xml:space="preserve">1) REALIZAR EL PROCESO DE TRAZABILIDAD O SEGUIMIENTO DE LAS REVISIONES EFECTUADAS POR EL ANALISTA DE DATOS DE LA OPERACIÓN ESTADÍSTICA (OE) DE DESEMBARCOS INDUSTRIALES (DI). 2) REPORTAR A LOS COLECTORES DE CAMPO Y SUPERVISORES RESPECTIVOS LAS CORRECCIONES QUE DEBEN EFECTUARSE EN LAS BASES DE DATOS DE DESEMBARCOS INDUSTRIALES Y VERIFICAR SU COMPLETA SUBSANACIÓN EN EL SISTEMA. 3) ELABORAR MATRICES DEL SEGUIMIENTO DEL REGISTRO, REVISIÓN, DEPURACIÓN E IMPLEMENTACIÓN DE LAS CORRECCIONES DE LOS DATOS REGISTRADOS EN LOS DOS  LITORALES, COMO DOCUMENTACIÓN DEL PROCESO DE ANÁLISIS DE LOS DATOS Y COMO BASE PARA LA EVALUACIÓN DE DESEMPEÑO EN EL COMPONENTE DE DESEMBARCOS INDUSTRIALES. 4) COMPARAR MENSUALMENTE LOS DESEMBARCOS ESTIMADOS EN EL MES CON LOS ESTIMADOS EN AÑOS ANTERIORES PARA CADA SITIO MONITOREADO, A FIN DE IDENTIFICAR LA OCURRENCIA O NO DE DIFERENCIAS NOTORIAS Y ANALIZAR LAS POSIBLES CAUSAS DE ACUERDO CON EL ANÁLISIS DE CONTEXTO. 5) ELABORAR CUADROS DE BALANCE MENSUAL DE LA INFORMACIÓN REGISTRADA EN EL MARCO DE LA OE DI, ASÍ COMO DEL BALANCE DEL PROCESO DE REVISIÓN DE DICHA INFORMACIÓN EN LOS DOS LITORALES ASIGNADOS. 6) ELABORAR LOS CUADROS DE SALIDA DE LA OE DI. 7) APOYAR LA ELABORACIÓN DE LOS INFORMES MENSUALES DE ACTIVIDADES DE LA OE DI. 8) REALIZAR LA SUPERVISIÓN EN CAMPO DE LAS ACTIVIDADES DE MONITOREO DE DESEMBARCOS INDUSTRIALES REALIZADAS POR LOS COLECTORES DEL COMPONENTE EN EL LITORAL CARIBE. 9) PARTICIPAR EN EL PROCESO DE ANONIMIZACIÓN DE LA BASE DE DATOS DE DESEMBARCOS INDUSTRIALES. 10) COORDINAR EL ENTRENAMIENTO DE LOS COLECTORES DE CAMPO Y SUPERVISORES DE LA OPERACIÓN ESTADÍSTICA "DESEMBARCOS INDUSTRIALES EN MUNICIPIOS DONDE EXISTEN PUERTOS PESQUEROS INDUSTRIALES".11) PRESENTAR INFORMES MENSUALES DE ACTIVIDAD DE ACUERDO A LOS LINEAMIENTOS ESTABLECIDOS POR EL EQUIPO LIDER DEL SEPEC. </t>
  </si>
  <si>
    <t>https://community.secop.gov.co/Public/Tendering/ContractNoticePhases/View?PPI=CO1.PPI.23162664&amp;isFromPublicArea=True&amp;isModal=False</t>
  </si>
  <si>
    <t>OPSP-VEX-0331-2023</t>
  </si>
  <si>
    <t>SERGIO IVÁN JIMÉNEZ SUÁREZ</t>
  </si>
  <si>
    <t>https://community.secop.gov.co/Public/Tendering/ContractNoticePhases/View?PPI=CO1.PPI.23164048&amp;isFromPublicArea=True&amp;isModal=False</t>
  </si>
  <si>
    <t>OPSP-VEX-0333-2023</t>
  </si>
  <si>
    <t>NATALY HERNANDEZ LOPEZ</t>
  </si>
  <si>
    <t>https://community.secop.gov.co/Public/Tendering/ContractNoticePhases/View?PPI=CO1.PPI.23164725&amp;isFromPublicArea=True&amp;isModal=False</t>
  </si>
  <si>
    <t>OPSP-VEX-0369-2023</t>
  </si>
  <si>
    <t>DANIEL EDGARDO RIVADENEIRA ARRIETA</t>
  </si>
  <si>
    <t xml:space="preserve">1) ORGANIZAR DE ACUERDO A LA INFORMACIÓN FINANCIERA SUMINISTRADA POR AL COORDINADOR ADMINISTRATIVO DEL PROYECTO SEPEC, EL INFORME DE LA EJECUCIÓN MENSUAL. 2) COORDINAR LA LEGALIZACIÓN DE AVANCES ANTE LAS DIFERENTES DEPENDENCIAS DE LA UNIVERSIDAD RESPONSABLES DE ESTE PROCESO.  3) ELABORAR MENSUALMENTE LOS INFORMES FINANCIEROS, CLASIFICANDO POR COMPONENTE Y RUBRO LA EJECUCIÓN FINANCIERA DEL CONTRATO Y DE ACUERDO A LAS INDICACIONES DEL DIRECTOR Y LA CORDINADORA ADMINISTRATIVA DEL PROYECTO SEPEC.  4) COORDINAR Y HACER SEGUIMIENTO DE LOS PROCESOS CONTABLES A QUE HAYA LUGAR EN EL DESARROLLO DEL PROYECTO. 5) COORDINAR EL PROCESO DE ARCHIVO DIGITAL E IMPRESO DE LOS SOPORTES DE LA EJECUCIÓN FINANCIERA DEL CONTRATO. </t>
  </si>
  <si>
    <t>https://community.secop.gov.co/Public/Tendering/ContractNoticePhases/View?PPI=CO1.PPI.23250623&amp;isFromPublicArea=True&amp;isModal=False</t>
  </si>
  <si>
    <t>OPSP-VEX-0370-2023</t>
  </si>
  <si>
    <t>DIANA ELIZABETH TARAZONA GIRALDO</t>
  </si>
  <si>
    <t>1) REVISAR, VERIFICAR Y VALIDAR LA INFORMACIÓN CONSIGNADA EN LAS BASES DE DATOS DE LONGITUDES REGISTRADOS EN LOS LITORALES CARIBE Y PACÍFICO.2) REPORTAR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MONITOREADOS.4) ENVIAR OPORTUNAMENTE, DE ACUERDO CON EL CALENDARIO DE REVISIÓN Y ANÁLISIS DE LOS DATOS, EL BALANCE DE LA REVISIÓN DE DATOS EFECTUADA, EMPLEANDO EL INSTRUMENTO ESTABLECIDO PARA TAL FIN.5) ESTIMAR LAS RELACIONES BIOMÉTRICAS Y LOS INDICADORES BIOLÓGICOS QUE SEAN REQUERIDOS PARA EL ANÁLISIS DE LA INFORMACIÓN Y PARA LA PRESENTACIÓN DE RESULTADOS.6) APOYAR LA ELABORACIÓN DE LOS INFORMES DE ACTIVIDADES SOBRE DATOS BIOLÓGICO-PESQUEROS EN EL LITORAL ASIGNADO, DE CONFORMIDAD CON LO ESTABLECIDO EN EL PLAN DE TRABAJO DEL CONTRATO.7) PRESENTAR INFORMES MENSUALES DE ACTIVIDAD DE ACUERDO A LOS LINEAMIENTOS ESTABLECIDOS POR EL EQUIPO LIDER DEL SEPEC, EVIDENCIANDO LAS VERIFICACIONES, CORRECCIONES Y ANÁLISIS DE LOS DATOS.</t>
  </si>
  <si>
    <t>https://community.secop.gov.co/Public/Tendering/ContractNoticePhases/View?PPI=CO1.PPI.23250362&amp;isFromPublicArea=True&amp;isModal=False</t>
  </si>
  <si>
    <t>OPSP-VEX-0371-2023</t>
  </si>
  <si>
    <t>1082923287</t>
  </si>
  <si>
    <t>MARIA DE LOS ANGELES GONZALEZ PABON</t>
  </si>
  <si>
    <t>1). COORDINAR LAS ACTIVIDADES TÉCNICAS DEL COMPONENTE DE ENCUESTA ESTRUCTURAL DE SITIOS DE DESEMBARCO Y UNIDADES ECONÓMICAS DE PESCA (EE EN ADELANTE), UTILIZANDO COMO PUNTO DE PARTIDA LOS RESULTADOS DE LAS ENCUESTAS ESTRUCTURALES PREVIAS (2017 Y 2020). 2) PROCESAR LAS BASES DE DATOS DEL COMPONENTE DE PESCA DE CONSUMO PARA EXTRAER UN INVENTARIO PRELIMINAR DE LAS UEPS MUESTREADAS EN LOS SITIOS DE DESEMBARCO ACTUALMENTE MONITOREADOS EN EL MARCO DE DICHO COMPONENTE. 3). INTERACTUAR CON LA COORDINACIÓN Y LOS PROFESIONALES QUE LIDERAN LAS DOS OPERACIONES ESTADÍSTICAS DEL COMPONENTE DE PESCA ARTESANAL DE CONSUMO PARA EFECTOS DE MONITOREAR CONJUNTAMENTE EL AVANCE DE LOS TRABAJOS DE CAMPO DE LA EE. 4) COORDINAR EL PROCESO DE REVISIÓN Y VALIDACIÓN DE LOS DATOS SISTEMATIZADOS EN LA BASE DE DATOS DE LA PLATAFORMA INFORMÁTICA DEL SEPEC REFERIDA A LA INFORMACIÓN DEL COMPONENTE DE EE  E INTERACTUAR CON LOS RESPECTIVOS SUPERVISORES Y COLECTORES DE CAMPO PARA SOLICITAR LAS CORRECCIONES O ADICIONES QUE SE REQUIERAN IMPLEMENTAR. 5) INTERACTUAR CON EL EQUIPO DE SOPORTE INFORMÁTICO DEL CONTRATO PARA ACTUALIZAR TANTO EL FORMULARIO FÍSICO COMO EL DIGITAL DE LA EE, ASÍ COMO LAS RESPECTIVAS CONSULTAS. 6) COORDINAR EL PROCESO DE SISTEMATIZACIÓN EN LA PLATAFORMA SEPEC DE LA INFORMACIÓN COLECTADA EN DESARROLLO DE LA EE. 7). COORDINAR LA ELABORACIÓN DE LOS INFORMES DE ACTIVIDADES Y EL INFORME TÉCNICO FINAL DEL COMPONENTE DE EE DEL CONTRATO.8) PRESENTAR INFORMES MENSUALES DE ACTIVIDAD DE ACUERDO CON LOS LINEAMIENTOS ESTABLECIDOS POR LA DIRECCIÓN DEL PROYECTO SEPEC</t>
  </si>
  <si>
    <t>https://community.secop.gov.co/Public/Tendering/ContractNoticePhases/View?PPI=CO1.PPI.23250527&amp;isFromPublicArea=True&amp;isModal=False</t>
  </si>
  <si>
    <t>OPSP-VEX-0372-2023</t>
  </si>
  <si>
    <t>EDUARDO JESÚS CHOLES RODRÍGUEZ</t>
  </si>
  <si>
    <t xml:space="preserve">1) APOYAR LAS ACTIVIDADES LOGÍSTICAS TENDIENTES A VIABILIZAR LA RECOLECCIÓN DE INFORMACIÓN DE LOS DESEMBARCOS DE LA FLOTA INDUSTRIAL. 2) SUPERVISAR EL PROCESO DE ENVÍO Y REVISIÓN DE LOS FORMATOS EN FÍSICO DILIGENCIADOS POR LOS TÉCNICOS PARA EL MONITOREO DEL DESEMBARCO INDUSTRIAL Y COORDINAR EL PROCESO DE ESCANEO Y ARCHIVO DE LA INFORMACIÓN. 3) REVISAR, VERIFICAR (DETECCIÓN DE DATOS ATÍPICOS) Y VALIDAR LA INFORMACIÓN CONSIGNADA EN LAS BASES DE DATOS SOBRE DESEMBARCOS PESQUEROS INDUSTRIALES. 4) REPORTAR OPORTUNAMENTE A LOS COLECTORES DE CAMPO Y A LOS SUPERVISORES RESPECTIVOS LOS ERRORES, DATOS ATÍPICOS, INCONSISTENCIAS U OMISIONES DETECTADOS EN LAS BASES DE DATOS ANTES MENCIONADAS, DE ACUERDO CON EL CALENDARIO DE REVISIÓN Y ANÁLISIS DE LOS DATOS. 3) SUPERVISAR EL PROCESO DE DIGITACIÓN DE LOS FORMULARIOS EN LA PLATAFORMA SEPEC POR PARTE DE LOS TÉCNICOS DE CAMPO. 5) COORDINAR EL PROCESO DE ELABORACIÓN DE LOS CUADROS DE SALIDA DE LA OPERACIÓN ESTADÍSTICA "DESEMBARCOS INDUSTRIALES EN MUNICIPIOS DONDE EXISTEN PUERTOS PESQUEROS INDUSTRIALES". 6) DOCUMENTAR OPORTUNAMENTE, DE ACUERDO CON EL CALENDARIO DE REVISIÓN Y ANÁLISIS DE LOS DATOS Y MEDIANTE EL INSTRUMENTO ESTABLECIDO, LA INFORMACIÓN SUMINISTRADA POR LOS COLECTORES DE CAMPO SOBRE EVENTOS PARTICULARES QUE INFLUYAN EN LA ACTIVIDAD PESQUERA INDUSTRIAL, COMO BASE DE LOS ANÁLISIS DE CONTEXTO. 7) DOCUMENTAR OPORTUNAMENTE, DE ACUERDO CON EL CALENDARIO DE REVISIÓN Y ANÁLISIS DE LOS DATOS Y MEDIANTE EL INSTRUMENTO ESTABLECIDO, LAS VARIACIONES DE LOS DESEMBARCOS POR UNIDAD DE ESPECIES DE LA PESQUERA INDUSTRIAL COMO BASE DE LOS ANÁLISIS DE COHERENCIA. 8) APOYAR LA ELABORACIÓN DE LOS INFORMES MENSUALES DE ACTIVIDADES DEL COMPONENTE DE DESEMBARCOS INDUSTRIALES. 9) APOYAR LA ELABORACIÓN DE LOS INFORMES OPERATIVOS DE LA OPERACIÓN ESTADÍSTICA "DESEMBARCOS INDUSTRIALES EN MUNICIPIOS DONDE EXISTEN PUERTOS PESQUEROS INDUSTRIALES". 10) PARTICIPAR EN EL PROCESO DE ANONIMIZACIÓN DE LA BASE DE DATOS DE DESEMBARCOS INDUSTRIALES. 11) PRESENTAR INFORMES MENSUALES DE ACTIVIDAD DE ACUERDO A LOS LINEAMIENTOS ESTABLECIDOS EN EL SEPEC. </t>
  </si>
  <si>
    <t>https://community.secop.gov.co/Public/Tendering/ContractNoticePhases/View?PPI=CO1.PPI.23250530&amp;isFromPublicArea=True&amp;isModal=False</t>
  </si>
  <si>
    <t>OPSP-VEX-0377-2023</t>
  </si>
  <si>
    <t>VIVIAN CÓRDOBA FIGUEROA</t>
  </si>
  <si>
    <t>https://community.secop.gov.co/Public/Tendering/ContractNoticePhases/View?PPI=CO1.PPI.23250226&amp;isFromPublicArea=True&amp;isModal=False</t>
  </si>
  <si>
    <t>OPSP-VEX-0380-2023</t>
  </si>
  <si>
    <t>ARLED ZAVIC MARTÍNEZ VILLALBA</t>
  </si>
  <si>
    <t xml:space="preserve">1. COORDINAR LAS ACCIONES DE ENTRENAMIENTO A COLECTORES DE CAMPO Y SUPERVISORES REGIONALES EN EL MARCO DE LA OPERACIÓN ESTADÍSTICA "DESEMBARCOS DE PESQUERÍAS ARTESANALES EN SITIOS DE ACOPIO DE LA PRODUCCIÓN PESQUERA" (DSAP) DEL COMPONENTE PESCA ARTESANAL DE CONSUMO (PAC). 2. COORDINAR LAS ACCIONES DE SENSIBILIZACIÓN DE LA FUENTE EN SITIOS DE DESEMBARCO DE LA OPERACIÓN ESTADÍSTICA DSAP DEL COMPONENTE PAC. 3. ATENCIÓN DE CONSULTAS POR PARTE DE COLECTORES DE CAMPO Y SUPERVISORES REGIONALES SOBRE LOS PROCEDIMIENTOS DEL MONITOREO DE LA OPERACIÓN ESTADÍSTICA DSAP DEL COMPONENTE PAC. 4. COORDINAR LA ELABORACIÓN DEL INFORME MENSUAL DE ACTIVIDADES QUE SOPORTA LA CUENTA DE COBRO Y DEL INFORME OPERATIVO DE LA OPERACIÓN ESTADÍSTICA DSAP DEL COMPONENTE PAC. 5. COORDINAR LAS ACTIVIDADES RELACIONADAS CON EL PROCESO DE ANONIMIZACIÓN DE LAS BASES DE DATOS DE LA OPERACIÓN ESTADÍSTICA DSAP DEL COMPONENTE PAC, Y PARTICIPAR EN LAS AUDITORÍAS RELACIONADAS CON LA OPERACIÓN ESTADÍSTICA. 6. PARTICIPAR EN CALIDAD DE INSTRUCTOR EN UN TALLER DE CAPACITACIÓN SOBRE REGISTRO DE DATOS BIOLÓGICOS-PESQUEROS, DIRIGIDOS A INTEGRANTES DE COMUNIDADES PESQUERAS ARTESANALES, EN EL MARCO DEL COMPONENTE GENERACIÓN DE COMPETENCIAS DEL SEPEC. 7. PROCESAR LOS DATOS REQUERIDOS PARA LA ELABORACIÓN Y EDICIÓN DE LOS CUADROS DE SALIDA DE LA OPERACIÓN ESTADÍSTICA DE ESTIMACIÓN DE DESEMBARCOS PESQUEROS ARTESANALES EN SITIOS DONDE SE APLICA LA METODOLOGÍA DE MONITOREO MUESTRAL (DPUE Y DESEMBARCO A NIVEL DE SITIO, MES Y MÉTODO DE PESCA, ASÍ COMO LA ACTUALIZACIÓN DE LAS SERIES HISTÓRICAS DE ESTOS INDICADORES). 8. PROCESAR LOS DATOS REQUERIDOS PARA LA ELABORACIÓN Y EDICIÓN DE LOS CUADROS DE SALIDA MENSUALES Y LAS SERIES HISTÓRICAS DE DESEMBARCOS PESQUEROS ARTESANALES EN SITIOS DONDE SE APLICA LA METODOLOGÍA DE MONITOREO MUESTRAL (DPUE Y DESEMBARCO A NIVEL DE SITIO, MES Y MÉTODO DE PESCA) Y EN SITIOS DE ACOPIO (ACOPIO A NIVEL DE SITIO, MES Y ESPECIE). 9. PRESENTAR INFORMES MENSUALES DE ACTIVIDAD DE ACUERDO CON LOS LINEAMIENTOS ESTABLECIDOS POR LA DIRECCIÓN DEL SEPEC. </t>
  </si>
  <si>
    <t>https://community.secop.gov.co/Public/Tendering/ContractNoticePhases/View?PPI=CO1.PPI.23247086&amp;isFromPublicArea=True&amp;isModal=False</t>
  </si>
  <si>
    <t>OPSP-VEX-0381-2023</t>
  </si>
  <si>
    <t>LUIS FELIPE RAMOS LUNA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</si>
  <si>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LAS CUENCAS CONTINENTALES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APOYAR EN LAS ACTIVIDADES LOGÍSTICAS, ADMINISTRATIVAS Y OPERATIVAS REQUERIDAS PARA DEL DESARROLLO DEL COMPONENTE DE GENERACIÓN DE COMPETENCIAS DEL SEPEC.
5) PRESENTAR INFORMES MENSUALES DE ACTIVIDAD DE ACUERDO CON LOS LINEAMIENTOS ESTABLECIDOS POR EL EQUIPO LÍDER DEL SEPEC, EVIDENCIANDO EL CUMPLIMIENTO DE LAS ACTIVIDADES DE LA ORDEN DE SERVICIOS.</t>
  </si>
  <si>
    <t>https://community.secop.gov.co/Public/Tendering/ContractNoticePhases/View?PPI=CO1.PPI.23247888&amp;isFromPublicArea=True&amp;isModal=False</t>
  </si>
  <si>
    <t>OPSP-VEX-0383-2023</t>
  </si>
  <si>
    <t>YESSICA MAFALDO SOLARTE</t>
  </si>
  <si>
    <t>https://community.secop.gov.co/Public/Tendering/ContractNoticePhases/View?PPI=CO1.PPI.23250642&amp;isFromPublicArea=True&amp;isModal=False</t>
  </si>
  <si>
    <t>OPSP-VEX-0418-2023</t>
  </si>
  <si>
    <t>ESTEFANÍA ISAZA TORO</t>
  </si>
  <si>
    <t>REVISAR, VERIFICAR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LITORAL PACÍFICO, LA IDENTIFICACIÓN DE CASOS DE DIFERENCIAS NOTORIAS Y EL REGISTRO DE LAS CAUSAS DETECTADAS PARA ESAS DIFERENCIAS DE ACUERDO CON EL ANÁLISIS DE CONTEXTO.
6) APOYAR LA ELABORACIÓN DE LOS INFORMES DE ACTIVIDADES SOBRE PESCA DE CONSUMO EN EL LITORAL PACÍFICO,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</si>
  <si>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https://community.secop.gov.co/Public/Tendering/ContractNoticePhases/View?PPI=CO1.PPI.23460480&amp;isFromPublicArea=True&amp;isModal=False</t>
  </si>
  <si>
    <t>OPSP-VEX-0420-2023</t>
  </si>
  <si>
    <t>ARMANDO ORTEGA LARA</t>
  </si>
  <si>
    <t xml:space="preserve">1) DESARROLLAR Y DOCUMENTAR EL PROCESO DE VERIFICACIÓN, DEPURACIÓN Y ACTUALIZACIÓN PERMANENTE, CON SU RESPECTIVO SOPORTE BIBLIOGRÁFICO, DE LAS TABLAS DE REFERENCIA DE LAS ESPECIES COMERCIALES DE CONSUMO Y ORNAMENTALES DE LAS CUENCAS CONTINENTALES DEL PAÍS, ASOCIADAS A LAS BASES DE DATOS DEL SEPEC EN EL MARCO DEL CONTRATO 75 DE 2023. 2) BRINDAR DIRECTRICES POR MEDIO VIRTUAL O PRESENCIAL AL PERSONAL DE CAMPO, SUPERVISORES Y ANALISTAS PARA LA IDENTIFICACIÓN TAXONÓMICA DE LAS ESPECIES COMERCIALES CONTINENTALES DEL PAÍS. 3) A PARTIR DE LISTADOS REMITIDOS DESDE LA DIRECCIÓN DEL CONTRATO, REVISAR, VERIFICAR Y VALIDAR LA INFORMACIÓN TAXONÓMICA CONSIGNADA EN LAS BASES DE DATOS EN CADA UNO DE LOS SITIOS DE MUESTREO DE LAS CUENCAS CONTINENTALES DEL PAÍS. 4) ELABORAR MENSUALMENTE UN REPORTE DE NOVEDADES TAXONÓMICAS REGISTRADAS EN LAS CUENCAS CONTINENTALES DEL PAÍS EN EL MARCO DE LOS DIFERENTES COMPONENTES DEL SEPEC, DURANTE LA VIGENCIA DEL CONTRATO.5) PROVEER INSUMOS PARA LA ELABORACIÓN DE LOS CUADROS DE SALIDA DE LAS OPERACIONES ESTADÍSTICAS CERTIFICADAS U OTRO INFORME QUE DEBA ENTREGARSE A LA AUNAP, EN LO QUERESPECTA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Y LA COORDINACIÓN DEL COMPONENTE DE PECES ORNAMENTALES, EVIDENCIANDO LAS VERIFICACIONES, DIRECTRICES, CORRECCIONES, CAPACITACIONES Y DOCUMENTACIÓN DE LA INFORMACIÓN TAXONÓMICA EN LAS CUENCAS CONTINENTALES DEL PAÍS. </t>
  </si>
  <si>
    <t>https://community.secop.gov.co/Public/Tendering/ContractNoticePhases/View?PPI=CO1.PPI.23461104&amp;isFromPublicArea=True&amp;isModal=False</t>
  </si>
  <si>
    <t>OPSP-VEX-0421-2023</t>
  </si>
  <si>
    <t>TAYDIS PATRICIA ALVAREZ ARIZA</t>
  </si>
  <si>
    <t xml:space="preserve">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CARIBE NORTE (SECTOR DE LA GUAJIRA),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CARIBE NORTE (SECTOR DE LA GUAJIRA) QUE LE CORRESPONDE REVISAR, LA IDENTIFICACIÓN DE CASOS DE DIFERENCIAS NOTORIAS Y EL REGISTRO DE LAS CAUSAS DETECTADAS PARA ESAS DIFERENCIAS DE ACUERDO CON EL ANÁLISIS DE CONTEXTO. 6) APOYAR LA ELABORACIÓN DE LOS INFORMES DE ACTIVIDADES SOBRE PESCA DE CONSUMO EN EL CARIBE NORTE (SECTOR DE LA GIUAJIRA), DE CONFORMIDAD CON LO ESTABLECIDO EN EL PLAN DE TRABAJO DEL CONTRATO. 7) COORDINAR LAS ACTIVIDADES LOGÍSTICAS, TÉCNICAS Y ADMINISTRATIVAS INHERENTES A LA REALIZACIÓN DE TALLERES SOBRE EL REGISTRO DE INFORMACIÓN BIOLÓGICO-PESQUERA DE CAPACITACIÓN, DIRIGIDOS A CINCO COMUNIDADES PESQUERAS ARTESANALES, EN EL MARCO DEL COMPONENTE DE GENERACIÓN DE COMPETENCIAS DEL CONTRATO 75 DE 2023. 8) ELABORAR LAS MEMORIAS DE LOS TALLERES DE GENERACIÓN DE COMPETENCIAS PREVISTOS EN EL MARCO DEL CONTRATO 75 DE 2023. 9) PRESENTAR INFORMES MENSUALES DE ACTIVIDAD DE ACUERDO CON LOS LINEAMIENTOS ESTABLECIDOS EN EL SEPEC, EVIDENCIANDO LAS VERIFICACIONES Y ANÁLISIS DE LOS DATOS.
</t>
  </si>
  <si>
    <t>https://community.secop.gov.co/Public/Tendering/ContractNoticePhases/View?PPI=CO1.PPI.23461159&amp;isFromPublicArea=True&amp;isModal=False</t>
  </si>
  <si>
    <t>OPSP-VEX-0504-2023</t>
  </si>
  <si>
    <t>ANDREA ÁLVAREZ GIRALDO</t>
  </si>
  <si>
    <t>RECOLECTAR, DE ACUERDO CON EL MECANISMO DE REGISTRO DE LA INFORMACIÓN Y EL FORMULARIO ESTIPULADO POR EL EQUIPO TÉCNICO DEL CONTRATO 075 DE 2023, LA INFORMACIÓN REQUERIDA PARA CARACTERIZAR 145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</si>
  <si>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https://community.secop.gov.co/Public/Tendering/ContractNoticePhases/View?PPI=CO1.PPI.23995710&amp;isFromPublicArea=True&amp;isModal=False</t>
  </si>
  <si>
    <t>OPSP-VEX-0505-2023</t>
  </si>
  <si>
    <t>DAVID ALEXANDER ESCOBAR MORA</t>
  </si>
  <si>
    <t>RECOLECTAR, DE ACUERDO CON EL MECANISMO DE REGISTRO DE LA INFORMACIÓN Y EL FORMULARIO ESTIPULADO POR EL EQUIPO TÉCNICO DEL CONTRATO 075 DE 2023, LA INFORMACIÓN REQUERIDA PARA CARACTERIZAR 175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</si>
  <si>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https://community.secop.gov.co/Public/Tendering/ContractNoticePhases/View?PPI=CO1.PPI.23995390&amp;isFromPublicArea=True&amp;isModal=False</t>
  </si>
  <si>
    <t>OPSP-VEx-0509-2023</t>
  </si>
  <si>
    <t>HAROLD CASAS REINA</t>
  </si>
  <si>
    <t>SUPERVISAR LAS ACTIVIDADES DE LOS COLECTORES DE DATOS DEL COMPONENTE DE ACUICULTURA, DE ACUERDO CON EL CRONOGRAMA Y EL ESFUERZO DE MUESTREO ESTABLECIDO POR EL COORDINADOR DEL COMPONENTE. 2) REVISAR, VERIFICAR Y VALIDAR LA INFORMACIÓN CONSIGNADA EN LAS BASES DE DATOS DEL COMPONENTE DE ACUICULTURA. 3) HACER SEGUIMIENTO AL PROCESO DE CORRECCIÓN O VERIFICACIÓN DE DATOS POR PARTE DE LOS COLECTORES, HASTA COMPLETA SATISFACCIÓN. 4) VERIFICAR LA COHERENCIA Y COMPLETITUD DE LA INFORMACIÓN CONSIGNADA EN LOS FORMULARIOS FÍSICOS DILIGENCIADOS POR LOS COLECTORES DE DATOS A SU CARGO. 5) REVISAR, VERIFICAR Y VALIDAR LOS INFORMES DE LOS COLECTORES DE DATOS DEL COMPONENTE DE ACUICULTURA. 6) PRESENTAR INFORME MENSUAL</t>
  </si>
  <si>
    <t>https://community.secop.gov.co/Public/Tendering/ContractNoticePhases/View?PPI=CO1.PPI.23995110&amp;isFromPublicArea=True&amp;isModal=False</t>
  </si>
  <si>
    <t>OPSP-VEx-0510-2023</t>
  </si>
  <si>
    <t>HIATZI CAROL SALCEDO CASTAÑEDA</t>
  </si>
  <si>
    <t>RECOLECTAR, DE ACUERDO CON EL MECANISMO DE REGISTRO DE LA INFORMACIÓN Y EL FORMULARIO ESTIPULADO POR EL EQUIPO TÉCNICO DEL CONTRATO 075 DE 2023, LA INFORMACIÓN REQUERIDA PARA CARACTERIZAR 125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</si>
  <si>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https://community.secop.gov.co/Public/Tendering/ContractNoticePhases/View?PPI=CO1.PPI.23994666&amp;isFromPublicArea=True&amp;isModal=False</t>
  </si>
  <si>
    <t>OPSP-VEX-0511-2023</t>
  </si>
  <si>
    <t>JOHANNA MARITZA CANO VELARDE</t>
  </si>
  <si>
    <t>RECOLECTAR, DE ACUERDO CON EL MECANISMO DE REGISTRO DE LA INFORMACIÓN Y EL FORMULARIO ESTIPULADO POR EL EQUIPO TÉCNICO DEL CONTRATO 075 DE 2023, LA INFORMACIÓN REQUERIDA PARA CARACTERIZAR 165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</si>
  <si>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https://community.secop.gov.co/Public/Tendering/ContractNoticePhases/View?PPI=CO1.PPI.23995903&amp;isFromPublicArea=True&amp;isModal=False</t>
  </si>
  <si>
    <t>OPSP-VEX-0512-2023</t>
  </si>
  <si>
    <t>ORLANDO ENRIQUE CORREA GALVÁN</t>
  </si>
  <si>
    <t>RECOLECTAR, DE ACUERDO CON EL MECANISMO DE REGISTRO DE LA INFORMACIÓN Y EL FORMULARIO ESTIPULADO POR EL EQUIPO TÉCNICO DEL CONTRATO 075 DE 2023, LA INFORMACIÓN REQUERIDA PARA CARACTERIZAR 120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</si>
  <si>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https://community.secop.gov.co/Public/Tendering/ContractNoticePhases/View?PPI=CO1.PPI.23995729&amp;isFromPublicArea=True&amp;isModal=False</t>
  </si>
  <si>
    <t>OPSP-VEX-0513-2023</t>
  </si>
  <si>
    <t>PAOLA TATIANA SERNA CARMONA</t>
  </si>
  <si>
    <t>RECOLECTAR, DE ACUERDO CON EL MECANISMO DE REGISTRO DE LA INFORMACIÓN Y EL FORMULARIO ESTIPULADO POR EL EQUIPO TÉCNICO DEL CONTRATO 075 DE 2023, LA INFORMACIÓN REQUERIDA PARA CARACTERIZAR 185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</si>
  <si>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https://community.secop.gov.co/Public/Tendering/ContractNoticePhases/View?PPI=CO1.PPI.23994250&amp;isFromPublicArea=True&amp;isModal=False</t>
  </si>
  <si>
    <t>OPSP-VEX-0531-2023</t>
  </si>
  <si>
    <t>ANDRES FELIPE VILLA NAVAS</t>
  </si>
  <si>
    <t>APOYAR AL SUPERVISOR DE GUAJIRA NORTE EN EL PROCESO DE COORDINACIÓN Y VERIFICACIÓN DE LAS ACTIVIDADES DE LOS TÉCNICOS DE CAMPO DEL COMPONENTE DE PESCA DE CONSUMO ARTESANAL DEL SEPEC EN LOS SITIOS DE MUESTREO UBICADOS EN LA ALTA GUAJIRA 2) DIGITAR EN LA PLATAFORMA INFORMÁTICA DEL SEPEC LA INFORMACIÓN DE CAMPO COLECTADA EN LOS SITIOS DE MUESTREO 3) REMITIR A LOS TÉCNICOS DE CAMPO LAS OBSERVACIONES GENERADAS POR EL EQUIPO TÉCNICO DEL SEPEC EN LOS PLAZOS INDICADOS PARA TAL FIN. 4) HACER SEGUIMIENTO AL PROCESO DE CORRECCIÓN O VERIFICACIÓN DE DATOS EN LO QUE RESPECTA A LA INFORMACIÓN CONSIGNADA EN LOS FORMULARIOS FÍSICOS. 5) REALIZAR LAS CORRECCIONES PERTINENTES EN LA PLATAFORMA 6) APOYAR EL PROCESO ADMINISTRATIVO EN LA LEGALIZACIÓN DE LOS RECURSOS DE AVANCE Y SALIDAS DE CAMPO. 7) APOYAR A LOS CANDIDATOS SELECCIONADOS COMO COLECTORES DE CAMPO EN LA ALTA GUAJIRA, DURANTE EL PROCESO DE OBTENCIÓN DE LOS DOCUMENTOS  8) LLEVAR A CABO LA ENCUESTA ESTRUCTURA DE PESCA EN LOS SITIOS PESQUEROS DE LA ALTA GUAJIRA. 9) PRESENTAR INFORME DE ACTIVIDADES</t>
  </si>
  <si>
    <t>https://community.secop.gov.co/Public/Tendering/ContractNoticePhases/View?PPI=CO1.PPI.24130676&amp;isFromPublicArea=True&amp;isModal=False</t>
  </si>
  <si>
    <t>OPSP-VEX-0548-2023</t>
  </si>
  <si>
    <t>LLUZ STELLA BARBOSA SANABRIA</t>
  </si>
  <si>
    <t>COORDINAR Y VERIFICAR CON PERIODICIDAD SEMANAL LAS ACTIVIDADES DE LOS TÉCNICOS DE CAMPO DEL COMPONENTE DE PESCA DE CONSUMO ARTESANAL DEL SEPEC EN LAS CUENCAS AMAZONÍA Y ORINOQUÍA,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t>
  </si>
  <si>
    <t>https://community.secop.gov.co/Public/Tendering/ContractNoticePhases/View?PPI=CO1.PPI.24445990&amp;isFromPublicArea=True&amp;isModal=False</t>
  </si>
  <si>
    <t>OPSP-VEX-0591-2023</t>
  </si>
  <si>
    <t>JULIAN ANDRES CUESTAS MORA</t>
  </si>
  <si>
    <t>COORDINAR LA AUDITORÍA DE LOS DATOS CONSIGNADOS EN LOS FORMULARIOS FÍSICOS Y DIGITALES SOBRE LA COMERCIALIZACIÓN DE ESPECIES DE CONSUMO EN EL MARCO DEL SEPEC 2023 (CONTRATO AUNAP-UNIMAGDALENA). 2) REVISAR, VERIFICAR (DETECCIÓN DE DATOS ATÍPICOS) Y VALIDAR LA INFORMACIÓN CONSIGNADA EN LA BASE DE DATOS DEL COMPONENTE DE COMERCIALIZACIÓN. 3) REPORTAR OPORTUNAMENTE, DE ACUERDO CON EL CALENDARIO DE REVISIÓN Y ANÁLISIS DE LOS DATOS, A LOS COLECTORES DE CAMPO Y SUPERVISOR RESPECTIVO LOS ERRORES, DATOS ATÍPICOS, INCONSISTENCIAS U OMISIONES DETECTADOS EN LA BASE DE DATOS ANTES MENCIONADA.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t>
  </si>
  <si>
    <t>https://community.secop.gov.co/Public/Tendering/ContractNoticePhases/View?PPI=CO1.PPI.25027831&amp;isFromPublicArea=True&amp;isModal=False</t>
  </si>
  <si>
    <t>OPS-VEX-0459-2023</t>
  </si>
  <si>
    <t>860512330-3</t>
  </si>
  <si>
    <t>SERVIENTREGA S.A</t>
  </si>
  <si>
    <t>EL SERVICIO DE MENSAJERÍA EXPRESS NACIONAL, PARA EL ENVIÓ DE DOCUMENTOS, EMPAQUES, EMBALAJE Y DEMAS ELEMENTOS QUE PRODUZCAN EL PROYECTO SEPEC, EN EL MARCO DEL CONTRATO INTERADMINISTRATIVO NO 75 DE 2023, SUSCRITO ENTRE LA AUTORIDAD NACIONAL DE ACUICULTURA Y PESCA -AUNAP Y UNIVERSIDAD DEL MAGDALENA</t>
  </si>
  <si>
    <t>https://community.secop.gov.co/Public/Tendering/ContractNoticePhases/View?PPI=CO1.PPI.23699453&amp;isFromPublicArea=True&amp;isModal=False</t>
  </si>
  <si>
    <t>OPS-VEX-0485-2023</t>
  </si>
  <si>
    <t>ESMERALDA LUCIA MENESES DURAN - SION DIGITAL</t>
  </si>
  <si>
    <t>EL SERVICIO DE FOTOCOPIADO DE HASTA 378.300 REPRODUCCIONES DE LOS FORMULARIOS, FORMATOS, FOLLETOS DE CAMPO, BOLETINES TÉCNICOS Y DOCUMENTOS VARIOS QUE SE REQUIEREN PARA EL CUMPLIMIENTO DE LOS OBJETIVOS CONTRATADOS DEL PROYECTO SEPEC, EN EL MARCO DEL CONTRATO INTERADMINISTRATIVO NO 75 DE 2023.</t>
  </si>
  <si>
    <t>https://community.secop.gov.co/Public/Tendering/ContractNoticePhases/View?PPI=CO1.PPI.23859460&amp;isFromPublicArea=True&amp;isModal=False</t>
  </si>
  <si>
    <t>OPS-VEX-0520-2023</t>
  </si>
  <si>
    <t>EL SERVICIO DE ALQUILER DE CUATRO (4) MÓDULOS METÁLICOS DE 20FT (6M APROX.) ADECUADOS PARA SERVIR COMO OFICINAS Y PARA ALMACENAR LAS CAJAS CODIFICADAS QUE CONTIENEN LOS FORMATOS DE CAMPO DEL SEPEC, EN EL MARCO DEL CONTRATO NO 75 DE 2023, SUSCRITO ENTRE LA AUTORIDAD NACIONAL DE ACUICULTURA Y PESCA - AUNAP Y LA UNIVERSIDAD DEL MAGDALENA</t>
  </si>
  <si>
    <t>https://community.secop.gov.co/Public/Tendering/ContractNoticePhases/View?PPI=CO1.PPI.24058459&amp;isFromPublicArea=True&amp;isModal=False</t>
  </si>
  <si>
    <t>OSM-VEX-0002-2023</t>
  </si>
  <si>
    <t>AGENCIA DE VIAJES Y TURISMO AVIATUR S.A.S. - AVIATUR</t>
  </si>
  <si>
    <t>EL SUMINISTRO DE TIQUETES AEREOS NACIONALES PARA FUNCIONARIOS, DOCENTES, NO DOCENTES, CATEDRATICOS, DOCENTES INVITADOS, CONTRATISTAS, INVITADOS Y ESTUDIANTES DE LA UNIVERSIDAD DEL MAGDALENA, PARA EL DESARROLLO DE LAS ACTIVIDADES DEL PROYECTO SEPEC, EN MARCO DE LA EJECUCIÓN DEL CONTRATO INTERADMINISTRATIVO NO 75 DE 2023</t>
  </si>
  <si>
    <t>https://community.secop.gov.co/Public/Tendering/ContractNoticePhases/View?PPI=CO1.PPI.23465629&amp;isFromPublicArea=True&amp;isModal=False</t>
  </si>
  <si>
    <t>OAG-VEX-0629-2023</t>
  </si>
  <si>
    <t>ERIKA TATIANA PRADA ARAGON</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</si>
  <si>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DE CONFORMIDAD CON EL CRONOGRAMA DE MUESTREO ESTABLECIDO POR EL COORDINADOR DEL COMPONENTE DE REGISTRO DE TALLAS DEL SEPEC. 6) SERVIR DE APOYO AL PROCESO ADMINISTRATIVO EN LA LEGALIZACIÓN DE LAS SALIDAS DE CAMPO. 7) PRESENTAR INFORMES MENSUALES DE ACTIVIDAD</t>
  </si>
  <si>
    <t>https://community.secop.gov.co/Public/Tendering/ContractNoticePhases/View?PPI=CO1.PPI.25422318&amp;isFromPublicArea=True&amp;isModal=False</t>
  </si>
  <si>
    <t>OPSP-VEX-0637-2023</t>
  </si>
  <si>
    <t>ERICK LEONARDO GARCIA FERNANDEZ</t>
  </si>
  <si>
    <t>COORDINAR Y VERIFICAR CON PERIODICIDAD SEMANAL LAS ACTIVIDADES DE LOS TÉCNICOS DE CAMPO DEL COMPONENTE DE PESCA DE CONSUMO ARTESANAL DEL SEPEC EN LA ZONA NORTE DEL LITORAL CARIBE 2) REVISAR, VERIFICAR Y VALIDAR LA INFORMACIÓN CONSIGNADA EN LAS BASES DE DATOS DE DESEMBARCOS ARTESANALES, LONGITUDES DE CAPTURA Y COSTOS DE FAENA 3) REMITIR A LOS TÉCNICOS DE CAMPO LAS OBSERVACIONES GENERADAS POR EL EQUIPO TÉCNICO DEL SEPEC EN LOS PLAZOS INDICADOS PARA TAL FIN 4 HACER SEGUIMIENTO AL PROCESO DE CORRECCIÓN O VERIFICACIÓN DE TALES DATOS POR PARTE DEL TÉCNICO RESPECTIVO 5 COORDINAR LAS ACTIVIDADES RELACIONADAS CON EL REGISTRO DE DATOS DE LONGITUDES DE CAPTURA DE LOS RECURSOS PRIORIZADOS 6 REGISTRAR DATOS DE LONGITUDES DE CAPTURA DE LOS RECURSOS PESQUEROS PRIORIZADOS DURANTE LAS SALIDAS DE CAMPO 7 APOYAR EL PROCESO ADMINISTRATIVO EN LA LEGALIZACIÓN DE LOS RECURSOS DE AVANCE Y SALIDAS DE CAMPO 8 APOYAR AL COORDINADOR DEL COMPONENTE DE PESCA DE CONSUMO EN LA ORGANIZACIÓN DE LOS TALLERES 9) APOYAR DESDE LOS PUNTOS DE VISTA LOGÍSTICO, TÉCNICO Y ADMINISTRATIVO LA REALIZACIÓN DE LA ENCUESTA ESTRUCTURAL EN LOS SITIOS UBICADOS DENTRO DE SU RESPECTIVA ÁREA DE COBERTURA</t>
  </si>
  <si>
    <t>https://community.secop.gov.co/Public/Tendering/ContractNoticePhases/View?PPI=CO1.PPI.25477011&amp;isFromPublicArea=True&amp;isModal=False</t>
  </si>
  <si>
    <t>OAG-VEX-0640-2023</t>
  </si>
  <si>
    <t>EDWIN OCTAVIO VELA PEREZ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</si>
  <si>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DE CONFORMIDAD CON EL CRONOGRAMA DE MUESTREO ESTABLECIDO POR EL COORDINADOR DEL COMPONENTE DE REGISTRO DE TALLAS DEL SEPEC. 6) SERVIR DE APOYO AL PROCESO ADMINISTRATIVO EN LA LEGALIZACIÓN DE LAS SALIDAS DE CAMPO. 7) PRESENTAR INFORMES MENSUALES DE ACTIVIDAD</t>
  </si>
  <si>
    <t>https://community.secop.gov.co/Public/Tendering/ContractNoticePhases/View?PPI=CO1.PPI.25584298&amp;isFromPublicArea=True&amp;isModal=False</t>
  </si>
  <si>
    <t>OAG-VEX-0657-2023</t>
  </si>
  <si>
    <t>YULY YANETH YABRUDY DORIA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</si>
  <si>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LO CONCERNIENTE A LA LEGALIZACIÓN DE LAS SALIDAS DE CAMPO. 6) PRESENTAR INFORMES MENSUALES DE ACTIVIDAD 7) GARANTIZAR EL USO ADECUADO Y PARA LOS FINES ESTABLECIDOS TANTO DE LAS DOTACIONES INSTITUCIONALES</t>
  </si>
  <si>
    <t>https://community.secop.gov.co/Public/Tendering/ContractNoticePhases/View?PPI=CO1.PPI.25614298&amp;isFromPublicArea=True&amp;isModal=False</t>
  </si>
  <si>
    <t>OAG-VEX-0664-2023</t>
  </si>
  <si>
    <t>JUAN ESTEBAN ROMERO VANEGAS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</si>
  <si>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DE CONFORMIDAD CON EL CRONOGRAMA DE MUESTREO ESTABLECIDO 6 SERVIR DE APOYO AL PROCESO ADMINISTRATIVO EN LA LEGALIZACIÓN DE LAS SALIDAS DE CAMPO 7 PRESENTAR INFORMES MENSUALES DE ACTIVIDAD</t>
  </si>
  <si>
    <t>https://community.secop.gov.co/Public/Tendering/ContractNoticePhases/View?PPI=CO1.PPI.25740381&amp;isFromPublicArea=True&amp;isModal=False</t>
  </si>
  <si>
    <t>OSM-VEX-0001-2023</t>
  </si>
  <si>
    <t>SEGUROS COMERCIALES BOLIVAR S.A</t>
  </si>
  <si>
    <t>EL SUMINISTRO DE POLIZAS DE SEGURO NECESARIAS PARA CUMPLIR LOS AMPAROS DE LAS OFERTAS Y PROPUESTAS QUE SE PRESENTAN POR PARTE DE LA UNIVERSIDAD DEL MAGDALENA ANTE OTRAS ENTIDADES, ASÍ COMO LOS DEMÁS AMPAROS REQUERIDOS PARA EL PERFECCIONAMIENTO Y EJECUCIÓN DE CONTRATOS CONVENIOS U ÓRDENES. LA PROPUESTA HACE PARTE INTEGRAL DE LA PRESENTE ORDEN</t>
  </si>
  <si>
    <t>https://community.secop.gov.co/Public/Tendering/ContractNoticePhases/View?PPI=CO1.PPI.22834932&amp;isFromPublicArea=True&amp;isModal=False</t>
  </si>
  <si>
    <t>ODC-VEX-0011-2023</t>
  </si>
  <si>
    <t>COMPRA DE EQUIPOS TECNOLOGICOS (SCANNER, POTATÍL, DISCO DURO, MEMORIA RAM, PC, DISCO DURO, CABLE, TECLADO, MONITOR, MOUSE Y EXTENSION), REQUERIDOS PARA EL DESARROLLO DE LAS ACTIVIDADES ESTABLECIDAS EN LO REFERENTE A LA EJECUCIÓN ADMINISTRATIVA Y TÉCNICA DEL PROYECTO SEPEC, CONTEMPLADAS EN LOS OBJETIVOS DEL CONTRATO, EN EL MARCO DEL CONTRATO INTERADMINISTRATIVO NO. 75 DE 2023, SUSCRITO ENTRE LA AUTORIDAD NACIONAL DE ACUICULTURA Y PESCA - AUNAP - Y LA UNIVERSIDAD DEL MAGDALENA</t>
  </si>
  <si>
    <t>https://community.secop.gov.co/Public/Tendering/ContractNoticePhases/View?PPI=CO1.PPI.25941851&amp;isFromPublicArea=True&amp;isModal=False</t>
  </si>
  <si>
    <t>OAG-VEX-0697-2023</t>
  </si>
  <si>
    <t xml:space="preserve">DINA LUZ GUZMAN SIERRA </t>
  </si>
  <si>
    <t>LA PRESTACIÓN DE SERVICIOS DE APOYO A LA GESTIÓN, EN EL MARCO DEL CONTRATO INTERADMINISTRATIVO NO 75 DE 2023, SUSCRITO ENTRE LA AUNAP Y LA UNIVERSIDAD DEL MAGDALENA, PARA 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DE CONFORMIDAD CON EL CRONOGRAMA DE MUESTREO ESTABLECIDO 6) SERVIR DE APOYO AL PROCESO ADMINISTRATIVO DEL PROYECTO EN LO CONCERNIENTE A LA LEGALIZACIÓN DE LAS SALIDAS DE CAMPO. 7) PRESENTAR INFORMES MENSUALES DE ACTIVIDAD 8) GARANTIZAR EL USO ADECUADO Y PARA LOS FINES ESTABLECIDOS DE LAS DOTACIONES INSTITUCIONALES Y DE LAS HERRAMIENTAS DE TRABAJO ENTREGADAS PARA LA TOMA DE INFORMACIÓN</t>
  </si>
  <si>
    <t>https://community.secop.gov.co/Public/Tendering/ContractNoticePhases/View?PPI=CO1.PPI.26157978&amp;isFromPublicArea=True&amp;isModal=False</t>
  </si>
  <si>
    <t>OAG-VEX-0713-2023</t>
  </si>
  <si>
    <t>COTY MARIA MENGUAL SIJONA</t>
  </si>
  <si>
    <t>APOYO A LA GESTIÓN, EN EL MARCO DEL CONTRATO INTERADMINISTRATIVO NO 75 DE 2023, SUSCRITO ENTRE LA AUNAP Y LA UNIVERSIDAD DEL MAGDALENA, PARA RECOLECTAR LAS ESTADÍSTICAS DE DESEMBARCO RELATIVAS A LA PESCA DE CONSUMO EN EL PUNTO DE MONITOREO ASIGNADO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SERVIR DE APOYO AL PROCESO ADMINISTRATIVO EN LA LEGALIZACIÓN DE LAS SALIDAS DE CAMPO 5 PRESENTAR INFORMES MENSUALES DE ACTIVIDAD 6) GARANTIZAR EL USO ADECUADO DE LAS DOTACIONES INSTITUCIONALES Y DE LAS HERRAMIENTAS DE TRABAJO ENTREGADAS PARA LA TOMA DE INFORMACIÓN.</t>
  </si>
  <si>
    <t>https://community.secop.gov.co/Public/Tendering/ContractNoticePhases/View?PPI=CO1.PPI.26216490&amp;isFromPublicArea=True&amp;isModal=False</t>
  </si>
  <si>
    <t>OPSP-VEX-0711-2023</t>
  </si>
  <si>
    <t xml:space="preserve">YARIMA DE JESUS VALLE DÍAZ </t>
  </si>
  <si>
    <t>PRESTACIÓN DE SERVICIOS PROFESIONALES EN EL MARCO DEL CONTRATO INTERADMINISTRATIVO NO 75 DE 2023, SUSCRITO ENTRE LA AUNAP Y LA UNIVERSIDAD DEL MAGDALENA, PARA RECOLECTAR LAS ESTADÍSTICAS DE DESEMBARCO RELATIVAS A LA PESCA DE CONSUMO EN EL PUNTO DE MONITOREO ASIGNADO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SERVIR DE APOYO AL PROCESO ADMINISTRATIVO EN LA LEGALIZACIÓN DE LAS SALIDAS DE CAMPO 5 PRESENTAR INFORMES MENSUALES DE ACTIVIDAD 6) GARANTIZAR EL USO ADECUADO DE LAS DOTACIONES INSTITUCIONALES Y DE LAS HERRAMIENTAS DE TRABAJO ENTREGADAS PARA LA TOMA DE INFORMACIÓN.</t>
  </si>
  <si>
    <t>https://community.secop.gov.co/Public/Tendering/ContractNoticePhases/View?PPI=CO1.PPI.26217130&amp;isFromPublicArea=True&amp;isModal=False</t>
  </si>
  <si>
    <t>OAG-VEX-0712-2023</t>
  </si>
  <si>
    <t xml:space="preserve">BREYDIS CORREA DÍAZ </t>
  </si>
  <si>
    <t>APOYO A LA GESTIÓN, EN EL MARCO DEL CONTRATO INTERADMINISTRATIVO NO 75 DE 2023, SUSCRITO ENTRE LA AUNAP Y LA UNIVERSIDAD DEL MAGDALENA, PARA RECOLECTAR LAS ESTADÍSTICAS DE DESEMBARCO RELATIVAS A LA PESCA DE CONSUMO EN EL PUNTO DE MONITOREO ASIGNADO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SERVIR DE APOYO AL PROCESO ADMINISTRATIVO EN LA LEGALIZACIÓN DE LAS SALIDAS DE CAMPO 5REGISTRAR LOS DATOS DE TALLAS DE LOS RECURSOS PESQUEROS PRIORIZADOS PARA SU RESPECTIVA AREA DE COBERTURA 6 PRESENTAR INFORMES MENSUALES DE ACTIVIDAD 7) GARANTIZAR EL USO ADECUADO DE LAS DOTACIONES INSTITUCIONALES Y DE LAS HERRAMIENTAS DE TRABAJO ENTREGADAS PARA LA TOMA DE INFORMACIÓN.</t>
  </si>
  <si>
    <t>OAG-VEX-0714-2023</t>
  </si>
  <si>
    <t>CELIANO ORTEGA PÉREZ</t>
  </si>
  <si>
    <t>APOYO A LA GESTION EN EL MARCO DEL CONTRATO INTERADMINISTRATIVO NO 75 DE 2023, SUSCRITO ENTRE LA AUNAP Y LA UNIVERSIDAD DEL MAGDALENA, PARA RECOLECTAR LAS ESTADÍSTICAS DE DESEMBARCO RELATIVAS A LA PESCA DE CONSUMO EN EL PUNTO DE MONITOREO ASIGNADO 2) EN EL CASO DEL SITIO DE DESEMBARCO ASIGNADO SEA MONITOREADO SIGUIENDO LA METODOLOGÍA CENSAL, REGISTRAR TAMBIÉN EL VALOR ECONÓMICO DEL DESEMBARCO Y LOS COSTOS DE FAENA 3) DILIGENCIAR, AUDITAR Y ENTREGAR TODA LA INFORMACIÓN EN LOS FORMATOS FÍSICOS ESTABLECIDOS PARA EL MONITOREO 4) SERVIR DE APOYO AL PROCESO ADMINISTRATIVO EN LA LEGALIZACIÓN DE LAS SALIDAS DE CAMPO 5 PRESENTAR INFORMES MENSUALES DE ACTIVIDAD 6) GARANTIZAR EL USO ADECUADO DE LAS DOTACIONES INSTITUCIONALES Y DE LAS HERRAMIENTAS DE TRABAJO ENTREGADAS PARA LA TOMA DE INFORMACIÓN.</t>
  </si>
  <si>
    <t>https://community.secop.gov.co/Public/Tendering/ContractNoticePhases/View?PPI=CO1.PPI.26217517&amp;isFromPublicArea=True&amp;isModal=False</t>
  </si>
  <si>
    <t>OPS-VEX-0716-2023</t>
  </si>
  <si>
    <t>SERVICIO TÉCNICO REQUERIDO PARA REALIZAR LA ENCUESTA ESTRUCTURAL DE LOS SITIOS DE DESEMBARCO PESQUERO EN LA ZONA NORTE DEL DEPARTAMENTO DE LA GUAJIRA (ALTA GUAJIRA), ACTIVIDAD ENMARCADA EN LA OBLIGACIÓN 7 DEL CONTRATO NO 075 DE 2023, SUSCRITO ENTRE LA AUNAP Y UNIMAGDALENA. ESPECÍFICAMENTE, SE TRATA DE EFECTUAR LA ENCUESTA ESTRUCTURAL PESQUERA EN 33 SITIOS DE DESEMBARCO, DONDE SE EFECTUARA LA CARACTERIZACIÓN DE LOS SITIOS PESQUEROS Y SUS RESPECTIVAS UNIDADES ECONÓMICAS DE PESCA (UEPS), A PARTIR DE LA APLICACIÓN DEL FORMULARIO DISEÑADO PARA TAL FIN, EL CUAL INTEGRA ASPECTOS DE LA UBICACIÓN GEOGRÁFICA DE LOS SITIOS, VARIABLES TECNOLÓGICAS Y OPERATIVAS DE LAS UEPS</t>
  </si>
  <si>
    <t>https://community.secop.gov.co/Public/Tendering/ContractNoticePhases/View?PPI=CO1.PPI.26252371&amp;isFromPublicArea=True&amp;isModal=False</t>
  </si>
  <si>
    <t>OPS-VEX-0717-2023</t>
  </si>
  <si>
    <t xml:space="preserve">HERACLITO SANTOS RODRIGUEZ </t>
  </si>
  <si>
    <t>SERVICIO TÉCNICO REQUERIDO PARA REALIZAR LA ENCUESTA ESTRUCTURAL DE SITIOS DE DESEMBARCO PESQUERO EN LA CUENCA DEL RÍO ATRATO, ACTIVIDAD ENMARCADA EN LA OBLIGACIÓN 7 DEL CONTRATO NO 075 DE 2023, SUSCRITO ENTRE LA AUNAP Y UNIMAGDALENA. ESPECÍFICAMENTE, SE TRATA DE EFECTUAR LA ENCUESTA ESTRUCTURAL PESQUERA EN 48 SITIOS DE PESCA DE LA CUENCA DEL RÍO ATRATO, DONDE SE EFECTUARÁ LA CARACTERIZACIÓN DE LOS SITIOS PESQUEROS Y SUS RESPECTIVAS UNIDADES ECONÓMICAS DE PESCA (UEPS), A PARTIR DE LA APLICACIÓN DEL FORMULARIO DISEÑADO PARA TAL FIN</t>
  </si>
  <si>
    <t>https://community.secop.gov.co/Public/Tendering/ContractNoticePhases/View?PPI=CO1.PPI.26253144&amp;isFromPublicArea=True&amp;isModal=False</t>
  </si>
  <si>
    <t>OPSP-VEX-0738-2023</t>
  </si>
  <si>
    <t>RICARDO GONZALEZ ALARCON</t>
  </si>
  <si>
    <t xml:space="preserve">LA PRESTACIÓN DE SERVICIOS PROFESIONALES EN EL MARCO DEL CONTRATO INTERADMINISTRATIVO NO 75 DE 2023, SUSCRITO ENTRE LA AUNAP Y LA UNIVERSIDAD DEL MAGDALENA PARA 1 COORDINAR Y VERIFICAR LAS ACTIVIDADES DE LOS TÉCNICOS DE CAMPO DEL COMPONENTE DE PESCA DE CONSUMO ARTESANAL DEL SEPEC EN LAS REGIONES DE LA ORINOQUIA Y LA AMAZONIA 2) REVISAR, VERIFICAR Y VALIDAR LA INFORMACIÓN CONSIGNADA EN LAS BASES DE DATOS DE DESEMBARCOS ARTESANALES, LONGITUDES DE CAPTURA Y COSTOS DE FAENA 3 REMITIR A LOS TÉCNICOS DE CAMPO LAS OBSERVACIONES GENERADAS POR EL EQUIPO TÉCNICO DEL SEPEC 4 HACER SEGUIMIENTO AL PROCESO DE CORRECCIÓN O VERIFICACIÓN DE DATOS POR PARTE DEL TÉCNICO RESPECTIVO 5 COORDINAR LAS ACTIVIDADES RELACIONADAS CON EL REGISTRO DE DATOS DE LONGITUDES DE CAPTURA DE LOS RECURSOS PRIORIZADOS 6 REGISTRAR DATOS DE LONGITUDES DE CAPTURA DE LOS RECURSOS PESQUEROS PRIORIZADOS DURANTE LAS SALIDAS DE CAMPO 7 APOYAR EL PROCESO ADMINISTRATIVO EN LA LEGALIZACIÓN DE LOS RECURSOS DE AVANCE Y SALIDAS DE CAMPO 8 APOYAR AL COORDINADOR DEL COMPONENTE DE PESCA DE CONSUMO EN LA ORGANIZACIÓN DE TALLERES 9 APOYAR LA REALIZACIÓN DE LA ENCUESTA ESTRUCTURAL 10 PRESENTAR INFORME DE ACTIVIDADES </t>
  </si>
  <si>
    <t>https://community.secop.gov.co/Public/Tendering/ContractNoticePhases/View?PPI=CO1.PPI.26380591&amp;isFromPublicArea=True&amp;isModal=False</t>
  </si>
  <si>
    <t>OPSP-VEX-407-2023</t>
  </si>
  <si>
    <t xml:space="preserve"> ANGIE LICETH HENAO ROA</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</si>
  <si>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 SECTOR LA PAZ.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</si>
  <si>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JAIME MORON CARDENAS</t>
  </si>
  <si>
    <t>https://community.secop.gov.co/Public/Tendering/OpportunityDetail/Index?noticeUID=CO1.NTC.4061974&amp;isFromPublicArea=True&amp;isModal=False</t>
  </si>
  <si>
    <t>OPSP-VEX-408-2023</t>
  </si>
  <si>
    <t xml:space="preserve"> ARANTXA CLEMENTINA TOLOZA ROYERO</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</si>
  <si>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</si>
  <si>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https://community.secop.gov.co/Public/Tendering/OpportunityDetail/Index?noticeUID=CO1.NTC.4062065&amp;isFromPublicArea=True&amp;isModal=False</t>
  </si>
  <si>
    <t>OPSP-VEX-406-2023</t>
  </si>
  <si>
    <t>JAIME JOSE PEREZ ARIAS</t>
  </si>
  <si>
    <t>PRESTAR SERVICIOS PROFESIONALES EN EL MARCO DEL CONVENIO NO.
7000000013 DE 2021, CELEBRADO ENTRE CENIT LOGÍSTICA Y TRANSPORTE DE HIDROCARBUROS SAS Y LA
UNIVERSIDAD DEL MAGDALENA, PARA EL DESARROLLO DE LAS SIGUIENTES ACTIVIDADES: 1) DESARROLLAR EL CURSO DENOMINADO
“SALVAMENTO ACUÁTICO”, DIRIGIDO A OPERADORES TURÍSTICOS DEL ÁREA DE INFLUENCIA DEL TERMINAL DE POZOS COLORADOS
DE SANTA MARTA. 2) REALIZAR LA PROGRAMACIÓN ACADÉMICA DEL CURSO Y/O ACTIVIDADES ASIGNADAS. 3) PRESENTAR
INFORMES, LISTAS DE ASISTENCIA Y DEMÁS DOCUMENTOS AL SUPERVISOR</t>
  </si>
  <si>
    <t>https://community.secop.gov.co/Public/Tendering/OpportunityDetail/Index?noticeUID=CO1.NTC.4062030&amp;isFromPublicArea=True&amp;isModal=False</t>
  </si>
  <si>
    <t>OPSP-VEX-409-2023</t>
  </si>
  <si>
    <t>OMAR MAURICIO PINZON CANTILLO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</si>
  <si>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LOGÍSTICA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CARGAR AL DRIVE DEL PROYECTO, TODA LA INFORMACIÓN TÉCNICA Y FINANCIERA DEL COMPONENTE.</t>
  </si>
  <si>
    <t>https://community.secop.gov.co/Public/Tendering/OpportunityDetail/Index?noticeUID=CO1.NTC.4062111&amp;isFromPublicArea=True&amp;isModal=False</t>
  </si>
  <si>
    <t>OPSP-VEX-410-2023</t>
  </si>
  <si>
    <t xml:space="preserve"> PABLO ROSSY MELO NORIEGA</t>
  </si>
  <si>
    <t>PRESTAR SERVICIOS PROFESIONALES EN EL MARCO DEL CONVENIO NO. 7000000013 DE 2021, CELEBRADO ENTRE CENIT LOGÍSTICA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EL EVENTO DE CERTIFICACIÓN Y CLAUSURA DEL PROCESO FORMATIVO. 5) COORDINAR LA ENTREGA DE DOTACIONES A LOS BENEFICIARIOS DEL COMPONENTE.</t>
  </si>
  <si>
    <t>https://community.secop.gov.co/Public/Tendering/OpportunityDetail/Index?noticeUID=CO1.NTC.4062050&amp;isFromPublicArea=True&amp;isModal=False</t>
  </si>
  <si>
    <t>OPSP-VEX-411-2023</t>
  </si>
  <si>
    <t>ROBERTO ALFONSO GARCIA CAMPO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</si>
  <si>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TURÍSTICOS DEL PROYECTO. 3) REALIZAR Y PRESENTAR INFORMES MENSUALES DE LA EJECUCIÓN FINANCIERA DEL COMPONENTE DE OPERADORES TURÍSTICOS DEL PROYECTO. 4) PARTICIPAR EN LA ELABORACIÓN DE INFORMES TÉCNICOS DEL COMPONENTE DE OPERADORES TURÍSTICOS DEL PROYECTO. 5) REALIZAR REPORTES A CENIT LOGÍSTICA Y TRANSPORTE DE HIDROCARBUROS S.A.S SOBRE LOS TRABAJOS REALIZADOS EN CAMPO CON RESPECTO AL COMPONENTE DE OPERADORES TURÍSTICOS.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SOLICITAR LAS RESPECTIVAS CUENTAS DE COBRO AL GRUPO DE FACTURACIÓN Y CARTERA DE LA UNIVERSIDAD, PARA SER PRESENTADAS A CENIT LOGÍSTICA Y TRANSPORTE DE HIDROCARBUROS S.A.S. 9) REVISAR Y HACER SEGUIMIENTO A LOS PAGOS DE HONORARIOS Y ESTÍMULOS ECONÓMICOS PARA DOCENTES. 10) CARGAR AL DRIVE DEL PROYECTO, TODA LA INFORMACIÓN TÉCNICA Y FINANCIERA DEL COMPONENTE DE OPERADORES TURÍSTICOS.</t>
  </si>
  <si>
    <t>https://community.secop.gov.co/Public/Tendering/OpportunityDetail/Index?noticeUID=CO1.NTC.4061966&amp;isFromPublicArea=True&amp;isModal=False</t>
  </si>
  <si>
    <t>OPSP-VEX-412-2023</t>
  </si>
  <si>
    <t>YESENIA VILLALOBOS</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</si>
  <si>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TURÍSTICOS EN EL ÁREA DE INFLUENCIA DEL TERMINAL DE POZOS COLORADOS. 3) ORGANIZAR CON LOS PROVEEDORES, LA LOGÍSTICA DE LOS EVENTOS DIRIGIDOS A LOS MIEMBROS DE ASOCIACIONES DE OPERADORES TURÍSTICOS. 4) BRINDAR ACOMPAÑAMIENTO A LOS PROVEEDORES EN LA EJECUCIÓN DE LAS FERIAS TURÍSTICAS Y GASTRONÓMICAS, CURSOS DE COCINA, PRIMEROS AUXILIOS Y SALVAMENTO ACUÁTICO. 5) DILIGENCIAR FORMATOS DE CONSENTIMIENTO INFORMADO DE LOS PARTICIPANTES DE OPERADORES TURÍSTICOS EN LAS REUNIONES Y MESAS DE TRABAJO. 6) APOYAR LA SISTEMATIZACIÓN DE LA EXPERIENCIA EN CADA UNA DE LAS ACTIVIDADES DESARROLLADAS EN EL MARCO DEL COMPONENTE.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</si>
  <si>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https://community.secop.gov.co/Public/Tendering/OpportunityDetail/Index?noticeUID=CO1.NTC.4061973&amp;isFromPublicArea=True&amp;isModal=False</t>
  </si>
  <si>
    <t>OPS-VEX-0399-2023</t>
  </si>
  <si>
    <t>900687982-0</t>
  </si>
  <si>
    <t>GRUPO J&amp;L CARIBE SAS_x000D_</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</si>
  <si>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LOS EVENTOS DE CLAUSURA Y CERTIFICACIÓN DE LOS PROCESOS FORMATIVOS QUE CONTEMPLAN LOS COMPONENTES DE JUNTAS DE ACCIÓN COMUNAL (JAC) Y PESCADORES DEL PROYECTO. EL SERVICIO CONTRATADO COMPRENDE: I) ALQUILER DE 2 SALONES DE EVENTOS CLIMATIZADOS, CADA UNO CON CAPACIDAD PARA 100 PERSONAS APROXIMADAMENTE. II) SERVICIO DE TRASLADO DE LOS BENEFICIARIOS DE LOS COMPONENTES DE JAC Y PESCADORES DEL PROYECTO, IDA Y VUELTA PARA ASISTENCIA A LOS EVENTOS DE CLAUSURA Y CERTIFICACIÓN. III) 300 REFRIGERIOS, 3 OPCIONES: CREPE DE POLLO, JAMÓN, CHAMPIÑONES O QUESO, SANDUCHES MIXTOS GRATINADOS, O FLAUTAS MEXICANAS, CON JUGO O GASEOSA. IV) ALQUILER DE 2 EQUIPOS DE SONIDO TIPO CABINA CON TRÍPODE SOPORTE, MEZCLADOR Y 2 MICRÓFONOS INALÁMBRICOS. V) ALQUILER DE 2 EQUIPOS AUDIOVISUALES: VIDEO BEAM ESTÁNDAR VI) ALQUILER DE 200 SILLAS CHIAVARI VII) ALQUILER DE 4 MESAS VESTIDAS VIII) 4 ARREGLOS FLORALES IX) 2 ESTACIONES DE AGUA Y CAFÉ X) 2 MAESTROS DE CEREMONIA PARA EVENTOS DE CLAUSURA Y CERTIFICACIÓN. XI) SERVICIO DE 8 MESEROS XII) DISEÑO DE CERTIFICADOS DE CLAUSURA DE 2 COMPONENTES DEL PROYECTO XIII) 140 IMPRESIONES DE CERTIFICADOS XIV) 681 IMPRESIONES FULL COLOR PARA ACTA DE RECIBIDOS, CONSENTIMIENTOS INFORMADOS Y ACTAS DE ASISTENCIA CONTINUACIÓN ORDEN DE SERVICIOS N° 0399-2023 CÓDIGO: CO-F-025 APROBACIÓN: 19/09/2019 VERSIÓN: 11 PÁGINA 2 DE 5 XV) 25 ALMUERZOS, CADA UNO CONSTA DE DOS PORCIONES DE PROTEÍNA DE 250 GRAMOS, UNA PORCIÓN DE CARBOHIDRATO (ARROZ), ENSALADA, BEBIDA EQUIVALENTE A 250 ML, TODO DEBIDAMENTE SERVIDO, PARA SER DISTRIBUIDOS ENTRE EL EQUIPO TÉCNICO DE LA UNIVERSIDAD DEL MAGDALENA Y LOS ASISTENTES POR PARTE DE CENIT.</t>
  </si>
  <si>
    <t>https://community.secop.gov.co/Public/Tendering/OpportunityDetail/Index?noticeUID=CO1.NTC.4013544&amp;isFromPublicArea=True&amp;isModal=False</t>
  </si>
  <si>
    <t>OPS-VEX-0521-2023</t>
  </si>
  <si>
    <t>INGRID PAOLA AMADOR MARTINEZ</t>
  </si>
  <si>
    <t>LA PRESENTE ORDEN TIENE POR OBJETO PRESTAR SERVICIO REQUERIDO EN EL COMPONENTE DE OPERADORES TURÍSTICOS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SERVICIO CONTRATADO COMPRENDE:
DIAGRAMACIÓN E IMPRESIÓN DE 4 PENDONES FULL COLOR EN BANNER DE ALTA RESOLUCIÓN 100X200 CM, INCLUYE PORTA PENDONES Y ARAÑAS. LA PROPUESTA HACE PARTE INTEGRAL DE LA PRESENTE ORDEN.</t>
  </si>
  <si>
    <t>https://community.secop.gov.co/Public/Tendering/OpportunityDetail/Index?noticeUID=CO1.NTC.4233027&amp;isFromPublicArea=True&amp;isModal=False</t>
  </si>
  <si>
    <t>OSM-VEX-0005-2023</t>
  </si>
  <si>
    <t>901231329-7</t>
  </si>
  <si>
    <t>GAFIMOPE SAS</t>
  </si>
  <si>
    <t>LA PRESENTE ORDEN TIENE POR OBJETO, EL SUMINISTRO DE 3.640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EL DESARROLLO DE SESIONES FORMATIVAS Y
TALLERES DE PROSPECTIVA TURÍSTICAS DEL COMPONENTE DIRIGIDO A OPERADORES TURÍSTICOS.
LOS REFRIGERIOS CONTRATADOS CONSTAN DE UNA PORCIÓN DE HARINA CON RELLENO DE UNA PROTEÍNA (CARNE RES,
POLLO, ATÚN O SIMILAR) EQUIVALENTE A 100 GRAMOS, REFRESCO NATURAL O CARBONATADO DE MÍNIMO 300 ML
DEBIDAMENTE ENVASADO Y SERVIDO Y CHOCOLATINA DE 30 GR.
PARÁGRAFO I. LA PROPUESTA HACE PARTE INTEGRAL DE LA PRESENTE ORDEN.
PARÁGRAFO II. EL CONTRATISTA DEBERÁ ENTREGAR LOS ELEMENTOS CONTRATADOS DE CONFORMIDAD CON LAS
ESPECIFICACIONES Y LAS CANTIDADES SOLICITADAS POR UNIMAGDALENA. SÓLO SE PAGARÁN LOS ELEMENTOS Y
CANTIDADES REALMENTE RECIBIDAS POR PARTE DEL SUPERVISOR.</t>
  </si>
  <si>
    <t>https://community.secop.gov.co/Public/Tendering/OpportunityDetail/Index?noticeUID=CO1.NTC.4233084&amp;isFromPublicArea=True&amp;isModal=False</t>
  </si>
  <si>
    <t>OPSP-VEX-0571-2023</t>
  </si>
  <si>
    <t>DRAYDA CAROLINA SANTIZ ROSAS</t>
  </si>
  <si>
    <t>LA PRESENTE ORDEN TIENE POR OBJETO: PRESTAR SERVICIOS PROFESIONALES EN EL MARCO DEL CONVENIO INTERADMINISTRATIVO NO. CONV-002-2023, CELEBRADO ENTRE EL MUNICIPIO DE EL CARMEN DE BOLÍVAR, BOLÍVAR Y LA UNIVERSIDAD DEL MAGDALENA, PARA EL DESARROLLO DE LAS SIGUIENTES ACTIVIDADES: 1) PROYECTAR RESOLUCIONES, ÓRDENES DE SERVICIOS PROFESIONALES, DE APOYO A LA GESTIÓN, COMPRAS, SERVICIOS, SUMINISTROS Y DEMÁS QUE SE REQUIERAN PARA EL CUMPLIMIENTO DEL OBJETO CONTRACTUAL. 2) REVISAR Y APROBAR EN SIGEP II Y EN GEDOCO LOS DATOS Y DOCUMENTOS CARGADOS POR LAS PERSONAS QUE SE VINCULARÁN. 3) INTERACTUAR CON LA OFICINA ASESORA JURÍDICA Y LA VICERRECTORÍA DE EXTENSIÓN Y PROYECCIÓN SOCIAL CON LA FINALIDAD DE SOLUCIONAR CON PRONTITUD LAS DIVERSAS SITUACIONES JURÍDICAS QUE SE PUEDAN PRESENTAR EN EL DESARROLLO DEL CONVENIO</t>
  </si>
  <si>
    <t>https://community.secop.gov.co/Public/Tendering/OpportunityDetail/Index?noticeUID=CO1.NTC.4381544&amp;isFromPublicArea=True&amp;isModal=False</t>
  </si>
  <si>
    <t>OPSP-VEX-0572-2023</t>
  </si>
  <si>
    <t xml:space="preserve">MARIA ALEJANDRA TABORDA DE LA HOZ </t>
  </si>
  <si>
    <t>LA PRESENTE ORDEN TIENE POR OBJETO: PRESTAR SERVICIOS PROFESIONALES EN EL MARCO DEL CONVENIO NO. 7000000013 DE 2021, CELEBRADO ENTRE CENIT LOGÍSTICA Y TRANSPORTE DE HIDROCARBUROS SAS Y LA UNIVERSIDAD DEL MAGDALENA, PARA: 1) ELABORAR DOCUMENTO DIAGNÓSTICO DEL AVANCE EN EL QUE SE ENCUENTRAN LOS NEGOCIOS O EMPRENDIMIENTOS A CARGO DEL GRUPO DE MUJERES BENEFICIARIAS DEL PROYECTO, TANTO DEL COMPONENTE EMPRESARIAL COMO DE LIDERAZGO. 2) DISEÑAR LAS METODOLOGÍAS QUE SE IMPLEMENTARÁN EN EL TALLER DE FORMALIZACIÓN DE NEGOCIOS Y EN EL EVENTO DE RUEDA DE NEGOCIOS. 3) DISEÑAR CATÁLOGOS VIRTUALES DE VENTA PARA CADA UNO DE LOS NEGOCIOS, LOS CUALES DEBERÁN CONTENER: I) DESCRIPCIÓN DEL PRODUCTO O SERVICIO; II) IMÁGENES O VIDEOS DEL PRODUCTO O SERVICIO; III) VALOR; IV) FORMA Y MEDIOS DE PAGO; V) FECHAS DE ENTREGA. 4) COORDINAR CON LA CÁMARA DE COMERCIO Y FENALCO JORNADAS DE CAPACITACIONES DIRIGIDAS AL GRUPO DE MUJERES BENEFICIARIAS DEL PROYECTO, PARA EL FORTALECIMIENTO DE SUS NEGOCIOS.</t>
  </si>
  <si>
    <t>https://community.secop.gov.co/Public/Tendering/OpportunityDetail/Index?noticeUID=CO1.NTC.4381545&amp;isFromPublicArea=True&amp;isModal=False</t>
  </si>
  <si>
    <t>CA-VEX-0001-2023</t>
  </si>
  <si>
    <t>890.501.631-7</t>
  </si>
  <si>
    <t xml:space="preserve">AGENCIA DE VIAJES Y TURISMO JUMBO L'ALIANXA S.A.S </t>
  </si>
  <si>
    <t>“DESARROLLAR LA INTERVENTORIA TÉCNICA, ADMINISTRATIVA, JURÍDICA Y FINANCIERA PARA LA EJECUCIÓN DEL PROYECTO DENOMINADO "DESARROLLO DE CAPACIDADES EN GESTION DE LA INNOVACION EMPRESARIAL PARA LAS MIPYMES DEL DEPARTAMENTO DE NORTE DE SANTANDER", CON CÓDIGO BPIN 2018000100077, CONFORME LO ESTABLECIDO EN EL DOCUMENTO TÉCNICO Y SUS ANEXOS, LA MGA, EL PRESUPUESTO APROBADO POR EL OCAD Y LOS ESTUDIOS PREVIOS DE CONVENIENCIA Y OPORTUNIDAD, LOS CUALES HARÁN PARTE INTEGRAL DEL CONTRATO</t>
  </si>
  <si>
    <t>https://community.secop.gov.co/Public/Tendering/OpportunityDetail/Index?noticeUID=CO1.NTC.4403651&amp;isFromPublicArea=True&amp;isModal=False</t>
  </si>
  <si>
    <t>OPSP-VEX-0585-2023</t>
  </si>
  <si>
    <t>DANIEL ARNULFO BALLESTAS LOPEZ</t>
  </si>
  <si>
    <t>LA PRESENTE ORDEN TIENE POR OBJETO: PRESTAR SERVICIOS PROFESIONALES EN EL MARCO DEL CONVENIO INTERADMINISTRATIVO NO. CONV-002-2023, CELEBRADO ENTRE EL MUNICIPIO DE EL CARMEN DE BOLÍVAR, BOLÍVAR Y LA UNIVERSIDAD DEL MAGDALENA, PARA: 1) COORDINAR EL DESARROLLO METODOLÓGICO DE LAS MESAS DE TRABAJO PARA LA FORMULACIÓN DEL EXPEDIENTE MUNICIPAL DE EL CARMEN DE BOLÍVAR, BOLÍVAR. 2) REALIZAR CAPACITACIÓN AL EQUIPO TÉCNICO RESPECTO A LA GUÍA EMITIDA POR EL MINISTERIO DE CIUDAD, VIVIENDA Y TERRITORIO PARA LA CONFORMACIÓN Y PUESTA EN MARCHA DE EXPEDIENTES MUNICIPALES. 3) ELABORAR EL ARCHIVO TÉCNICO E HISTÓRICO DEL EXPEDIENTE MUNICIPAL DEL PLAN BÁSICO DE ORDENAMIENTO TERRITORIAL (PBOT) DEL EL CARMEN DE BOLÍVAR, BOLÍVAR. 4) HACER SEGUIMIENTO TÉCNICO AL PROCESO DE CONSTRUCCIÓN DEL DOCUMENTO DE EVALUACIÓN Y SEGUIMIENTO DEL PBOT MUNICIPAL. 5) SOCIALIZAR ANTE LA SECRETARÍA DE PLANEACIÓN, LOS RESULTADOS OBTENIDOS DURANTE LA CONSTRUCCIÓN DEL EXPEDIENTE MUNICIPAL. 6) BRINDAR ASESORÍA Y ACOMPAÑAMIENTO TÉCNICO AL ENTE TERRITORIAL DURANTE LA PRESENTACIÓN DEL EXPEDIENTE MUNICIPAL ANTE EL CONSEJO TERRITORIAL DE PLANEACIÓN (CTP) Y EL CONCEJO MUNICIPAL</t>
  </si>
  <si>
    <t>https://community.secop.gov.co/Public/Tendering/OpportunityDetail/Index?noticeUID=CO1.NTC.4433779&amp;isFromPublicArea=True&amp;isModal=False</t>
  </si>
  <si>
    <t>OPSP-VEX-0586-2023</t>
  </si>
  <si>
    <t>CRISTIAN EDUARDO CARREÑO MARTINEZ</t>
  </si>
  <si>
    <t>LA PRESENTE ORDEN TIENE POR OBJETO: PRESTAR SERVICIOS PROFESIONALES EN EL MARCO DEL CONVENIO INTERADMINISTRATIVO NO. CONV-002-2023, CELEBRADO ENTRE EL MUNICIPIO DE EL CARMEN DE BOLÍVAR, BOLÍVAR Y LA UNIVERSIDAD DEL MAGDALENA, PARA: ELABORAR DOCUMENTO TÉCNICO DE CARACTERIZACIÓN SOCIODEMOGRÁFICA DEL MUNICIPIO DE EL CARMEN DE BOLÍVAR, BOLÍVAR</t>
  </si>
  <si>
    <t>https://community.secop.gov.co/Public/Tendering/OpportunityDetail/Index?noticeUID=CO1.NTC.4434083&amp;isFromPublicArea=True&amp;isModal=False</t>
  </si>
  <si>
    <t>OPSP-VEX-0587-2023</t>
  </si>
  <si>
    <t>GIANCARLOS HERNANDEZ ARGOTA</t>
  </si>
  <si>
    <t>LA PRESENTE ORDEN TIENE POR OBJETO: PRESTAR SERVICIOS PROFESIONALES EN EL MARCO DEL CONVENIO INTERADMINISTRATIVO NO. CONV-002-2023, CELEBRADO ENTRE EL MUNICIPIO DE EL CARMEN DE BOLÍVAR, BOLÍVAR Y LA UNIVERSIDAD DEL MAGDALENA, PARA: 1) ELABORAR DOCUMENTO TÉCNICO DE ANÁLISIS DE SUFICIENCIAS DE CONTENIDOS DEL PLAN BÁSICO DE ORDENAMIENTO TERRITORIAL – PBOT – VIGENTE DEL MUNICIPIO DE EL CARMEN DE BOLÍVAR, BOLÍVAR. 2) RECOPILAR Y ANALIZAR LA NORMATIVIDAD (RESOLUCIONES, DECRETOS, ACUERDOS Y/U ORDENANZAS) VIGENTE Y APLICABLE AL MUNICIPIO DE EL CARMEN DE BOLÍVAR, BOLÍVAR, EN TEMAS DE ORDENAMIENTO TERRITORIAL, PARA SU INCORPORACIÓN AL EXPEDIENTE MUNICIPAL. 3) PRESTAR ASESORÍA LEGAL DURANTE EL DESARROLLO DE REUNIONES Y MESAS DE TRABAJO CON EL EQUIPO TÉCNICO DE PLANEACIÓN MUNICIPAL DE EL CARMEN DE BOLÍVAR, BOLÍVAR</t>
  </si>
  <si>
    <t>https://community.secop.gov.co/Public/Tendering/OpportunityDetail/Index?noticeUID=CO1.NTC.4434409&amp;isFromPublicArea=True&amp;isModal=False</t>
  </si>
  <si>
    <t>OPSP-VEX-0588-2023</t>
  </si>
  <si>
    <t>MARTHA SHIRLEY QUINTERO PEREZ</t>
  </si>
  <si>
    <t>LA PRESENTE ORDEN TIENE POR OBJETO: PRESTAR SERVICIOS PROFESIONALES EN EL MARCO DEL CONVENIO INTERADMINISTRATIVO NO. CONV-002-2023, CELEBRADO ENTRE EL MUNICIPIO DE EL CARMEN DE BOLÍVAR, BOLÍVAR Y LA UNIVERSIDAD DEL MAGDALENA, PARA: 1) REVISAR LOS PAGOS DE HONORARIOS Y ESTÍMULOS DOCENTES DEL PERSONAL VINCULADO AL PROYECTO Y HACER SEGUIMIENTO HASTA EL DESEMBOLSO DE LOS MISMOS. 2) REALIZAR LIQUIDACIONES DE VIÁTICOS REQUERIDOS EN EL PROYECTO. 3) VELAR POR QUE SE CUMPLA LA EJECUCIÓN FINANCIERA SEGÚN LO ESTABLECIDO EN EL PLAN ANUAL MENSUALIZADO DE CAJA - PAC - DEL PROYECTO. 4) ELABORAR LOS INFORMES FINANCIEROS REQUERIDOS EN EL MARCO DEL PROYECTO.</t>
  </si>
  <si>
    <t>https://community.secop.gov.co/Public/Tendering/OpportunityDetail/Index?noticeUID=CO1.NTC.4434167&amp;isFromPublicArea=True&amp;isModal=False</t>
  </si>
  <si>
    <t>OPS-VEX-0593-2023</t>
  </si>
  <si>
    <t>GRUPO J&amp;L CARIBE SAS</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</si>
  <si>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DEL FORO DE PESCA Y ACUICULTURA Y LOS EVENTOS DE CLAUSURA Y CERTIFICACIÓN DE LOS PROCESOS FORMATIVOS QUE CONTEMPLA EL COMPONENTE DE MUJERES EN SUS DOS ENFOQUES: EMPRESARIAL Y LIDERAZGO.
EL SERVICIO CONTRATADO COMPRENDE:
I) ALQUILER DE 3 SALONES DE EVENTOS CLIMATIZADO, CADA UNO CON CAPACIDAD PARA 150 PERSONAS APROXIMADAMENTE.
II) 120 SOUVENIRES (LAPICERO, LIBRETA Y BOLSA CAMBRELA CON LOS DISTINTIVOS DEL PROYECTO)
III) 2 SERVICIOS DE TRASLADO DE LOS BENEFICIARIOS IDA Y VUELTA PARA ASISTENCIA A LOS EVENTOS.
IV) 500 REFRIGERIOS 3 OPCIONES: CREPE DE POLLO, JAMÓN Y QUESO O CHAMPIÑONES, SANDUCHES MIXTOS GRATINADOS O FLAUTAS MEXICANAS, CON JUGO O GASEOSA.
V) ALQUILER DE 3 EQUIPOS DE SONIDO TIPO CABINA CON TRÍPODE SOPORTE, MEZCLADOR Y MICRÓFONOS INALÁMBRICOS
VI) ALQUILER DE 3 EQUIPOS AUDIOVISUALES: VIDEO BEAM ESTÁNDAR
VII) ALQUILER DE 380 SILLAS CHIAVARI
VIII) ALQUILER DE 6 MESAS VESTIDAS
IX) 3 ARREGLOS FLORALES
X) 3 ESTACIONES DE AGUA Y CAFÉ
XI) MODERADOR PARA FORO DE PESCA Y ACUICULTURA
XII) 145 ALMUERZOS, CONSTA DE DOS PORCIONES DE PROTEÍNA DE 250 GRAMOS CADA UNO, UNA PORCIÓN DE CARBOHIDRATO (ARROZ), ENSALADAS, BEBIDA EQUIVALENTE A 250 ML, DEBIDAMENTE SERVIDO
XIII) SERVICIO DE 8 MESEROS
XIV) ALQUILER DE 1 SALA LOUNGE
XV) 25 ESTATUILLA DE RECONOCIMIENTO PARA EL COMPONENTE DE MUJERES
XVI) VIDEO CLIP, DE DURACIÓN DE 4 A 5 MIN CON LA TÉCNICA DE VOZ EN OFF, GALERÍA DE FOTOS, EDICIÓN EN ALTA RESOLUCIÓN DE LAS EXPERIENCIAS SIGNIFICATIVAS DEL PROYECTO
XVII) 2 MAESTROS DE CEREMONIA PARA LOS EVENTOS DE CERTIFICACIÓN Y CLAUSURA DEL COMPONENTE DE MUJERES
XVIII) DISEÑO DE 2 CERTIFICADOS DE LA CLAUSURA DEL COMPONENTE DE MUJERES
XIX) IMPRESIÓN DE 200 CERTIFICADOS DE CLAUSURA</t>
  </si>
  <si>
    <t>https://community.secop.gov.co/Public/Tendering/OpportunityDetail/Index?noticeUID=CO1.NTC.4452945&amp;isFromPublicArea=True&amp;isModal=False</t>
  </si>
  <si>
    <t>OSM-VEX-0006-2023</t>
  </si>
  <si>
    <t>900845290-0</t>
  </si>
  <si>
    <t>GRUPO EMPRESARIAL GAVA SAS</t>
  </si>
  <si>
    <t>LA PRESENTE ORDEN TIENE POR OBJETO, EL SUMINISTRO REQUERIDO EN EL MARCO DEL PROYECTO DE EXTENSIÓN DENOMINADO “CAPACITACIÓN Y ACTUALIZACIÓN ACADÉMICA EN LOS TEMAS PRIORITARIOS DEFINIDOS EN EL PLAN INSTITUCIONAL DE CAPACITACIÓN PIC 2023 DIRIGIDA A LOS SERVIDORES PÚBLICOS DEL SERVICIO NACIONAL DE APRENDIZAJE SENA- REGIONAL MAGDALENA EN EL PIC 2023", PARA SER DISTRIBUIDO DURANTE EL DESARROLLO DE SESIONES FORMATIVAS.
EL SUMINISTRO COMPRENDE:
I) 90 KITS DE FORMACIÓN, CADA UNO CONSTA DE AGENDA, ESFERO Y TULA MARCADA CON LOGOS E IMAGEN DEL PROYECTO.
II) 1.660 REFRIGERIOS A.M Y P.M, CADA UNO CONSTA DE UNA PORCIÓN DE HARINA CON RELLENO DE UNA PROTEÍNA (CARNE RES, POLLO, ATÚN O SIMILAR) EQUIVALENTE A 150 GRAMOS, REFRESCO NATURAL O CARBONATADO DE MÍNIMO 300 ML DEBIDAMENTE ENVASADO Y SERVIDO Y CHOCOLATINA DE 30 GR.</t>
  </si>
  <si>
    <t>https://community.secop.gov.co/Public/Tendering/OpportunityDetail/Index?noticeUID=CO1.NTC.4469228&amp;isFromPublicArea=True&amp;isModal=False</t>
  </si>
  <si>
    <t>OPSP-VEX-0605-2023</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</si>
  <si>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DIPLOMADO DENOMINADO “LEGALIDAD INSTITUCIONAL” EL CUAL DEBERÁ COMPRENDER: I) CÓDIGO DE PROCEDIMIENTO ADMINISTRATIVO. II) FORTALECIMIENTO DE LA INTEGRIDAD EN LOS PROCESOS INSTITUCIONALES. III) CONFLICTOS DE INTERESES. IV) TRANSPARENCIA. V) DERECHO DE ACCESO A LA INFORMACIÓN PÚBLICA. 2) DESARROLLAR EL CONTENIDO ACADÉMICO DEL DIPLOMADO, EL CUAL ESTARÁ DIRIGIDO A SERVIDORES PÚBLICOS DEL SERVICIO NACIONAL DE APRENDIZAJE – SENA, REGIONAL MAGDALENA. 3) REALIZAR LAS LABORES ACADÉMICO - ADMINISTRATIVAS QUE SE REQUIERAN PARA EL CIERRE DEL DIPLOMADO: I) EVALUACIÓN DEL CURSO. II) PRESENTACIÓN DE INFORME FINAL.</t>
  </si>
  <si>
    <t>https://community.secop.gov.co/Public/Tendering/OpportunityDetail/Index?noticeUID=CO1.NTC.4477592&amp;isFromPublicArea=True&amp;isModal=False</t>
  </si>
  <si>
    <t>OAG-VEX-0606-2023</t>
  </si>
  <si>
    <t>TANIA MATILDE CORTINA MARBELLO</t>
  </si>
  <si>
    <t>LA PRESENTE ORDEN TIENE POR OBJETO: PRESTAR SERVICIOS DE APOYO A LA GESTIÓN EN EL MARCO DEL CONTRATO INTERADMINISTRATIVO NO. CO1.PCCNTR.4825193 DE 2023, CELEBRADO ENTRE EL SERVICIO NACIONAL DE APRENDIZAJE – SENA – REGIONAL MAGDALENA Y LA UNIVERSIDAD DEL MAGDALENA, PARA EL DESARROLLO DE LAS SIGUIENTES ACTIVIDADES: 1) GESTIONAR A TRAVÉS DEL SIARE - UNIMAGDALENA, LOS ESPACIOS FÍSICOS DONDE SE LLEVARÁN A CABO LOS PROCESOS FORMATIVOS QUE CONTEMPLA EL PROYECTO. 2) REALIZAR LAS CONVOCATORIAS PARA GARANTIZAR LA ASISTENCIA DE LOS PARTICIPANTES A LAS SESIONES FORMATIVAS. 3) ORGANIZAR Y CLASIFICAR LOS SOPORTES DOCUMENTALES QUE SE GENEREN DURANTE LA EJECUCIÓN DEL CONTRATO. 4) REVISAR PAGOS Y PLANILLAS DE APORTES A SEGURIDAD SOCIAL QUE SE GENEREN Y PRESENTEN DURANTE LA EJECUCIÓN DEL PROYECTO.</t>
  </si>
  <si>
    <t>https://community.secop.gov.co/Public/Tendering/OpportunityDetail/Index?noticeUID=CO1.NTC.4477809&amp;isFromPublicArea=True&amp;isModal=False</t>
  </si>
  <si>
    <t>OAG-VEX-0626-2023</t>
  </si>
  <si>
    <t>MELANIE ALEJANDRA GONZALEZ DURAN</t>
  </si>
  <si>
    <t>LA PRESENTE ORDEN TIENE POR OBJETO: PRESTAR SERVICIOS DE APOYO A LA GESTIÓN EN EL MARCO DEL CONVENIO NO. 70000000013 DE 2021, CELEBRADO ENTRE CENIT LOGÍSTICA Y TRANSPORTE DE HIDROCARBUROS SAS Y LA UNIVERSIDAD DEL MAGDALENA, PARA EL DESARROLLO DE LAS SIGUIENTES ACTIVIDADES: 1) ELABORAR EL MICRODISEÑO O PROGRAMACIÓN DEL CURSO DENOMINADO “PRIMEROS AUXILIOS”. 2) DESARROLLAR EL CONTENIDO ACADÉMICO Y PRÁCTICO DEL CURSO, EL CUAL ESTARÁ DIRIGIDO A OPERADORES TURÍSTICOS DEL SECTOR GAIRA, DEL ÁREA DE INFLUENCIA DEL TERMINAL DE POZOS COLORADOS, SANTA MARTA. 3) REALIZAR LAS LABORES ACADÉMICO - ADMINISTRATIVAS QUE SE REQUIERAN PARA EL CIERRE DEL CURSO: I) EVALUACIÓN DEL CURSO. II) PRESENTACIÓN DE INFORME FINAL. PARÁGRAFO PRIMERO: EN EL CASO QUE EL CONTRATISTA LO REQUIERA, UNIMAGDALENA PODRÁ FACILITARLE LOS EQUIPOS Y ESPACIO FÍSICO NECESARIO DENTRO DEL CAMPUS PARA LA EJECUCIÓN DEL OBJETO DE LA PRESENTE ORDEN.</t>
  </si>
  <si>
    <t>https://community.secop.gov.co/Public/Tendering/OpportunityDetail/Index?noticeUID=CO1.NTC.4535076&amp;isFromPublicArea=True&amp;isModal=False</t>
  </si>
  <si>
    <t>OAG-VEX-0625-2023</t>
  </si>
  <si>
    <t>MARIA JOSE PEDROZA MANJARRES</t>
  </si>
  <si>
    <t xml:space="preserve">LA PRESENTE ORDEN TIENE POR OBJETO: PRESTAR SERVICIOS DE APOYO A LA GESTIÓN EN EL MARCO DEL CONVENIO NO. 70000000013 DE 2021, CELEBRADO ENTRE CENIT LOGÍSTICA Y TRANSPORTE DE HIDROCARBUROS SAS Y LA UNIVERSIDAD DEL MAGDALENA, PARA EL DESARROLLO DE LAS SIGUIENTES ACTIVIDADES: 1) ELABORAR EL MICRODISEÑO O PROGRAMACIÓN DEL CURSO DENOMINADO “PRIMEROS AUXILIOS”. 2) DESARROLLAR EL CONTENIDO ACADÉMICO Y PRÁCTICO DEL CURSO, EL CUAL ESTARÁ DIRIGIDO A OPERADORES TURÍSTICOS DEL SECTOR CRISTO REY, DEL ÁREA DE INFLUENCIA DEL TERMINAL DE POZOS COLORADOS, SANTA MARTA. 3) REALIZAR LAS LABORES ACADÉMICO - ADMINISTRATIVAS QUE SE REQUIERAN PARA EL CIERRE DEL CURSO: I) EVALUACIÓN DEL CURSO. II) PRESENTACIÓN DE INFORME FINAL.
</t>
  </si>
  <si>
    <t>https://community.secop.gov.co/Public/Tendering/OpportunityDetail/Index?noticeUID=CO1.NTC.4535248&amp;isFromPublicArea=True&amp;isModal=False</t>
  </si>
  <si>
    <t>OAG-VEX-0624-2023</t>
  </si>
  <si>
    <t>ANDERSON JESUS ESTREMOR LOPEZ</t>
  </si>
  <si>
    <t>LA PRESENTE ORDEN TIENE POR OBJETO: PRESTAR SERVICIOS DE APOYO A LA GESTIÓN EN EL MARCO DEL CONVENIO INTERADMINISTRATIVO NO. CONV-002-2023, CELEBRADO ENTRE EL MUNICIPIO DE EL CARMEN DE BOLÍVAR, BOLÍVAR Y LA UNIVERSIDAD DEL MAGDALENA, PARA: 1) GESTIONAR LOS ESPACIOS Y ELEMENTOS NECESARIOS PARA LA REALIZACIÓN DE LAS REUNIONES Y MESAS DE TRABAJO DEL PROYECTO. 2) REALIZAR LAS CONVOCATORIAS PARA GARANTIZAR LA ASISTENCIA DE LOS PARTICIPANTES A LAS MESAS DE TRABAJO. 3) ORGANIZAR Y CLASIFICAR LOS SOPORTES DOCUMENTALES QUE SE GENEREN DURANTE LA EJECUCIÓN DEL CONVENIO. 4) SISTEMATIZAR LA INFORMACIÓN PRIMARIA Y SECUNDARIA OBTENIDA EN LA EJECUCIÓN DEL PROYECTO</t>
  </si>
  <si>
    <t>https://community.secop.gov.co/Public/Tendering/OpportunityDetail/Index?noticeUID=CO1.NTC.4530541&amp;isFromPublicArea=True&amp;isModal=False</t>
  </si>
  <si>
    <t>OPSP-VEX-0623-2023</t>
  </si>
  <si>
    <t>EDGAR ENRIQUE CORREA BULA</t>
  </si>
  <si>
    <t>LA PRESENTE ORDEN TIENE POR OBJETO: PRESTAR SERVICIOS PROFESIONALES EN EL MARCO DEL CONVENIO INTERADMINISTRATIVO NO. CONV-002-2023, CELEBRADO ENTRE EL MUNICIPIO DE EL CARMEN DE BOLÍVAR, BOLÍVAR Y LA UNIVERSIDAD DEL MAGDALENA, PARA: 1) CONSTRUIR DOCUMENTO TÉCNICO DE DIAGNÓSTICO GENERAL DEL PLAN BÁSICO DE ORDENAMIENTO TERRITORIAL – PBOT – VIGENTE DEL MUNICIPIO DE EL CARMEN DE BOLÍVAR, BOLÍVAR. 2) REALIZAR REVISIÓN Y ANÁLISIS DE LA CARTOGRAFÍA URBANA Y RURAL EXISTENTE EN EL MUNICIPIO DE EL CARMEN DE BOLÍVAR, BOLÍVAR. 3) BRINDAR ASESORÍA Y ACOMPAÑAMIENTO TÉCNICO AL ENTE TERRITORIAL DURANTE LA PRESENTACIÓN DEL EXPEDIENTE MUNICIPAL ANTE EL CONSEJO TERRITORIAL DE PLANEACIÓN (CTP) Y EL CONCEJO MUNICIPAL</t>
  </si>
  <si>
    <t>community.secop.gov.co/Public/Tendering/OpportunityDetail/Index?noticeUID=CO1.NTC.4530532&amp;isFromPublicArea=True&amp;isModal=False</t>
  </si>
  <si>
    <t>OPSP-VEX-0622-2023</t>
  </si>
  <si>
    <t>IVETH ANDREA MONROY MOLINA</t>
  </si>
  <si>
    <t>LA PRESENTE ORDEN TIENE POR OBJETO: PRESTAR SERVICIOS PROFESIONALES EN EL MARCO DEL CONVENIO INTERADMINISTRATIVO NO. CONV-002-2023, CELEBRADO ENTRE EL MUNICIPIO DE EL CARMEN DE BOLÍVAR, BOLÍVAR Y LA UNIVERSIDAD DEL MAGDALENA, PARA: 1) RECOPILAR Y REVISAR LA INFORMACIÓN SECUNDARIA EXISTENTE EN LA SECRETARÍA DE PLANEACIÓN MUNICIPAL DE EL CARMEN DE BOLÍVAR, BOLÍVAR, PARA LA CONFORMACIÓN DEL ARCHIVO TÉCNICO E HISTÓRICO. 2) REALIZAR MAPEO DE ACTORES CLAVES PARA EL ORDENAMIENTO TERRITORIAL EN EL MUNICIPIO DE EL CARMEN DE BOLÍVAR, BOLÍVAR. 3) REALIZAR INFORMES TÉCNICOS DE EJECUCIÓN DEL PROYECTO</t>
  </si>
  <si>
    <t>community.secop.gov.co/Public/Tendering/OpportunityDetail/Index?noticeUID=CO1.NTC.4530528&amp;isFromPublicArea=True&amp;isModal=False</t>
  </si>
  <si>
    <t>OPSP-VEX-0658-2023</t>
  </si>
  <si>
    <t>TATIANA DE JESUS HERNANDEZ ANTEQUERA</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</si>
  <si>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DIPLOMADO DENOMINADO “DERECHOS HUMANOS PARA EL TRABAJO” EL CUAL DEBERÁ COMPRENDER LA SIGUIENTE TEMÁTICA: I) NEGOCIACIÓN COLECTIVA. II) TRABAJO DECENTE. III) TRABAJO DIGNO. IV) RESPETO A LA DIGNIDAD HUMANA. 2) DESARROLLAR EL CONTENIDO ACADÉMICO DEL DIPLOMADO, EL CUAL ESTARÁ DIRIGIDO A SERVIDORES PÚBLICOS DEL SERVICIO NACIONAL DE APRENDIZAJE – SENA, REGIONAL MAGDALENA. 3) REALIZAR LAS LABORES ACADÉMICO - ADMINISTRATIVAS QUE SE REQUIERAN PARA EL CIERRE DEL DIPLOMADO: I) EVALUACIÓN DEL CURSO. II) PRESENTACIÓN DE INFORME FINAL
.</t>
  </si>
  <si>
    <t>https://community.secop.gov.co/Public/Tendering/OpportunityDetail/Index?noticeUID=CO1.NTC.4590745&amp;isFromPublicArea=True&amp;isModal=False</t>
  </si>
  <si>
    <t>OPSP-VEX-0659-2023</t>
  </si>
  <si>
    <t>ALDO ANTONIO BUSTAMANTE CAMPO</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</si>
  <si>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CURSO DENOMINADO “EXCEL PARA EJECUTIVOS: ELABORACIÓN DE INDICADORES, EL CUAL DEBERÁ COMPRENDER: I) EXCEL NIVEL I. II) EXCEL NIVEL II. III) CONSTRUCCIÓN Y ANÁLISIS DE INDICADORES. 2) DESARROLLAR EL CONTENIDO ACADÉMICO DEL CURSO, EL CUAL ESTARÁ DIRIGIDO A SERVIDORES PÚBLICOS DEL SERVICIO NACIONAL DE APRENDIZAJE – SENA, REGIONAL MAGDALENA. 3) REALIZAR LAS LABORES ACADÉMICO - ADMINISTRATIVAS QUE SE REQUIERAN PARA EL CIERRE DEL CURSO: I) EVALUACIÓN. II) PRESENTACIÓN DE INFORME FINAL</t>
  </si>
  <si>
    <t>https://community.secop.gov.co/Public/Tendering/OpportunityDetail/Index?noticeUID=CO1.NTC.4590492&amp;isFromPublicArea=True&amp;isModal=False</t>
  </si>
  <si>
    <t>OPS-VEX-0665-2023</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</si>
  <si>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DEL EVENTO DE ARTE DE PESCA, CORRESPONDIENTE AL COMPONENTE DE ASOCIACIONES DE PESCADORES</t>
  </si>
  <si>
    <t>https://community.secop.gov.co/Public/Tendering/OpportunityDetail/Index?noticeUID=CO1.NTC.4627749&amp;isFromPublicArea=True&amp;isModal=False</t>
  </si>
  <si>
    <t>ODC-VEX-0010-2023</t>
  </si>
  <si>
    <t>AUDIO PIONNER 2 SAS</t>
  </si>
  <si>
    <t>LA PRESENTE ORDEN TIENE POR OBJETO LA COMPRA DE ELECTRODOMÉSTICOS, MUEBLES Y OTROS BIENES QUE SE ENTREGARÁN COMO INCENTIVOS A LAS MUJERES CABEZA DE HOGAR Y/O VÍCTIMAS DEL CONFLICTO ARMADO QUE FUERON SELECCIONADAS PARA EL FORTALECIMIENTO DE SU EMPRENDIMIENTO O DESARROLLO EMPRESARIAL,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t>
  </si>
  <si>
    <t>https://community.secop.gov.co/Public/Tendering/OpportunityDetail/Index?noticeUID=CO1.NTC.4641633&amp;isFromPublicArea=True&amp;isModal=False</t>
  </si>
  <si>
    <t>OPSP-VEX-0671-2023</t>
  </si>
  <si>
    <t>DENNIS MARGARITA MOLINA CERVANTES</t>
  </si>
  <si>
    <t>LA PRESENTE ORDEN TIENE POR OBJETO: PRESTAR SERVICIOS PROFESIONALES EN EL MARCO DEL CONVENIO INTERADMINISTRATIVO NO. 004 DE 2023, CELEBRADO ENTRE EL MUNICIPIO DE ZONA BANANERA Y LA UNIVERSIDAD DEL MAGDALENA, PARA EL DESARROLLO DE LAS SIGUIENTES ACTIVIDADES: 1) PARTICIPAR EN EL EVENTO DE SOCIALIZACIÓN DE ALCANCES DEL PROYECTO. 2) COORDINAR JUNTO AL PROFESIONAL SOCIAL LA CONSTRUCCIÓN DE LOS FORMATOS DE INSCRIPCIÓN Y CARACTERIZACIÓN DE LOS PRODUCTORES BENEFICIARIOS DE LOS SISTEMAS AGROFORESTALES Y RESTAURACIÓN PASIVA. 3) PRESTAR ASISTENCIA TÉCNICA EN LA JORNADA DE ARBORIZACIÓN CON LAS INSTITUCIONES EDUCATIVAS. 4) COORDINAR JUNTO AL PROFESIONAL SOCIAL EL PROCESO DE SELECCIÓN DE LOS QUINCE (15) PRODUCTORES BENEFICIARIOS DE LOS SISTEMAS AGROFORESTALES Y RESTAURACIÓN PASIVA. 5) COORDINAR JUNTO AL PROFESIONAL SOCIAL EL PROCESO DE CARACTERIZACIÓN SOCIOECONÓMICA Y AMBIENTAL DE LOS QUINCE (15) PRODUCTORES BENEFICIARIOS DE LOS SISTEMAS AGROFORESTALES Y RESTAURACIÓN PASIVA. 6) COORDINAR LA IMPLEMENTACIÓN DE LAS QUINCE (15) HECTÁREAS DE SISTEMAS AGROFORESTALES Y RESTAURACIÓN PASIVA. 7) ASISTIR COMO MIEMBRO DEL EQUIPO TÉCNICO A LAS 6 JORNADAS DE RECUPERACIÓN DE FOCOS DE CONTAMINACIÓN. 8) PRESTAR ASISTENCIA TÉCNICA AGROFORESTAL A LOS QUINCE (15) PRODUCTORES BENEFICIARIOS DE LOS SISTEMAS AGROFORESTALES Y RESTAURACIÓN PASIVA. 9) ELABORAR EL DOCUMENTO DE CARACTERIZACIÓN SOCIOECONÓMICA Y AMBIENTAL DE LOS 15 BENEFICIARIOS DIRECTOS Y SUS PREDIOS. 10) ELABORAR QUINCE (15) FICHAS TÉCNICAS (UNA POR PREDIO) CON SUS RESPECTIVOS ACUERDOS VOLUNTARIOS FORMALIZADOS, ESTOS ÚLTIMOS DEBERÁN CONTAR CON VISTO BUENO DE PROFESIONALES JURÍDICOS VINCULADOS A LA UNIVERSIDAD DEL MAGDALENA. 11) ELABORAR EL INFORME DE IMPLEMENTACIÓN DE SISTEMAS AGROFORESTALES Y CERCAS VIVAS IMPLEMENTADOS</t>
  </si>
  <si>
    <t>https://community.secop.gov.co/Public/Tendering/OpportunityDetail/Index?noticeUID=CO1.NTC.4674846&amp;isFromPublicArea=True&amp;isModal=False</t>
  </si>
  <si>
    <t>OPSP-VEX-0687-2023</t>
  </si>
  <si>
    <t>ELIANA CASTELLANOS BOTTO</t>
  </si>
  <si>
    <t>LA PRESENTE ORDEN TIENE POR OBJETO: PRESTAR SERVICIOS PROFESIONALES EN EL MARCO DEL CONVENIO INTERADMINISTRATIVO NO. 004 DE 2023, CELEBRADO ENTRE EL MUNICIPIO DE ZONA BANANERA Y LA UNIVERSIDAD DEL MAGDALENA, PARA EL DESARROLLO DE LAS SIGUIENTES ACTIVIDADES: 1) REVISAR LOS PAGES DE HONORARIOS Y ESTIMULOS DOCENTES DEL PERSONAL VINCULADO AL PROYECTO Y HACER SEGUIMIENTO HASTA EL DESEMBOLSO DE LOS MISMOS. 2) REALIZAR LIQUIDACIONES DE VIATICOS REQUERIDOS EN EL PROYECTO. 3) CARGAR LA  NFORMACION FINANCIERA DEL PROYECTO EN EL TEAMS DE LA VICERRECTORFA DE EXTENSION Y PROYECCIDN SOCIAL. 4) REALIZAR REPORTE EN LAS PLATAFORMAS SIA Y SECOP DE LAS ACTUACIONES CONTRACTUALES QUE SE GENEREN EN LA EJECUCION DEL PROYECTO</t>
  </si>
  <si>
    <t>https://community.secop.gov.co/Public/Tendering/OpportunityDetail/Index?noticeUID=CO1.NTC.4711611&amp;isFromPublicArea=True&amp;isModal=False</t>
  </si>
  <si>
    <t>OPSP-VEX-0688-2023</t>
  </si>
  <si>
    <t>LA PRESENTE ORDEN TIENE POR OBJETO: PRESTAR SERVICIOS PROFESIONALES EN EL MARCO DEL CONVENIO
INTERADMINISTRATIVO NO. 004 DE 2023, CELEBRADO ENTRE EL MUNICIPIO DE ZONA BANANERA Y LA UNIVERSIDAD DEL
MAGDALENA, PARA EL DESARROLLO DE LAS SIGUIENTES ACTIVIDADES: 1) PROYECTAR RESOLUCIONES, ORDENES DE SERVICIOS
PROFESIONALES, DE APOYO A LA GESTION, COMPRAS, SERVICIOS, SUMINISTROS Y DEMAS QUE SE REQUIERAN PARA EL
CUMPLIMIENTO DEL OBJETO CONTRACTUAL. 2) REVISAR Y APROBAR EN SIGEP II Y EN GEDOCO LOS DATOS Y DOCUMENTOS
CARGADOS POR LAS PERSONAS QUE SE VINCULARAN. 3) CARGAR LA INFORMACION CONTRACTUAL DEL PROYECTO EN EL TEAMS DE
LA VICERRECTORIA DE EXTENSION Y PROYECCIBN SOCIAL. 4) INTERACTUAR CON LA OFICINA ASESORA JURIDICA Y LA
VICERRECTORIA DE EXTENSION Y PROYECCIBN SOCIAL CON LA FINALIDAD DE SOLUCIONAR CON PRONTITUD LAS DIVERSAS
SITUACIONES JUN'DICAS QUE SE PUEDAN PRESENTAR EN EL DESARROLLO DEL CONVENIO.</t>
  </si>
  <si>
    <t>https://community.secop.gov.co/Public/Tendering/OpportunityDetail/Index?noticeUID=CO1.NTC.4711612&amp;isFromPublicArea=True&amp;isModal=False</t>
  </si>
  <si>
    <t>OPSP-VEX-0689-2023</t>
  </si>
  <si>
    <t xml:space="preserve">MARIA CAMILA CELEDON TACHE </t>
  </si>
  <si>
    <t>LA PRESENTE ORDEN TIENE POR OBJETO: PRESTAR SERVICIOS PROFESIONALES EN EL MARCO DEL CONVENIO INTERADMINISTRATIVO NO. 004 DE 2023, CELEBRADO ENTRE EL MUNICIPIO DE ZONA BANANERA Y LA UNIVERSIDAD DEL MAGDALENA, PARA EL DESARROLLO DE LAS SIGUIENTES ACTIVIDADES: 1) CONSTRUIR JUNTO AL PROFESIONAL SOCIAL Y EL COORDINADOR DE JORNADAS DE FORMACION DE SENSIBILIZACIDN AMBIENTAL EL MAPEO DE ACTORES CLAVE PARA LAS ACTIVI DADES DE SOCIALIZACION, CAPACITACION Y CERTIFICACIDN CONTEMPLADAS EN EL CONVENIO. 2) ELABORAR Y HACER SEGUIMIENTO AL PLAN OPERATIVE DE LAS ACTIVIDADES DEL PROYECTO; ASI COMO LA CONSTRUCCION DE LOS INFORMES TECNICOS DE EJECUCIDN. 3) COORDINAR LA REALIZACION DEL EVENTO DE SOCIALIZACION DE LOS ALCANCES DEL PROYECTO. 4) CONTRIBUIR EN LA COORDINACION DE LAS JORNADAS DE FORMACION DE SENSIBILIZACIDN AMBIENTAL Y EL PROCESO DE SENSIBILIZACIDN A LOS INTEGRANTES DE LA COMUNIDAD EDUCATIVA. 5) CONTRIBUIR EN LA CONSTRUCCION DE LOS FORMATES DE INSCRIPCIDN Y SELECCIDN DE LOS BENEFICIARIOS DEL PROCESO DE SENSIBILIZACIDN Y FORMACION AMBIENTAL. 6) BRINDAR APOYO AL DIRECTOR Y COORDINADORES DE FORMACION Y ARBORIZACIDN, PARA LA PROGRAMACIDN DEL DESARROLLO DE LAS ACTIVIDADES DE FORMACION Y SENSIBILIZACIDN AMBIENTAL, LAS SEIS (6) CAMPANAS DE RECUPERACIDN DE FOCOS DE CONTAMINACIDN Y LA JORNADA DE ARBORIZACIDN. 7) GESTIONAR LA CONVOCATORIA Y EJECUCIDN DE LA ESTRATEGIA DE COMUNICACIDN PARA GARANTIZAR LA PARTICIPACIDN DE LA COMUNIDAD. 8) COORDINAR EL PROCESO DE DIVULGACIDN Y PROMOCIDN DE LAS ACTIVIDADES DEL PROYECTO. 9) EJERCER SEGUIMIENTO DE LA DE SISTEMATIZACIDN DEL PROCESO DE SOCIALIZACION, DIVULGACIDN Y PROMOCIDN DEL PROYECTO. 10) CONSOLIDARLA INFORMACIDN FINAL DE LA EJECUCIDN DEL  ONVENIO/PROYECTO, EN EL CUAL SE EVIDENCIE EL INICIO Y EJECUCIDN -AVANCES- DEL OBJETO DEL CONVENIO, DISCRIMINADO POR: (ETAPAS, FASES, PRODUCTOS, OBJETIVOS, ENTREGABLES) SOLUCIONES Y DETALLES DE ACTIVIDADES CUMPLIDA, DE TAI FORMA QUE PERMITA UNA VISION CLARA Y COMPLETA DEL ESTADO DE EJECUCIDN.</t>
  </si>
  <si>
    <t>https://community.secop.gov.co/Public/Tendering/OpportunityDetail/Index?noticeUID=CO1.NTC.4711613&amp;isFromPublicArea=True&amp;isModal=False</t>
  </si>
  <si>
    <t>OPSP-VEX-0694-2023</t>
  </si>
  <si>
    <t>LIZETH MARIA CAMPO MONSALVO</t>
  </si>
  <si>
    <t>LA PRESENTE ORDEN TIENE POR OBJETO: PRESTAR SERVICIOS DE APOYO A LA GESTIBN EN EL MARCO DEL CONVENIO INTERADMINISTRATIVO NO. 004 DE 2023, CELEBRADO ENTRE EL MUNICIPIO DE ZONA BANANERA Y LA UNIVERSIDAD DEL MAGDALENA, PARA EL DESARROLLO DE LAS SIGUIENTES ACTIVIDADES: 1. REALIZAR LA GESTION DOCUMENTAL DE LOS DISTINTOS PROCESOS ADMINISTRATIVOS Y DE PAGOS GESTIONADOS DESDE LA VICERRECTORIA ADMINISTRATIVA Y VICERRECTORIA DE EXTENSION DE LA UNIVERSIDAD DEL MAGDALENA PARA EL PROYECTO ENMARCADO EN EL OBJETO DE LA PRESENTE ORDEN DE PRESTACION DE SERVICIOS. 2. REALIZAR EL SEGUIMIENTO A LOS INVESTIGADORES Y GESTORES DEL PROYECTO DE GARANTIZAR EL USO ADECUADO DE LOS RECURSOS FINANCIEROS PARA LA CONTRATACION DEL TALENTO HUMANO, EQUIPOS Y SOFTWARES,  SERVICIOS TECNOLOGICOS, MATERIALES E INSUMOS, GASTOS DE VIAJE Y ADICIONALES; DE ACUERDO CON LAS NECESIDADES EN TBRMINOS DE TIEMPO Y CANTIDAD SEGIM LOS TBRMINOS APROBADOS EN EL PRESUPUESTO, MGA Y DEMAS DOCUMENTOS SOPORTE DEL PROYECTO. 3. APOYAR LA GESTION ADMINISTRATIVA DEL PROYECTO, EN RELACION CON LOS PROCESOS PRECONTRACTUALES Y  ONTRACTUALES. 4. CUMPLIR CON LOS PROCEDIMIENTOS DEL PROCESO GESTION DE CONTRATACIBN Y
GESTION JURIDICA DEL SISTEMA DE GESTION INTEGRAL DE LA CALIDAD "COGUI". 5. APOYAR LA ARTICULACIBN DE LOS RECURSOS TECNICOS TECNOLOGICOS Y LOGISTICOS DE LOS PROYECTOS Y LAS DIFERENTES DEPENDENCIAS, CON LA ESTRATEGIA DE ADMINISTRACIBN ADECUADA PARA EL DESARROLLO DE LAS ACTIVIDADES DE LOS PROYECTOS. 6. GESTIONAR EL TRAMITE DE PAGOS DE BRDENES Y CONTRATOS SUSCRITOS POR LA UNIVERSIDAD DEL MAGDALENA EN RELACION CON LA EJECUCION DEL PROYECTO Y CON CARGO AL PRESUPUESTO ASIGNADO PARA ESTE POR EL FONDO DE CIENCIAS, TECNOLOGIAS E INNOVACIBN
DEL SISTEMA GENERAL DE REGALIAS Y MINCIENCIAS. 7) CUMPLIR CON EL PROCESO DE INCLUSION DE DOCUMENTOS EN LAS PLATAFORMAS SIA OBSERVA Y SECOP II.</t>
  </si>
  <si>
    <t>https://community.secop.gov.co/Public/Tendering/OpportunityDetail/Index?noticeUID=CO1.NTC.4711610&amp;isFromPublicArea=True&amp;isModal=False</t>
  </si>
  <si>
    <t>OPS-VEX-0691-2023</t>
  </si>
  <si>
    <t>PRESTAR SERVICIO DE APOYO LOGISTIC© REQUERIDO EN EL MARCO DEL PROYECTO DE EXTENSION DENOMINADO “IMPLEMENTACLTIN DE ESTRATEGIAS DE EDUCACION AMBIENTAL Y
CONSERVACION DEL RECURSO HIDRICO ENEL MUNI CL PIO DE ZONA BANANERA".
EL SERVICIO CONTRATADO COMPRENDE: I) 4.432 REFRIGERIOS AM Y PM, CADA UNO CONSTA DE UNA PORCION DE HARINA RELLENO DE UNA PROTEINA (OPCION: CAME, POLIO, ATUN O SIMILAR), UNA BEBIDA Y UNA CHOCOLATINA, TODO SERVIDO, CON SU EMPAQUE Y PUESTO EN
SITIO, PARA SER DISTRIBUIDOS DURANTE LA REALIZACION DE LOS TALLERES.
II) 2.216 ALMUERZOS, CADA UNO CONSTA DE UNA PORCION DE SOPA, PROTEINA (OPCION DE CAME, POLIO O CERDO),
JUGO, PORCION DE ARROZ, ENSALADA Y GRANO (OPCIONAL). TODO SERVIDO, CON SU EMPAQUE Y PUESTO EN EL SITIO,
PARA SER DISTRIBUIDOS DURANTE LA REALIZACION DE LOS TALLERES.
III) 72 ESTACIONES DE AGUA Y CAFE PARA LA REALIZACION DE LOS TALLERES
IV) 200 REFRIGERIOS, CADA UNO CONSTA DE UNA PORCION DE HARINA RELLENO DE UNA PROTEINA (OPCION: CAME,
POLIO, ATUN O SIMILAR), UNA BEBIDA Y UNA CHOCOLATINA, TODO SERVIDO, CON SU EMPAQUE Y PUESTO EN SITIO, PARA
SER DISTRIBUIDOS DURANTE LA ACTIVIDAD DE ARBORIZACION CON INSTITUCIONES EDUCATIVAS
V) 200 UNIDADES DE BEBIDAS HIDRATANTES (AGUA O JUGO NATURAL), PARA SER DISTRIBUIDAS DURANTEEL DESARROLLO
DE LA ACTIVIDAD DE ARBORIZACION CON INSTITUCIONES EDUCATIVAS
VI) 180 REFRIGERIOS, CADA UNO CONSTA DE UNA PORCION DE HARINA RELLENO DE UNA PROTEINA (OPCION: CARNE,
POLIO, ATUN O SIMILAR), UNA BEBIDA Y UNA CHOCOLATINA, TODO SERVIDO, CON SU EMPAQUE Y PUESTO EN SITIO, PARA
SER DISTRIBUIDOS DURANTE EL PROCESO DE SENSIBILIZACIDN A LOS INTEGRANTES DE LA COMUNIDAD EDUCATIVA
VII) APOYO DE PERSONA LOGISTICA PARA EL PROCESO DE SENSIBILIZACIDN A LOS INTEGRANTES DE LA COMUNIDAD
EDUCATIVA.
VIII) 6 ESTACIONES DE AGUA Y CAFE PARA EL PROCESO DE SENSIBILIZACIDN A LOS INTEGRANTES DE LA COMUNIDAD
EDUCATIVA</t>
  </si>
  <si>
    <t>https://community.secop.gov.co/Public/Tendering/OpportunityDetail/Index?noticeUID=CO1.NTC.4711938&amp;isFromPublicArea=True&amp;isModal=False</t>
  </si>
  <si>
    <t>OSM-VEX-0007-2023</t>
  </si>
  <si>
    <t>GESTION DEL DESARROLLO GESTION DEL DESARROLLO
TERRITORIAL SOSTENIBLE SAS</t>
  </si>
  <si>
    <t>SUMINISTRO DE MATERIALES E INSUMOS REQUERIDOS EN EL MARCO DEL PROYECTO DE EXTENSION DENOMINADO “IMPLEMENTACION DE ESTRATEGIAS DE EDUCACION AMBIENTAL Y
CONSERVACION DEL RECURSO HIDRICO EN EL MUNI CL PIO DE ZONA BANANERA”, PARA
ACTIVIDADES DE RESTAURACION PASIVA, DELIMITACION Y AISLAMIENTO DE SISTEMAS AGROFORESTALES Y RECUPERACIBN DE FOCOS DE CONTAMINACION POR RESIDUES SOLIDOS MAL DISPUESTOS EN AREAS COMUNES.
EL SUMINISTRO CONTRATADO COMPRENDE:
I) 530 POSTES DE MADERA (ALTURA 2.0 MTS X 10 EMS DIAMETRO)
II) 2.100 POSTES VIVOS (MATARRATON, MINIMO UN METRO DE ALTURA)
III) 120 MADRINAS (ALTURA 2.0 MTS X DIAMETRO 25 EMS)
IV) 60 ROLLOS DE ALAMBRE K 16 X 400 MTS
V) 15 KG DE ALAMBRE NEGRO CALIBRE 18
VI) 23 KG DE GRAPAS
VII) 1.650 ARBOLES FRUTALES, ALTURA MINIMA DE 1 METRO (MAS 10% ADICIONAL PARA RESIEMBRA)
VIII) 8.325 PLANTULAS MADERABLE, ALTURA MINIMA 40 CM
IX) 9.000 KG DE ABONO ORGANICO
X) 45 LITRES DE INSECTICIDAS ORGANICOS
XI) 600 KG DE ESPECIES DE PANCOGER
XII) 4.665 KG DE MICORRIZAS
XIII) 915 LITRES DE TRICHODERMA
XIV) 75 LITRES DE INSECTICIDAS ORGANICO
XV) 1.500 POSTES DE MADERA (ALTURA 2.0 M*10 CM DIAMETRO)
XVI) 60 ROLLOS DE ALAMBRE DE PUA C=16, 60 X 400 MTS
XVII) 23 KG DE GRAPAS
XVIII) 600 BOLSAS PLASTICAS PARA EMPACAR LOS RESIDUES
XIX) 100 PLANTULAS FRUTALES O FORESTALES NATIVAS DE LA REGION
XX) 1.000 KG DE ABONO
XXI) 2 KG DE HIDRORETENEDOR
XXII) 100 TUTORADORES</t>
  </si>
  <si>
    <t>https://community.secop.gov.co/Public/Tendering/OpportunityDetail/Index?noticeUID=CO1.NTC.4711950&amp;isFromPublicArea=True&amp;isModal=False</t>
  </si>
  <si>
    <t>OPSP-VEX-0718-2023</t>
  </si>
  <si>
    <t>SERGIO ARTURO HERNANDEZ GUILLOT</t>
  </si>
  <si>
    <t>LA PRESENT© ORDEN TIENE POR OBJETO: PRESTAR SERVICIOS PROFESIONALES EN EL MARCO DEL CONVENIO INTERADMINISTRATIVO NO. 420 DE 2023, CELEBRADO ENTRE EL MINISTERIO DE TRABAJO Y LA UNIVERSIDAD DEL MAGDALENA, PARA EL DESARROLLO DE LAS SIGUIENTES ACTIVIDADES: 1) ELABORAR DOCUMENTO TECNICO DE MAPEO DE ACTORES CLAVES DEL PROYECTO. 2) ELABORAR EL MARCO O ESTRUCTURA METODOLDGICA PARA LA CONSTRUCCIDN DEL DOCUMENTO DE CARACTERÍSTICAS SOCIOECONBMICAS DEL TERRITORIO Y DEL SECTOR PRODUCTIVE. 3) COORDINAR EL PROCESO DE ENTREVISTAS QUE CONTEMPLA EL PROYECTO. 4) IDENTIFICAR LA BRECHA DE CAPITAL HUMANO EN LA POBLACIDN REINCORPORADA. 5) ELABORAR DOCUMENTO QUE EXPONGA LOS RESULTADOS OBTENIDOS A IO LARGO DE LA INVESTIGACIBN, CON RESPECTO AL PERFIL OCUPACIONAL DE LA POBLACIDN EN PROCESO DE REINCORPORACIDN DESDE LA PERSPECTIVA DE GENERO. 6) PRESENTAR ANTE LOS ALIADOS DEL ORMET MAGDALENA, LOS RESULTADOS Y RECOMENDACIONES DE LA INVESTIGACIBN, PARA FOMENTAR LA EMPLEABILIDAD DE LA POBLACIDN EN PROCESO DE REINCORPORACIDN.</t>
  </si>
  <si>
    <t>https://community.secop.gov.co/Public/Tendering/OpportunityDetail/Index?noticeUID=CO1.NTC.4757556&amp;isFromPublicArea=True&amp;isModal=False</t>
  </si>
  <si>
    <t>OPSP-VEX-0719-2023</t>
  </si>
  <si>
    <t>LA PRESENTS ORDEN TIENE POR OBJETO: PRESTAR SERVICIOS PROFESIONALES EN EL MARCO DEL CONVENIO INTERADMINISTRATIVO NO. 420 DE 2023, CELEBRADO ENTRE EL MINISTERIO DE TRABAJO Y LA UNIVERSIDAD DEL MAGDALENA, OARA EL DESARROLLO DE LA SIGUIENTE ACTIVIDAD: ELABORAR MARCO NORMATIVO SOBRE LA  REINCORPORACIDN SOCIAL, CON PROFUNDIZACIBN EN LOS DERECHOS QUE LE ASISTEN A DICHA POBLACIBN</t>
  </si>
  <si>
    <t>https://community.secop.gov.co/Public/Tendering/OpportunityDetail/Index?noticeUID=CO1.NTC.4757273&amp;isFromPublicArea=True&amp;isModal=False</t>
  </si>
  <si>
    <t>OPS-VEX-0732-2023</t>
  </si>
  <si>
    <t>900206543-8</t>
  </si>
  <si>
    <t>FUNDACION PARA EL DESARROLLO SOCIAL DE LAS REGIONES</t>
  </si>
  <si>
    <t>PRESTAR SERVICIO TECNICO REQUERIDO EN EL MARCO DEL PROYECTO DE EXTENSION DENOMINADO "IMPLEMENTACION DE ESTRATEGIAS DE EDUCACION AMBIENTAL Y CONSERVACION DEL RECURSO HIDRICO EN EL MUNICIPIO DE ZONA BANANERA", PARA LA RESTAURACIDN E IMPLEMENTACIDN DE SISTEMAS AGROFORESTALES Y LABORES DE SILVIOULTURA QUE CONTEMPLA EL PROYECTO. EL SERVICIO OONTRATADO COMPRENDE:
I) IMPLEMENTACIDN DE 6.000 METROS LINEALES DE CERCAS VIVAS: IMPLEMENTACIDN DE 6,000 METROS LINEALES DE
CERCAS VIVAS EN 15 HECTAREAS DEFINIDAS POR EL PROYECTO; EL SERVICIO INCLUYE MANO DE OBRA NO CALIFICADA Y
LAS HERRAMIENTAS NECESARIAS PARA LA ADECUACIDN DE TERRENO, REALIZAR EL CERCADO CON LAS ESPECIFICACIONES
TECNICAS DEFINIDAS POR EL PROYECTO, FIJACIDN DE MADRINAS, POSTES Y ESTACAS DE MATARRATDN, ASI COMO
EXTENSION DEL ALAMBRE PUA, ADEMAS DEL TRANSPORTE DE INSUMOS REQUERIDOS PARA LA ACTIVIDAD EN CADA UNA
DE LAS AREAS.
II) IMPLEMENTACIDN DE 15 HECTAREAS DE SISTEMAS AGROFORESTALES Y 6.000 METROS LINEALES: IMPLEMENTACIDN
DE 15 HECTAREAS DE SISTEMA AGROFORESTALES A TRAVES DEL DESARROLLO DE LAS SIGUIENTES TAREAS EN CADA UNA DE
LAS PARCELAS O PREDIOS DEFINIDOS POR EL PROYECTO EN EL MUNICIPIO DE ZONA BANANERA; EL SERVICIO INCLUYE
MANO DE OBRA NO CALIFICADA Y LAS HERRAMIENTAS NECESARIAS PARA LA ADECUACIDN DE TERRENO: - LIMPIEZA DE
AREAS DE SIEMBRA. - TRAZADO. - REALIZACIDN DE PLATEO Y AHOYADO. - SIEMBRA O PLANTACIDN DE MATERIAL
VEGETAL (FORESTALES Y FRUTALES). - ABONAMIENTO DE MATERIAL VEGETAL (FORESTALES Y FRUTALES). - CONTROL
FITOSANITARIO A FORESTALES Y FRUTALES. - CONTROL DE MALEZA A FORESTALES Y FRUTALES. - ABONAMIENTO AREAS DE
SIEMBRA DEL PANCOGER. - SIEMBRA DE PANCOGER. - CONTROL FITOSANITARIO DEL PANCOGER. - CONTROL DE MALEZA
DEL PANCOGER. - AISLAMIENTO DEL AREA DEL SISTEMA AGROFORESTAL. - GEORREFERENCIACIDN Y DISEHO DE MAPA DEL
PREDIO EN SIG. -TRANSPORTE DE INSUMOS A CADA UNA DE LAS PARCELAS ESCOGIDAS.
III) APOYO LOGISTICO Y OPERATIVE EN LAS CAMPAHAS DE LIMPIEZA, COMPRENDE PONER A DISPOSICIBN DEL EQUIPO
TECNICO DEL PROYECTO LA MANO DE OBRA NO CALIFICADA, LAS MAQUINARIAS Y HERRAMIENTAS (PALA, RASTRILLO, PALIN,
MACHETE) NECESARIA PARA REALIZAR SEIS (6) JORNADAS DE LIMPIEZA EN EL MUNICIPIO DE ZONA BANANERA.
IV) IMPLEMENTACIDN DE ARBORIZACIBN CON INSTITUCIONES EDUCATIVAS. COMPRENDE PONER A DISPOSICIBN DEL
EQUIPO TECNICO DEL PROYECTO LA MANO DE OBRA NO CALIFICADA, Y HERRAMIENTAS (PALA, RASTRILLO, PALIN, MACHETE)
NECESARIA PARA REALIZAR SEIS (6) JORNADAS DE ARBORIZACIBN CON INSTITUCIONES EDUCATIVAS DEL MUNICIPIO DE
ZONA BANANERA.</t>
  </si>
  <si>
    <t>https://community.secop.gov.co/Public/Tendering/OpportunityDetail/Index?noticeUID=CO1.NTC.4768969&amp;isFromPublicArea=True&amp;isModal=False</t>
  </si>
  <si>
    <t>OAG-VEX-0734-2023</t>
  </si>
  <si>
    <t>ADRIANA MARCELA LOPEZ GONZALEZ</t>
  </si>
  <si>
    <t>LA PRESENTE ORDEN TIENE POR OBJETO: PRESTAR SERVICIOS DE APOYO A LA GESTIBN EN EL MARCO DEL CONVENIO INTERADMINISTRATIVO NO. 420 DE 2023, CELEBRADO ENTRE EL MINISTERIO DE TRABAJO Y LA UNIVERSIDAD DEL MAGDALENA, PARA EL DESARROLLO DE LAS SIGUIENTES ACTIVIDADES: 1) GESTIONAR LA PARTICIPACIBN DE LA POBLACIBN EN PROCESO DE REINCORPORACIBN A NIVEL LOCAL, PARA EL DESARROLLO DE MESAS DE TRABAJO Y LA CONSTRUCCIBN DEL MAPEO DE ACTORES DEL PROYECTO. 2) BRINDAR APOYO EN LA ELABORACIBN DE LAS ENCUESTAS DE OFERTA Y DEMANDA LABORAL DE LA POBLACIBN EN PROCESO DE REINCORPORACIBN QUE HABITA EN LA CIUDAD DE SANTA MARTA. 3) APOYAR EL PROCESO DE IDENTIFICACIBN DEL PERFILAMIENTO OCUPACIONAL DE LA POBLACIBN REINCORPORADA DEL DISTRITO DE SANTA MARTA. 4)
SISTEMATIZAR LAS ENTREVISTAS QUE SE DESARROLLEN EN EL PROYECTO. 5) APOYAR EN EL ANALISIS DE LA INFORMACIBN OBTENIDA EN EL PERFILAMIENTO OCUPACIONAL, LO CUAL DEBERA COMPRENDER: I) HALLAZGOS O RESULTADOS. II) RECOMENDACIONES. III) METODOLOGIA. 6) ORGANIZAR LA LOGISTICA PARA EL EVENTO DE PRESENTACIBN DE RESULTADOS Y RECOMENDACIONES DE LA INVESTIGACIBN.</t>
  </si>
  <si>
    <t>https://community.secop.gov.co/Public/Tendering/OpportunityDetail/Index?noticeUID=CO1.NTC.4774726&amp;isFromPublicArea=True&amp;isModal=False</t>
  </si>
  <si>
    <t>OAG-VEX-0736-2023</t>
  </si>
  <si>
    <t>GISELLE MELISA PARDO EGUIS</t>
  </si>
  <si>
    <t>LA PRESENTE ORDEN TIENE POR OBJETO: PRESTAR SERVICIOS DE APOYO A LA GESTIBN EN EL MARCO DEL CONVENIO INTERADMINISTRATIVO NO. 420 DE 2023, CELEBRADO ENTRE EL MINISTERIO DE TRABAJO Y LA UNIVERSIDAD DEL MAGDALENA, PARA EL DESARROLLO DE LAS SIGUIENTES ACTIVIDADES: 1) RECOPILAR Y ANALIZAR DATES EN FUENTES PRIMARIAS Y SECUNDARIAS QUE SIRVAN DE INSUMO PARA LA ELABORACIBN DEL MAPEO DE ACTORES DEL PROYECTO. 2) APOYAR LA ELABORACIBN DEL MARCO O ESTRUCTURA METODOLBGICA PARA LA CONSTRUCCIBN DEL DOCUMENTO DE CARACTERISTICAS  SOCIOECONBMICAS DEL TERRITORIO Y DEL SECTOR PRODUCTIVO. 3) GESTIONAR LOS ESPACIOS Y ELEMENTOS NECESARIOS PARA LA REALIZACIBN DE LAS ENTREVISTAS Y MESAS DE TRABAJO QUE CONTEMPLA EL PROYECTO. 4) ORGANIZAR Y CLASIFICAR LOS SOPORTES DOCUMENTALES QUE SE GENEREN DURANTE LA EJECUCIBN DEL CONVENIO</t>
  </si>
  <si>
    <t>https://community.secop.gov.co/Public/Tendering/OpportunityDetail/Index?noticeUID=CO1.NTC.4774497&amp;isFromPublicArea=True&amp;isModal=False</t>
  </si>
  <si>
    <t>OAG-VEX-0735-2023</t>
  </si>
  <si>
    <t>DANILO ALEXANDER VANOY CAMPOS</t>
  </si>
  <si>
    <t>LA PRESENTE ORDEN TIENE POR OBJETO: PRESTAR SERVICIOS DE APOYO A LA GESTIBN EN EL MARCO DEL CONVENIO INTERADMINISTRATIVO NO. 420 DE 2023, CELEBRADO ENTRE EL MINISTERIO DE TRABAJO Y LA UNIVERSIDAD DEL MAGDALENA, PARA EL DESARROLLO DE LAS SIGUIENTES ACTIVIDADES: 1) RECOPILAR Y ANALIZAR DATOS EN FUENTES PRIMARIAS Y SECUNDARIAS QUE SIRVAN DE INSUMO PARA LA ELABORACIBN DEL MAPEO DE ACTORES DEL PROYECTO. 2) APOYAR LA ELABORACIBN DEL MARCO O ESTRUCTURA METODOLBGICA PARA LA CONSTRUCCIBN DEL  DOCUMENTO DE CARACTERISTICAS SOCIOECONBMICAS DEL TERRITORIO Y DEL SECTOR PRODUCTIVE. 3) GESTIONAR LOS ESPACIOS Y ELEMENTOS NECESARIOS PARA LA REALIZACIBN DE LAS ENTREVISTAS Y MESAS DE TRABAJO QUE CONTEMPLA EL PROYECTO. 4) ORGANIZAR Y CLASIFICAR LOS SOPORTES DOCUMENTALES QUE SE GENEREN DURANTE LA EJECUCIBN DEL CONVENIO</t>
  </si>
  <si>
    <t>https://community.secop.gov.co/Public/Tendering/OpportunityDetail/Index?noticeUID=CO1.NTC.4774496&amp;isFromPublicArea=True&amp;isModal=False</t>
  </si>
  <si>
    <t>OPSP-VEX-0737-2023</t>
  </si>
  <si>
    <t>LA PRESENTE ORDEN TIENE POR OBJETO: PRESTAR SERVICIOS PROFESIONALES EN EL MARCO DEL CONVENIO NO.7000000013 DE 2021, CELEBRADO ENTRE CENIT LOGISTICA Y TRANSPORTE DE HIDROCARBUROS SAS Y LA UNIVERSIDAD DEL MAGDALENA, PARA EL DESARROLLO DE LA SIGUIENTE ACTIVIDAD: REALIZAR LA SISTEMATIZACIBN DE LA EXPERIENCIA DE LAS ACTIVIDADES CONTEMPLADAS EN EL PROCESO DE FORTALECIMIENTO DE LOS CURSOS DE PRIMEROS AUXILIOS Y CURSO DE COCINA DIRIGIDOS A LOS PRESTADORES DE SERVICIOS TURISTICOS DEL AREA DE INFLUENCIA DEL TERMINAL POZOS COLORADOS.</t>
  </si>
  <si>
    <t>https://community.secop.gov.co/Public/Tendering/OpportunityDetail/Index?noticeUID=CO1.NTC.4773826&amp;isFromPublicArea=True&amp;isModal=False</t>
  </si>
  <si>
    <t>OPS-VEX-0733-2023</t>
  </si>
  <si>
    <t>901295462-3</t>
  </si>
  <si>
    <t>DISTRIBUIDORA NACIONAL C&amp;M S.A.S</t>
  </si>
  <si>
    <t>PRESTAR SERVICIOS REQUERIDOS EN EL MARCO DEL PROYECTO DE EXTENSION DENOMINADO “IMPLEMENTACLTIN DE ESTRATEGIAS DE EDUCACION AMBIENTAL Y CONSERVACIGN DEL RECURSO HIDRICO EN EL MUNI CL PIO DE ZONA BANANERA".
EL SERVICIO CONTRATADO COMPRENDE:
I) REGISTRO DOCUMENTAL DE CADA UNA DE LAS ACTIVIDADES DEL PROYECTO MEDIANTE LA TOMA DE FOTOGRAFIAS EN
FORMATO DIGITAL. TODAS LAS ACTIVIDADES DEL PROYECTO TENDRAN UN SEGUIMIENTO FOTOGRAFICO Y DE VIDEO QUE
PERMITA REALIZAR LA DIVULGACIDN DEL PROCESO POR TODOS LOS MEDIOS DE DIVULGACIBN INCLUIDOS RADIO, TELEVISION
Y PRENSA. ESTE DEBE COMPRENDER: A) CUBRIMIENTO A CADA UNA DE LAS ACTIVIDADES DEL PROYECTO DURANTE TODO
EL TIEMPO DE LA EJECUCIBN. B) CONSTRUCCIBN DE INFORME DE SISTEMATIZACIBN DE EVENTOS DE LANZAMIENTO Y
SOCIALIZACIBN DEL PROYECTO. C) CONSTRUCCIBN DE INFORME DE LA JORNADA DE LIMPIEZA REALIZADAS, ARBORIZACIBN Y
JORNADAS DE CAPACITACIBN Y SENSIBILIZACIBN. D) REALIZAR REGISTRO Y EDICIBN FOTOGRAFICA DE LOS EVENTOS Y/O
ACTIVIDADES DEL PROYECTO. E) REALIZAR REGISTRO Y EDICIBN AUDIOVISUAL DE LOS EVENTOS Y/O ACTIVIDADES DEL
PROYECTO. F) ELABORACIBN DE NOTA DE PRENSA</t>
  </si>
  <si>
    <t>https://community.secop.gov.co/Public/Tendering/OpportunityDetail/Index?noticeUID=CO1.NTC.4778942&amp;isFromPublicArea=True&amp;isModal=False</t>
  </si>
  <si>
    <t>OPSP-VEX-0749-2023</t>
  </si>
  <si>
    <t>ANGELICA PATRICIA CARREÑO</t>
  </si>
  <si>
    <t>LA PRESENTE ORDEN TIENE POR OBJETO: PRESTAR SERVICIOS PROFESIONALES EN EL MARCO DEL CONVENIO INTERADMINISTRATIVO NO. 004 DE 2023, CELEBRADO ENTRE EL MUNICIPIO DE ZONA BANANERA Y LA UNIVERSIDAD DEL MAGDALENA, PARA EL DESARROLLO DE LAS SIGUIENTES ACTIVIDADES: 1) ELABORAR LA PROGRAMACIBN O MICRODISENO DEL MODULO DENOMINADO "PRODUCCIBN SOSTENIBLE Y CAMBIO CLIMATICO". 2) DESARROLLAR EL CONTENIDO ACADEMICO DEL MODULO DENOMINADO "PRODUCCIBN SOSTENIBLE Y CAMBIO CLIMATICO", DIRIGIDO A LOS HABITANTES DE LOS CORREGIMIENTOS DE TUCURINCA, PRADO SEVILLA, Y GUACAMAYAL. 3. PRESENTAR INFORME DONDE SE EVIDENCIE EL DESARROLLO DE LAS
ACTIVIDADES DE APRENDIZAJE REALIZADAS Y LA RETROALIMENTACIBN DE LAS MISMAS</t>
  </si>
  <si>
    <t>https://community.secop.gov.co/Public/Tendering/OpportunityDetail/Index?noticeUID=CO1.NTC.4789001&amp;isFromPublicArea=True&amp;isModal=False</t>
  </si>
  <si>
    <t>OPSP-VEX-0750-2023</t>
  </si>
  <si>
    <t>MARIA ESTHER GOMEZ</t>
  </si>
  <si>
    <t>LA PRESENTS ORDEN TIENE POR OBJETO: PRESTAR SERVICIOS PROFESIONALES EN EL MARCO DEL CONVENIO INTERADMINISTRATIVO NO. 004 DE 2023, CELEBRADO ENTRE EL MUNICIPIO DE ZONA BANANERA Y LA UNIVERSIDAD DEL MAGDALENA, PARA EL DESARROLLO DE LAS SIGUIENTES ACTIVIDADES: 1) REALIZAR TUTORLA Y PRESTAR ACOMPAÑAMIENTO PERSONALIZADO A LOS 15 PRODUCTORES BENEFICIARIOS DEL PROYECTO. PARA IO CUAL DEBERA: I) DISENAR PLAN DE FORMACIBN PRACTICA SOBRE AGRICULTURA CLIMATICAMENTE INTELIGENTE DE ACUERDO CON LAS SIGUIENTES TEMATICAS: ¿A) ^CDMO CONTRIBUIR CON EL ADECUADO MANEJO DE CULTIVOS A LA MITIGACIBN DEL CAMBIO Y LA VARIABILIDAD CLIMATICA? B) ^CBMO  ¿IMPLEMENTAR PRACTICAS DE AGRICULTURA CLIMATICAMENTE INTELIGENTE EN LOS PREDIOS? II) REALIZARJORNADA DE FORMACIBN INDIVIDUAL EN LOS TEMAS DEL PLAN DE FORMACIBN DISENADO, DIRIGIDO A LOS 15 PRODUCTORES. III) CONTRIBUIR EN LA
ELABORACIBN DEL INFORME FINAL DE CAPACITACIONES. 2) REALIZAR CAPACITACIBN GRUPAL DEL MODULO DENOMINADO "ADAPTACIBN Y MITIGACIBN DEL CAMBIO CLIMATICO", DIRIGIDA A LOS HABITANTES DE LOS CORREGIMIENTOS DE TUCURINCA, PRADO SEVILLA Y GUACAMAYAL. 3) REALIZAR CAPACITACIBN GRUPAL DEL MODULO DENOMINADO "AGRICULTURA CLIMATICAMENTE INTELIGENTE", DIRIGIDA A LOS HABITANTES DE LOS CORREGIMIENTOS DE TUCURINCA, PRADO SEVILLA, GUACAMAYAL, RIO FRIO, GRAN VIA, Y ORIHUECA.</t>
  </si>
  <si>
    <t>https://community.secop.gov.co/Public/Tendering/OpportunityDetail/Index?noticeUID=CO1.NTC.4788903&amp;isFromPublicArea=True&amp;isModal=False</t>
  </si>
  <si>
    <t>OAG-VEX-0612-2023</t>
  </si>
  <si>
    <t>ELGHER BENJAMIN PACHECO LOPEZ </t>
  </si>
  <si>
    <t xml:space="preserve">1. DESARROLLO DEL CURSO LIBRE DE FOTOGRAFÍA BÁSICA EN EL MARCO DE LAS JORNADAS DE FORMACIÓN Y CREACIÓN ARTÍSTICO CULTURAL DESARROLLADAS DENTRO DEL PLAN DE ACCIÓN DE LA DIRECCIÓN DE PROYECCIÓN CULTURAL </t>
  </si>
  <si>
    <t xml:space="preserve">https://community.secop.gov.co/Public/Tendering/ContractNoticePhases/View?PPI=CO1.PPI.25247261&amp;isFromPublicArea=True&amp;isModal=False </t>
  </si>
  <si>
    <t>OPSP-VEX-0613-2023</t>
  </si>
  <si>
    <t>GUSTAVO ANDRES GARCIA ACEVEDO</t>
  </si>
  <si>
    <t xml:space="preserve">1. DESARROLLO DEL CURSO LIBRE DE PIANO PARA PRINCIPIANTES, INICIACIÓN AL CANTO Y GUITARRA EN EL MARCO DE LAS JORNADAS DE FORMACIÓN Y CREACIÓN ARTÍSTICO CULTURAL DESARROLLADAS DENTRO DEL PLAN DE ACCIÓN DE LA DIRECCIÓN DE PROYECCIÓN CULTURAL </t>
  </si>
  <si>
    <t>https://community.secop.gov.co/Public/Tendering/ContractNoticePhases/View?PPI=CO1.PPI.25248618&amp;isFromPublicArea=True&amp;isModal=False</t>
  </si>
  <si>
    <t>OPS-VEX-0710-2023</t>
  </si>
  <si>
    <t>XPRESS ESTUDIO GRAFICO Y DIGITAL S.A.S.</t>
  </si>
  <si>
    <t>1. PRESTAR SERVICIO DE IMPRESIÓN DE 100 EJEMPLARES DE LA EDICIÓN NÚMERO 4 DE LA REVISTA ATARRAYA CULTURAL CONSTRUYENDO REGIÓN</t>
  </si>
  <si>
    <t>https://community.secop.gov.co/Public/Tendering/OpportunityDetail/Index?noticeUID=CO1.NTC.4739664&amp;isFromPublicArea=True&amp;isModal=False</t>
  </si>
  <si>
    <t>OPSP-VEX-0428-2023</t>
  </si>
  <si>
    <t>ANDRES FELIPE GIL LOZANO</t>
  </si>
  <si>
    <t>PRESTAR SERVICIOS PROFESIONALES INDEPENDIENTES COMO ASISTENTE DE INVESTIGACIÓN DE LAS ACTIVIDADES 1.1.2, 1.1.3, 2.1.1, 2.1.2, 2.1.5, 3.1.2, 3.1.5, 4.1.2, 4.1.3 Y 4.1.5 DE LOS OBJETIVOS 1, 2, 3 Y 4 DEL PROYECTO PARA PARTICIPAR EN LA IMPLEMENTACIÓN DE LAS ACCIONES QUE CONCIERNEN AL DESARROLLO DE LAS ACTIVIDADES GLOBALES DEL PROYECTO FINANCIADO CON RECURSOS DEL SISTEMA GENERAL DE REGALÍAS, CUMPLIENDO CON LAS SIGUIENTES ACTIVIDADES: 1) ASISTIR Y ELABORAR INFORME DE LAS SALIDAS DE CAMPO PARA TOMA DE INFORMACIÓN PRIMARIA Y SECUNDARIA (APLICACIÓN DE ENCUESTAS, CHECKLIST, ENTREVISTA SEMI ESTRUCTURADA Y OBSERVACIÓN DIRECTA). 2) ARTICULACIÓN Y PARTICIPACIÓN EN ENTREGA DEL DOCUMENTO DIAGNÓSTICO DE LA CADENA DE SUMINISTRO DEL QUESO COSTEÑO RESPECTO A LA CAPACIDAD DE PROCESOS, INDICADORES KPI´S, COSTOS, PRECIOS, RENTABILIDAD, FLUJOS DE INFORMACIÓN Y NIVELES DE PRODUCTIVIDAD (ALCANCE CON INFORMACIÓN PRIMARIA DE LA SALIDA DE CAMPO POR DEPARTAMENTO DEL AÑO 2022). 3) ASISTIR Y ELABORAR INFORME DE TOMA DE MUESTRAS DE LECHE Y QUESO COSTEÑO, MEDIANTE SALIDAS DE CAMPO EN LOS MUNICIPIOS DEL DEPARTAMENTO DE LA GUAJIRA. 4) ASISTIR Y ELABORAR INFORME DE EJECUCIÓN DE TALLERES DE CAPACITACIÓN Y ENTRENAMIENTO PARA EL TRABAJO EN: I. MANIPULACIÓN E HIGIENE DE ALIMENTOS, II. BUENAS PRÁCTICAS DE MANUFACTURA BPM DE ELABORACIÓN DE QUESO COSTEÑO Y III. GESTIÓN EMPRESARIAL Y ASOCIATIVIDAD (FORMULACIÓN DEL NUEVO MODELO DE NEGOCIOS, DE PLAN DE MARKETING DIGITAL Y SPIN OFF UNIVERSITARIA). 5) FACILITAR PROCESO DE FORMALIZACIÓN Y ASOCIATIVIDAD PRODUCTIVA Y ELABORAR INFORME PARA EL DEPARTAMENTO DE LA GUAJIRA. 6) DISEÑO Y DESARROLLO DE PLAN DE COMUNICACIÓN Y DISEÑO DE RED DE COMERCIALIZACIÓN DE QUESO COSTEÑO (ENTREGA DE DOCUMENTO DPTO. LA GUAJIRA). 7) DISEÑO DE RED COLABORATIVA DE ACTORES DE LA CADENA DE SUMINISTRO DE QUESO COSTEÑO, DISEÑO DE GUÍA PARA LA DEFINICIÓN DE ACUERDOS Y PACTOS ENTRE ACTORES DE LA CADENA DE SUMINISTRO DE QUESO COSTEÑO (ENTREGA DE DOCUMENTO DPTO. DE LA GUAJIRA); 8) ELABORACIÓN CONJUNTA DE ARTICULO CIENTÍFICO CON EL CODIRECTOR GUAJIRA Y DIRECTOR GENERAL DEL PROYECTO.</t>
  </si>
  <si>
    <t>SORANY MARIN TREJOS</t>
  </si>
  <si>
    <t>https://community.secop.gov.co/Public/Tendering/OpportunityDetail/Index?noticeUID=CO1.NTC.4094363&amp;isFromPublicArea=True&amp;isModal=False</t>
  </si>
  <si>
    <t>OPSP-VEX-0429-2023</t>
  </si>
  <si>
    <t>JOHANNA PATRICIA FONSECA TOVAR</t>
  </si>
  <si>
    <t>PRESTAR SERVICIOS PROFESIONALES DE EDAFOLOGÍA 1,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APOYAR MUESTREOS DE SUELOS EN LAS 33 PARCELAS DE LOS 11 MUNICIPIOS PREVIOS A LA SIEMBRA EN COORDINACIÓN CON EL COINVESTIGADOR DEL ÁREA. 2) COORDINACIÓN DE LAS SIEMBRAS DE ABONOS VERDES, PREVIOS A LA SIEMBRA DE CULTIVO PRINCIPAL. 3) TOMA DE REGISTROS FOTOGRÁFICOS EN CAMPO. 4) CONSOLIDAR LAS MATRICES DE INFORMACIÓN SISTEMATIZADAS DE LOS DATOS DE ANÁLISIS DE SUELOS. 5) APOYAR LOS PROCESOS DE ENVÍO DE MUESTRAS DE SUELOS CON EL ASISTENTE OPERATIVO DEL PROYECTO Y HACER SEGUIMIENTO AL ENVÍO DE LOS RESULTADOS EN COORDINACIÓN CON LA ENTIDAD CONTRATADA PARA REALIZAR LOS ANÁLISIS. 6) APOYAR EL ESTABLECIMIENTO DE BIO INSUMOS EN LAS PARCELAS DE LOS MUNICIPIOS EN COORDINACIÓN CON LOS INGENIEROS AGRÓNOMOS Y LOS OPERARIOS DE LOS PREDIOS. 7) APOYAR LA ELABORACIÓN DE RECOMENDACIONES PARA LA FERTILIZACIÓN DE PARCELAS. 8) ELABORACIÓN DE INFORMES MENSUALES SOBRE LAS ACTIVIDADES DE CAMPO</t>
  </si>
  <si>
    <t>https://community.secop.gov.co/Public/Tendering/OpportunityDetail/Index?noticeUID=CO1.NTC.4094543&amp;isFromPublicArea=True&amp;isModal=False</t>
  </si>
  <si>
    <t>OPSP-VEX-0430-2023</t>
  </si>
  <si>
    <t>GERMAN FIDEL VILLALOBOS PEREZ</t>
  </si>
  <si>
    <t>COMPRA E INSTALACIÓN DE VEINTITRÉS (23) SISTEMAS DE POTABILIZACIÓN DE AGUA (FILTROS DE ÓSMOSIS INVERSA) PARA LA MEJORA DE LA CALIDAD DE AGUA EN LAS RESTANTES 23 PARCELAS EN LOS MUNICIPIOS DEL DEPARTAMENTO DEL MAGDALENA, ASÍ: (ARIGUANÍ 3, CIÉNAGA 3, EL PIÑÓN 3, PIVIJAY 3, PLATO 3, SANTA MARTA 2, SITIO NUEVO 3, ZONA BANANERA 3.) EN EL DESARROLLO DE LA ACTIVIDAD 2 DEL OBJETIVO ESPECÍFICO NO. 1 CONTEMPLADO EN EL MGA DEL PROYECTO CÓDIGO BPIN 202000010076 DENOMINADO: "DESARROLLO, TRANSFERENCIA DE TECNOLOGÍA Y CONOCIMIENTO PARA LA INNOVACIÓN, ATENDIENDO LAS PROBLEMÁTICAS ASOCIADAS CON LA OFERTA DE PRODUCTOS HORTOFRUTÍCOLAS, DERIVADAS DE LA EMERGENCIA ECONÓMICA, SOCIAL Y ECOLÓGICA CAUSADA POR EL COVID-19 EN EL DEPARTAMENTO DE MAGDALENA”. LA PROPUESTA HACE PARTE INTEGRAL DE LA PRESENTE ORDEN.</t>
  </si>
  <si>
    <t>https://community.secop.gov.co/Public/Tendering/OpportunityDetail/Index?noticeUID=CO1.NTC.4094544&amp;isFromPublicArea=True&amp;isModal=False</t>
  </si>
  <si>
    <t>OPSP-VEX-0431-2023</t>
  </si>
  <si>
    <t>SARA CRISTINA HERNANDEZ HERNANDEZ</t>
  </si>
  <si>
    <t>SERVICIO ESPECIALIZADO DE ANÁLISIS DE 66 MUESTRAS DE SUELO PARA LA ADECUACIÓN DE TIERRAS DE 33 PARCELAS EXPERIMENTALES INSTALADAS EN 11 MUNICIPIOS DEL DEPARTAMENTO DEL MAGDALENA, PERTENECIENTES AL PROYECTO E-COMMERCE BPIN 2020000100768 “DESARROLLO TRANSFERENCIA DE TECNOLOGÍA Y CONOCIMIENTO PARA LA INNOVACIÓN ATENDIENDO LAS PROBLEMÁTICAS ASOCIADAS CON OFERTA DE PRODUCTOS HORTOFRUTÍCOLAS DERIVADAS DE LA EMERGENCIA ECONÓMICA SOCIAL Y ECOLÓGICA CAUSADA POR EL COVID-19 EN EL MAGDALENA”</t>
  </si>
  <si>
    <t>https://community.secop.gov.co/Public/Tendering/OpportunityDetail/Index?noticeUID=CO1.NTC.4094368&amp;isFromPublicArea=True&amp;isModal=False</t>
  </si>
  <si>
    <t>OPSP-VEX-0432-2023</t>
  </si>
  <si>
    <t>ALEXANDER ESTEBAN ESPINOSA VALDEZ</t>
  </si>
  <si>
    <t>COMPRA DE UNA (1) BALANZA MODELO ENTRIS BCE3202-1S CON CAPACIDAD DE 3200 GRAMOS, MARCA SARTORIUS DE ALEMANIA, CALIBRACIÓN EXTERNA, NECESARIA PARA LA EJECUCIÓN DE LA ACTIVIDAD 2 PROPUESTA EN EL OBJETIVO 1, PARA CUMPLIMIENTO DE ACTIVIDADES EN LAS TREINTA Y TRES (33) PARCELAS EXPERIMENTALES UBICADAS EN LOS ONCE (11) MUNICIPIOS DEL DEPARTAMENTO DEL MAGDALENA, DE CONFORMIDAD CON EL DOCUMENTO TÉCNICO DEL PROYECTO CON CÓDIGO BPIN 2020000100768,</t>
  </si>
  <si>
    <t>JORGE GOMEZ ROJAS</t>
  </si>
  <si>
    <t>https://community.secop.gov.co/Public/Tendering/OpportunityDetail/Index?noticeUID=CO1.NTC.4112462&amp;isFromPublicArea=True&amp;isModal=False</t>
  </si>
  <si>
    <t>OPSP-VEX-0433-2023</t>
  </si>
  <si>
    <t>ERICK MARTINEZ DIAZ</t>
  </si>
  <si>
    <t>SERVICIO TECNOLÓGICO WEB HOSTING, DOMINIO Y CORREO CORPORATIVO (BUSINESS PLAN) PARA EL ALOJAMIENTO DE PLATAFORMA DIGITAL QUE PERMITA PROPONER UN NUEVO PROCESO DE COMERCIALIZACIÓN A TRAVÉS DE MEDIOS DIGITALES, TALES COMO E-COMERCE, MARKET PLACE E INBOUND MARKETING, EN CUMPLIMIENTO DE LAS ACTIVIDADES PROPUESTAS EN EL OBJETIVO 3 - ACTIVIDAD 3.1.3 RELACIONADOS EN EL DOCUMENTO TÉCNICO DEL PROYECTO "FORTALECIMIENTO DE LA CAPACIDAD PRODUCTIVA Y COMERCIAL DE LA CADENA DE SUMINISTRO DEL QUESO COSTEÑO EN LAS SUBREGIONES DEL CARIBE COLOMBIANO, DEPARTAMENTO DEL MAGDALENA, CÓRDOBA, LA GUAJIRA” CON CÓDIGO BPIN 202000010011</t>
  </si>
  <si>
    <t>https://community.secop.gov.co/Public/Tendering/OpportunityDetail/Index?noticeUID=CO1.NTC.4116619&amp;isFromPublicArea=True&amp;isModal=False</t>
  </si>
  <si>
    <t>OPSP-VEX-0434-2023</t>
  </si>
  <si>
    <t>JAIRO RENE ESCOBAR VILLANUEVA</t>
  </si>
  <si>
    <t>SERVICIO DE LOGÍSTICA (TRANSPORTE, ALIMENTACIÓN Y HOSPEDAJE) PARA LA MOVILIZACIÓN DE INVESTIGADORES EN LOS MUNICIPIOS DE ACCIÓN E INTERVENCIÓN CON EL OBJETO DE REALIZAR SALIDA DE CAMPO DEL PROYECTO BPIN 2019000100064 DENOMINADO: "FORTALECIMIENTO DE HABILIDADES Y COMPETENCIAS COMUNICATIVAS, INVESTIGATIVAS Y TECNOLÓGICAS ALREDEDOR DE LA MEMORIA HISTÓRICA Y CULTURAL EN NIÑOS, ADOLESCENTES Y JÓVENES DEL DEPARTAMENTO DEL CESAR”.</t>
  </si>
  <si>
    <t>https://community.secop.gov.co/Public/Tendering/OpportunityDetail/Index?noticeUID=CO1.NTC.4117599&amp;isFromPublicArea=True&amp;isModal=False</t>
  </si>
  <si>
    <t>OPSP-VEX-0435-2023</t>
  </si>
  <si>
    <t>JESUS JOSE MAESTRE AVENDAÑO</t>
  </si>
  <si>
    <t>DESARROLLO DE LAS SIGUIENTES ACTIVIDADES: 1. ASESORAR AL DIRECTOR Y A LOS COORDINADORES EN LOS TEMAS DE ALCANCE TÉCNICO DEL PROYECTO, 2. ASESORAR EL PROCESO DE SELECCIÓN Y CONTRATACIÓN DE LAS COMPRAS DE BIENES Y SERVICIOS A LA VICERRECTORIA DE EXTENSIÓN Y PROYECCIÓN SOCIAL, 3. APOYAR EL PROCESO DE SELECCIÓN DEL PERSONAL DEL EQUIPO BASE DEL PROYECTO BASADO EN CONOCIMIENTOS Y ENTREVISTAS TÉCNICAS QUE PERMITAN EL CUMPLIMIENTO DE LOS OBJETIVOS DEL PROYECTO, 4. APOYAR LA COMUNICACIÓN ENTRE LA ANT Y LA UNIMAGDALENA PARA EL CUMPLIMIENTO DE LOS OBJETIVOS DEL PROYECTO, 5. APOYAR AL DIRECTOR EN EL SEGUIMIENTO PRESUPUESTAL Y DE CRONOGRAMA CON LAS RECOMENDACIONES NECESARIAS PARA LOGRAR LOS OBJETIVOS DEL PROYECTO, 6. ASESORAR LAS DEMÁS ACTIVIDADES DERIVADAS DEL OBJETO DEL CONTRATO ADMINISTRATIVO ANT-20232685 RELACIONADAS CON EL CORRECTO DESARROLLO Y CUMPLIMIENTO DE OBJETIVOS DEL PROYECTO</t>
  </si>
  <si>
    <t>https://community.secop.gov.co/Public/Tendering/OpportunityDetail/Index?noticeUID=CO1.NTC.4118121&amp;isFromPublicArea=True&amp;isModal=False</t>
  </si>
  <si>
    <t>OPSP-VEX-0436-2023</t>
  </si>
  <si>
    <t>JOSE FERNANDO SALGADO COMAS</t>
  </si>
  <si>
    <t>DESARROLLO DE LAS SIGUIENTES ACTIVIDADES: 1. ELABORAR Y REALIZAR EL SEGUIMIENTO DE LAS COMUNICACIONES DEL PROYECTO CON LA AGENCIA NACIONAL DE TIERRAS 2. CONTROLAR EL FLUJO DE ASIGNACIONES DE GRUPOS DE PREDIOS A LAS EMPRESAS ALIADAS DE LEVANTAMIENTOS TOPOGRÁFICOS Y VALORACIÓN ECONÓMICA 3. APOYAR EL SEGUIMIENTO DE CONTRATACIONES Y PAGOS DEL PERSONAL BASE DEL PROYECTO Y LAS EMPRESAS ALIADAS 4. REALIZAR LAS EVALUACIONES DE LAS INVITACIONES PARA CONFIRMACIÓN DE BANCO DE ELEGIBLES 5. ACTUALIZAR EL PRESUPUESTO DE FORMA CONSTANTE Y REALIZAR LOS INFORMES SOLICITADOS POR LA VICERRECTORIA DE EXTENSIÓN Y PROYECCIÓN SOCIAL O EL DIRECTOR DEL PROYECTO 6. FACILITAR LA INTERACCIÓN DE LOS ACTORES INVOLUCRADOS EN EL PROCESO Y LA AGENCIA NACIONAL DE TIERRAS PARA LA CORRECTA EJECUCIÓN DEL PROYECTO 7. ORGANIZAR LAS REUNIONES REQUERIDAS EN LA EJECUCIÓN DEL PROYECTO 8. ATENDER LOS DEMÁS REQUERIMIENTOS ADMINISTRATIVOS DERIVADOS DEL OBJETO DEL CONTRATO ADMINISTRATIVO ANT-20232685.</t>
  </si>
  <si>
    <t>https://community.secop.gov.co/Public/Tendering/OpportunityDetail/Index?noticeUID=CO1.NTC.4117754&amp;isFromPublicArea=True&amp;isModal=False</t>
  </si>
  <si>
    <t>OPSP-VEX-0437-2023</t>
  </si>
  <si>
    <t>LUIS JOSE CASTRILLO FERNANDEZ</t>
  </si>
  <si>
    <t>PRESTAR SERVICIOS PROFESIONALES COMO PERSONAL DE APOYO - ASISTENTE DE INVESTIGACIÓN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SERVIR DE ENLACE TERRITORIAL Y DE MONITOREO DE LAS INSTITUCIONES EDUCATIVAS DEL CESAR SELECCIONADAS A TRAVÉS DEL CONTACTO VIRTUAL, TELEFÓNICO Y/O PRESENCIAL SEGÚN LO REQUIERA EL PROYECTO. 2) DISEÑAR E IMPLEMENTAR UN PLAN DE ACERCAMIENTO Y TRABAJO METODOLÓGICO - PEDAGÓGICO CON LAS IE A LO LARGO DE LA VISITA QUE SE HARÁ A ESTAS INSTITUCIONES. 3) DISEÑAR E IMPLEMENTAR UN ACTA DE PARTICIPACIÓN QUE PERMITA EVIDENCIAR Y DOCUMENTAR EL INICIO DE LA FASE DE DESARROLLO DE LOS PLANES DE AULA POR CADA INSTITUCIÓN. 5) ESCRIBIR UN INFORME QUE SIRVA COMO MEMORIA DEL PROCESO DE APROPIACIÓN DE LOS DOCENTES DE LOS CONOCIMIENTOS ADQUIRIDOS Y QUE EVIDENCIE EL DISEÑO E INICIACIÓN DE LOS PROYECTOS DE AULA. 6) DESARROLLAR CARACTERIZACIÓN Y DEFINICIÓN DE LUGARES Y PERSONAJES PARA RECORRIDO VIRTUAL 360/ REALIDAD AUMENTADA/REALIDAD VIRTUAL. 7) ATENDER LOS REQUERIMIENTOS SOLICITADOS POR EL SUPERVISOR Y LOS LÍDERES PEDAGÓGICOS ASIGNADOS, PARTICIPAR DE LAS REUNIONES PROGRAMADAS Y CUMPLIR CON LOS CRONOGRAMAS DE ENTREGA PACTADOS. 8) DISEÑAR UN PLAN PARA DESARROLLAR UNA SEGUNDA VISITA A LAS COMUNIDADES SELECCIONADAS Y QUE POSIBILITE RECOPILACIÓN Y DOCUMENTACIÓN DE LOS PROYECTOS DE AULA.</t>
  </si>
  <si>
    <t>https://community.secop.gov.co/Public/Tendering/OpportunityDetail/Index?noticeUID=CO1.NTC.4117944&amp;isFromPublicArea=True&amp;isModal=False</t>
  </si>
  <si>
    <t>OPSP-VEX-0438-2023</t>
  </si>
  <si>
    <t>LUIS MIGUEL TORRES USTATE</t>
  </si>
  <si>
    <t>1. CONSTRUIR UNA MATRIZ DE CONTROL DE LOS PREDIOS A NIVEL PROCESAMIENTO ENTREGADOS POR LOS ACTORES INVOLUCRADOS EN EL PROYECTO; 2. RECIBIR INFORMACIÓN DE CAMPO GNSS Y GENERAR CONTROL DE CALIDAD PARA INTERACTUAR CON LOS ACTORES INVOLUCRADOS EN EL PROYECTO; 3. PROGRAMAR Y DESIGNAR LOS PROCESAMIENTOS A LOS ACTORES INVOLUCRADOS EN EL PROYECTO; 4. ATENDER REQUERIMIENTOS Y SUBSANACIONES RELACIONADAS CON EL PROCESAMIENTO DE FOTOGRAMETRÍA HASTA QUE LA AGENCIA NACIONAL DE TIERRAS RECIBA A SATISFACCIÓN</t>
  </si>
  <si>
    <t>https://community.secop.gov.co/Public/Tendering/OpportunityDetail/Index?noticeUID=CO1.NTC.4117769&amp;isFromPublicArea=True&amp;isModal=False</t>
  </si>
  <si>
    <t>OPSP-VEX-0439-2023</t>
  </si>
  <si>
    <t>MIGUEL ANGEL GUTIERREZ ESTRADA</t>
  </si>
  <si>
    <t>DESARROLLO DE LAS SIGUIENTES ACTIVIDADES: 1. CONSTRUIR UNA MATRIZ DE CONTROL DE DOCUMENTACIÓN ENTREGADA Y SOLICITADA A LOS ACTORES INVOLUCRADOS EN EL PROYECTO; 2. TRAMITAR, DESCARGAR Y ANALIZAR DOCUMENTACIÓN ENTREGADA POR LOS ACTORES INVOLUCRADOS EN EL PROYECTO; 3. ASISTIR A REUNIONES PARA INFORMAR EL ESTADO DE LA DOCUMENTACIÓN ENTRE LA UNIVERSIDAD DEL MAGDALENA Y LA AGENCIA NACIONAL DE TIERRAS. 4. VALIDAR LA CALIDAD DE LOS PLANOS DESARROLLADOS POR LA ALIADA DE SOFTWARE PARA LA AUTOMATIZACIÓN DE PLANOS; 5. LAS DEMÁS ACTIVIDADES DERIVADAS DEL OBJETO DEL CONTRATO ADMINISTRATIVO ANT_x0002_20232685.</t>
  </si>
  <si>
    <t>https://community.secop.gov.co/Public/Tendering/OpportunityDetail/Index?noticeUID=CO1.NTC.4117790&amp;isFromPublicArea=True&amp;isModal=False</t>
  </si>
  <si>
    <t>OPSP-VEX-0440-2023</t>
  </si>
  <si>
    <t>MIGUEL ANGEL POLO CASTANEDA</t>
  </si>
  <si>
    <t>PRESTAR SERVICIOS PROFESIONALES COMO PERSONAL DE APOYO - SONIDISTA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EVIDENCIAR LA ORGANIZACIÓN DEL MATERIAL SONORO DE 2 (DOS) OBRAS DOCUMENTALES REALIZADOS EN ATÁNQUÉZ Y BADILLO. 2) EVIDENCIAR LA ORGANIZACIÓN DEL MATERIAL SONORO REQUERIDO PARA LA RUTA 360 DE ATÁNQUEZ Y 360 DE BADILLO. 3) CREAR UN PLAN DE TRABAJO SONORO JUNTAMENTE CON EL DEPARTAMENTO DE PRODUCCIÓN PARA DOS (2) OBRAS DOCUMENTALES, DOS (2) EXPERIENCIAS 360, UNA (1) EXPERIENCIA DE REALIDAD VIRTUAL. 4) ATENDER LOS REQUERIMIENTOS SOLICITADOS POR EL SUPERVISOR Y LOS LÍDERES ASIGNADOS. ASÍ MISMO, PARTICIPAR DE LAS REUNIONES PROGRAMADAS Y CUMPLIR CON LOS CRONOGRAMAS DE ENTREGA PACTADOS. 5) SONORIZAR LA RUTA 360 DE ATANQUEZ Y LA RUTA 360 BADILLO. 6) SONORIZAR LAS CAPSULAS DE VIDEO DE LA RUTA ATANQUEZ Y LAS CAPSULAS DE VIDEO DE LA RUTA BADILLO. 7) CREAR EL DISEÑO SONORO DE LA CO-CREACIÓN DOCUMENTAL DE ATANQUEZ Y DE LA CO-CREACIÓN DOCUMENTAL DE BADILLO. 8) DESARROLLAR AVANCES DE LA EXPERIENCIA VIRTUAL DE LA PIRAGUA EN CUANTO A FOLEYS, AMBIENTES Y EFECTOS. 9) IMPLEMENTAR CAMBIOS QUE TENGAN LUGAR EN LAS CO-CREACIONES DOCUMENTALES. 10) APOYAR EN LA IMPLEMENTACIÓN DE LA MÚSICA DE LAS OBRAS DOCUMENTALES Y CAPSULAS. 11) REALIZAR LA MEZCLA FINAL DE LAS CO-CREACIONES DOCUMENTALES. 12) ENTREGAR LA EXPERIENCIA VIRTUAL SONORIZADA</t>
  </si>
  <si>
    <t>https://community.secop.gov.co/Public/Tendering/OpportunityDetail/Index?noticeUID=CO1.NTC.4117791&amp;isFromPublicArea=True&amp;isModal=False</t>
  </si>
  <si>
    <t>OPSP-VEX-0448-2023</t>
  </si>
  <si>
    <t>TANIA KARELYS FRANCO CASTILLA</t>
  </si>
  <si>
    <t>PRESTAR SERVICIOS PROFESIONALES EN EL ÁREA DE ENTOMOLOGÍA 2,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REALIZAR MUESTREOS SEMANALES DE ARTROPOFAUNA EN LAS 33 PARCELAS DE LOS 11 MUNICIPIOS DEL DEPARTAMENTO Y ROTULADO DE INSECTOS CUANDO SE REQUIERA. 2) LLEVAR LIBROS DE REGISTROS DE COMPORTAMIENTO DE LAS POBLACIONES DE INSECTOS EN LAS PARCELAS Y TOMA DE FOTOGRAFÍAS DE MUESTRAS DE LABORATORIO. 3) CONSOLIDAR LAS MATRICES DE INFORMACIÓN DE LOS DATOS DE INCIDENCIA Y SEVERIDAD DE INSECTOS EN LAS PARCELAS. 4) REALIZAR LOS PROCESOS DE CURADURÍA DE INSECTOS EN LABORATORIO CUANDO SE REQUIERA. 5) APOYAR EL DISEÑO DE CONTENIDOS DE CARTILLAS DEL ÁREA AGRÍCOLA PARA LAS CAPACITACIONES, DE ACUERDO CON SU EXPERIENCIA DE CAMPO. 6) INFORMAR OPORTUNAMENTE CUALQUIER EVENTUALIDAD QUE SE REGISTRE EN LAS PARCELAS DURANTE LAS VISITAS. 7) COORDINAR CON EL PROFESIONAL EN FITOPATOLOGÍA EL ANÁLISIS DE LAS VARIABLES FITOSANITARIAS. 8) ELABORACIÓN DE INFORMES MENSUALES SOBRE LAS ACTIVIDADES DE CAMPO</t>
  </si>
  <si>
    <t>HUGO MERCADO CERVERA</t>
  </si>
  <si>
    <t>https://community.secop.gov.co/Public/Tendering/OpportunityDetail/Index?noticeUID=CO1.NTC.4120129&amp;isFromPublicArea=True&amp;isModal=False</t>
  </si>
  <si>
    <t>OPSP-VEX-0449-2023</t>
  </si>
  <si>
    <t>JORGE LUIS MUNIVE ZABALETA</t>
  </si>
  <si>
    <t>COMPRA DE MATERIALES Y EQUIPOS DE LABORATORIO NECESARIAS PARA LA EJECUCIÓN DE LAS ACTIVIDADES PROPUESTAS EN EL OBJETIVO 1- ACTIVIDAD 2 REFERENCIADAS EN EL DOCUMENTO TÉCNICO DEL PROYECTO CON CÓDIGO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LOS MATERIALES Y EQUIPOS DEBEN CUMPLIR CON LAS SIGUIENTES ESPECIFICACIONES Y CANTIDADES: 1) TRES MIL TRESCIENTAS (3.300) BOLSAS INDUSTRIALES DE COLOR BLANCO, TAMAÑO: 100X120 CM CAPACIDAD DE CARGA: 35 KG VOLUMEN MÍNIMO: 120 LITROS. 2) TRES MIL TRESCIENTAS (3.300) BOLSAS INDUSTRIALES DE COLOR NEGRO, TAMAÑO: 100X120 CM CAPACIDAD DE CARGA: 35 KG VOLUMEN MÍNIMO: 120 LITROS. 3) TRES MIL TRESCIENTAS (3.300) BOLSAS INDUSTRIALES DE COLOR VERDE, TAMAÑO: 100X120 CM CAPACIDAD DE CARGA: 35 KG VOLUMEN MÍNIMO: 120 LITROS. 4) DIEZ (10) VASOS DE PRECIPITADOS DE 250 ML, FORMA BAJA, EN VIDRIO. 5) VEINTE (20) VASOS DE PRECIPITADOS DE 100 ML, FORMA BAJA, EN VIDRIO. 6) VEINTE (20) VASOS DE PRECIPITADOS DE 50 ML, FORMA BAJA, EN VIDRIO. 7) SEIS (6) VASOS DE PRECIPITADOS DE 50 ML EN PP, FORMA BAJA, EN PP. 8) UNA (1) BOMBA DE VACÍO, POR DIAFRAGMA CON MANÓMETRO, DE 1/6 HP, 650 MM HG, 110V. LA PROPUESTA HACE PARTE INTEGRAL DE LA PRESENTE ORDEN</t>
  </si>
  <si>
    <t>https://community.secop.gov.co/Public/Tendering/OpportunityDetail/Index?noticeUID=CO1.NTC.4136853&amp;isFromPublicArea=True&amp;isModal=False</t>
  </si>
  <si>
    <t>OPSP-VEX-0455-2023</t>
  </si>
  <si>
    <t>RUTH ESTHER PAREJO HIDALGO</t>
  </si>
  <si>
    <t>1. CONSTRUIR UNA MATRIZ DE CONTROL DE LOS PREDIOS A NIVEL LEVANTAMIENTOS TOPOGRÁFICOS ASIGNADOS POR LA AGENCIA NACIONAL DE TIERRAS; 2. RECIBIR INFORMACIÓN DE LEVANTAMIENTO TOPOGRÁFICO Y FOTOGRAMÉTRICO POR PARTE DE LOS ACTORES INVOLUCRADOS EN EL PROYECTO; 3. REALIZAR INFORME DE REVISIÓN DE CORRECCIONES DE PRODUCTOS GRÁFICOS REALIZADOS POR LOS ACTORES INVOLUCRADOS EN EL PROYECTO; 4. ATENDER REQUERIMIENTOS Y SUBSANACIONES RELACIONADAS CON LA COORDINACIÓN DE LEVANTAMIENTOS TOPOGRÁFICOS HASTA QUE LA AGENCIA NACIONAL DE TIERRAS RECIBA A SATISFACCIÓN.</t>
  </si>
  <si>
    <t>https://community.secop.gov.co/Public/Tendering/OpportunityDetail/Index?noticeUID=CO1.NTC.4138973&amp;isFromPublicArea=True&amp;isModal=False</t>
  </si>
  <si>
    <t>OPSP-VEX-0456-2023</t>
  </si>
  <si>
    <t>PEDRO LUIS PORTO FRAGOZO</t>
  </si>
  <si>
    <t>1. CONSTRUIR UNA MATRIZ DE CONTROL DE LOS PREDIOS A NIVEL JURÍDICO, 2. REVISIÓN DE ASPECTOS JURÍDICOS DE LOS INFORMES, 3. ASISTIR A MESAS TÉCNICAS DE TRABAJO CON LOS ACTORES INVOLUCRADOS EN EL PROYECTO, 4. ATENDER REQUERIMIENTOS Y SUBSANACIONES RELACIONADAS CON LOS PROCESOS JURÍDICOS DEL PROYECTO HASTA QUE LA AGENCIA NACIONAL DE TIERRAS RECIBA A SATISFACCIÓN.</t>
  </si>
  <si>
    <t>https://community.secop.gov.co/Public/Tendering/OpportunityDetail/Index?noticeUID=CO1.NTC.4138794&amp;isFromPublicArea=True&amp;isModal=False</t>
  </si>
  <si>
    <t>OPSP-VEX-0466-2023</t>
  </si>
  <si>
    <t>EDGAR ALBERTO DE LUQUE JACOME</t>
  </si>
  <si>
    <t>EL SERVICIO REALIZAR AVALÚO COMERCIAL DE HASTA 155 PREDIOS RURALES EN EL MARCO DEL CONTRATO ANT-20232685. CADA AVALÚO COMERCIAL DEBERÁ ELABORARSE BAJO LAS CONDICIONES Y PROCEDIMIENTOS ESPECIFICADOS EN LA RESOLUCIÓN 620 DE 2008 Y CUMPLIR CON LAS NTS QUE SEAN PERTINENTES:
1. CLASE DE AVALÚO (AVALÚO COMERCIAL PREDIO RURAL)
2. LOCALIZACIÓN DEL INMUEBLE
3. METODOLOGÍA APLICADA
4. IDENTIFICACIÓN DEL PREDIO
5. DOCUMENTOS O FUENTES CONSULTADAS
6. PROPÓSITO DEL AVALÚO
7. FECHAS (VISITA, INFORME Y APORTE DE DOCUMENTOS)
8. ASPECTOS JURÍDICOS BÁSICOS
8.1 PROPIETARIOS, TÍTULOS DE ADQUISICIÓN
8.2 MATRÍCULA INMOBILIARIA
8.3 CÓDIGO CATASTRAL
9. GENERALIDADES DEL SECTOR
10.LINDEROS, ÁREA
11.NORMATIVIDAD
12.DETERMINACIÓN DEL VALOR
13.REGISTRO FOTOGRÁFICO
14.CERTIFICADO RAA VALUADOR VIGENTE.
15. ACTA DE AVALUO CON LOS PROFESIONALES REQUERIDOS.</t>
  </si>
  <si>
    <t>https://community.secop.gov.co/Public/Tendering/OpportunityDetail/Index?noticeUID=CO1.NTC.4153030&amp;isFromPublicArea=True&amp;isModal=False</t>
  </si>
  <si>
    <t>OPSP-VEX-0469-2023</t>
  </si>
  <si>
    <t>WENDY JOHANY CABALLERO ZAMBRANO</t>
  </si>
  <si>
    <t>PRESTAR SERVICIOS PROFESIONALES COMO PRODUCTOR DE CAMPO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PRODUCIR CO-CREACIONES AUDIOVISUALES E INCORPORAR TECNOLOGÍA 360, REALIDAD VIRTUAL Y AUMENTADA. 2) PARTICIPAR EN LOS PROCESOS PROGRAMADOS PARA LA ESTRUCTURACIÓN DE LOS 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</si>
  <si>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https://community.secop.gov.co/Public/Tendering/OpportunityDetail/Index?noticeUID=CO1.NTC.4161934&amp;isFromPublicArea=True&amp;isModal=False</t>
  </si>
  <si>
    <t>OPSP-VEX-0470-2023</t>
  </si>
  <si>
    <t>WILLIN ARTURO PIMIENTA MORENO</t>
  </si>
  <si>
    <t>PRESTAR SERVICIOS PROFESIONALES COMO ANIMADOR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DISEÑAR LAS PIEZAS GRÁFICAS DE LOS PRODUCTOS RA RV DEL PROYECTO. 2) REALIZAR LAS ANIMACIONES 3D DE LOS PERSONAJES MODELADOS DEL UNIVERSO PIRAGUA PARA LOS PRODUCTOS RA Y RV: TOÑO, JAIRO, PILANDERA, TEJEDORA, MOHÁN Y DOS ANIMACIONES EXTRA. 3) ATENDER LAS SUGERENCIAS DE LÍDERES Y SUPERVISOR DE LA ORDEN. 4) ENTREGAR SUS AVANCES EN LOS DIFERENTES FORMATOS QUE REQUIERA EL PROYECTO. 5) PARTICIPAR DE LAS REUNIONES QUE LE SEAN DESIGNADAS POR LÍDERES Y SUPERVISOR DEL PROYECTO. 6) REALIZAR UN DOCUMENTO FINAL CON TODOS LOS ENTREGABLES Y AVANCES SOLICITADOS EN LA ORDEN.</t>
  </si>
  <si>
    <t>https://community.secop.gov.co/Public/Tendering/OpportunityDetail/Index?noticeUID=CO1.NTC.4163109&amp;isFromPublicArea=True&amp;isModal=False</t>
  </si>
  <si>
    <t>OPSP-VEX-0471-2023</t>
  </si>
  <si>
    <t>ANDREA PATRICIA MANRIQUE CANTILLO</t>
  </si>
  <si>
    <t>SERVICIO DE LEVANTAMIENTO TOPOGRÁFICO DE SIETE (7) PREDIOS UBICADOS EN EL DEPARTAMENTO DE CÓRDOBA Y VEINTE TRES (23) PREDIOS UBICADOS EN EL DEPARTAMENTO DE SUCRE, SEGÚN LOS LINEAMIENTOS DE ANT EN EL MARCO DEL CONTRATO ANT-20232685.</t>
  </si>
  <si>
    <t>JEAN LINERO CUETO</t>
  </si>
  <si>
    <t>https://community.secop.gov.co/Public/Tendering/OpportunityDetail/Index?noticeUID=CO1.NTC.4163748&amp;isFromPublicArea=True&amp;isModal=False</t>
  </si>
  <si>
    <t>OPSP-VEX-0472-2023</t>
  </si>
  <si>
    <t>JAIME DE JESUS RODRIGUEZ CURCIO</t>
  </si>
  <si>
    <t>PRESTAR SERVICIOS PROFESIONALES EN EL MARCO DEL CONTRATO INTERADMINISTRATIVO ELECTRÓNICO NO, 1001 - SGR DE 2022, CELEBRADO ENTRE EL MUNICIPIO DE VALLEDUPAR; CESAR Y LA UNIVERSIDAD DEL MAGDALENA, PARA EL DESARROLLO DE LAS SIGUIENTES ACTIVIDADES: 1) DIRECCIONAR LA CARTOGRAFÍA GENERAL DEL POT VALLEDUPAR 2) APOYO A LA REALIZACIÓN DEL DOCUMENTO DE PERFIL CLIMÁTICO Y FORMULAR LA AGENDA DE CAMBIO CLIMÁTICO EN EL MARCO DE LA LEY 1931 DE 2018 DEL MUNICIPIO DE VALLEDUPAR 3) BRINDAR APOYO EN LA ACTUALIZACIÓN DEL PLAN MUNICIPAL DE GESTIÓN DE RIESGOS Y DESASTRES 4) ASISTIR EN LA ELABORACIÓN DE CARTOGRAFÍA CON IMÁGENES SATELITALES PARA EL DOCUMENTO DE DINÁMICA POBLACIONAL MUNICIPAL DE VALLEDUPAR 5) BRINDAR ASISTENCIA AL EQUIPO DE TRABAJO Y PARTICIPANTES EN LA REALIZACIÓN DE LOS TALLERES URBANOS Y RURALES, ASÍ COMO EN LAS REUNIONES DE SEGUIMIENTO PLANIFICADAS DENTRO DEL PROYECTO. 6) LAS DEMÁS ACTIVIDADES QUE SE DERIVEN DE LA EJECUCIÓN DE LA ORDEN Y QUE TENGAN RELACIÓN DIRECTA CON EL OBJETO CONTRACTUAL. 7)LAS DEMÁS ACTIVIDADES QUE SE DERIVEN DE LA EJECUCIÓN DE LA ORDEN Y QUE TENGAN RELACIÓN DIRECTA CON EL OBJETO CONTRACTUAL.</t>
  </si>
  <si>
    <t>https://community.secop.gov.co/Public/Tendering/OpportunityDetail/Index?noticeUID=CO1.NTC.4165843&amp;isFromPublicArea=True&amp;isModal=False</t>
  </si>
  <si>
    <t>OPSP-VEX-0473-2023</t>
  </si>
  <si>
    <t>JENNIFER PAOLA TRILLOS GRANADOS</t>
  </si>
  <si>
    <t>PRESTAR SERVICIOS PROFESIONALES EN EL MARCO DEL CONTRATO INTERADMINISTRATIVO ELECTRÓNICO NO, 1001 - SGR DE 2022, CELEBRADO ENTRE EL MUNICIPIO DE VALLEDUPAR; CESAR Y LA UNIVERSIDAD DEL MAGDALENA, PARA EL DESARROLLO DE LAS SIGUIENTES ACTIVIDADES: 1) VERIFICAR Y DAR SEGUIMIENTO DE LAS FASES DE DIAGNÓSTICO Y FORMULACIÓN EN EL COMPONENTE AMBIENTAL. 2) APOYAR A LA CONSTRUCCIÓN DEL DOCUMENTO DEL PERFIL CLIMÁTICO Y FORMULAR LA AGENDA DE CAMBIO CLIMÁTICO EN EL MARCO DE LA LEY 1931 DE 2018 DEL MUNICIPIO DE VALLEDUPAR 3) BRINDAR APOYO EN LA ACTUALIZACIÓN DEL PLAN DE GESTIÓN DE RIESGO DE DESASTRES DEL MUNICIPIO DE VALLEDUPAR 4) PARTICIPAR EN LA REALIZACIÓN DE LOS TALLERES DE DIAGNÓSTICO Y FORMULACIÓN OBJETO DE LA REVISIÓN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</si>
  <si>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https://community.secop.gov.co/Public/Tendering/OpportunityDetail/Index?noticeUID=CO1.NTC.4165751&amp;isFromPublicArea=True&amp;isModal=False</t>
  </si>
  <si>
    <t>OPSP-VEX-0474-2023</t>
  </si>
  <si>
    <t>MARJE MELIZA MARTINEZ MARRIAGA</t>
  </si>
  <si>
    <t>PRESTAR SERVICIOS PROFESIONALES EN EL MARCO DEL CONTRATO INTERADMINISTRATIVO ELECTRÓNICO NO, 1001 - SGR DE 2022, CELEBRADO ENTRE EL MUNICIPIO DE VALLEDUPAR; CESAR Y LA UNIVERSIDAD DEL MAGDALENA, PARA EL DESARROLLO DE LAS SIGUIENTES ACTIVIDADES: 1) INFORME DEL ANÁLISIS ESTRATÉGICO PARA EL PERFIL CLIMÁTICO Y AGENDA DE CAMBIO CLIMÁTICO EN EL MARCO DE LA LEY 1931 DE 2018 DEL MUNICIPIO DE VALLEDUPAR. 2) INFORME DE ESTRATEGIAS PARA LA ACCIÓN, PLANIFICACIÓN PRESUPUESTAL Y COSTOS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</si>
  <si>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https://community.secop.gov.co/Public/Tendering/OpportunityDetail/Index?noticeUID=CO1.NTC.4165640&amp;isFromPublicArea=True&amp;isModal=False</t>
  </si>
  <si>
    <t>OPSP-VEX-0475-2023</t>
  </si>
  <si>
    <t>MELANEI BRIYITH GARCIA TORRES</t>
  </si>
  <si>
    <t>PRESTAR SERVICIOS PROFESIONALES EN EL MARCO DEL CONTRATO INTERADMINISTRATIVO ELECTRÓNICO NO, 1001 - SGR DE 2022, CELEBRADO ENTRE EL MUNICIPIO DE VALLEDUPAR; CESAR Y LA UNIVERSIDAD DEL MAGDALENA, PARA EL DESARROLLO DE LAS SIGUIENTES ACTIVIDADES:1) DIRIGIR Y DIRECCIONAR LA CARTOGRAFÍA TEMÁTICA PARA EL COMPONTE AMBIENTAL EN LAS FASES DE DIAGNÓSTICO Y FORMULACIÓN 2) PARTICIPAR EN LA ELABORACIÓN DEL EXPEDIENTE MUNICIPAL Y EL DOCUMENTO DE SEGUIMIENTO Y EVALUACIÓN, DESDE EL COMPONENTE AMBIENTAL DEL POT DE VALLEDUPAR 3) APOYAR AL EQUIPO DE TRABAJO E INVITADOS EN LA REALIZACIÓN DE LOS TALLERES URBANOS Y RURALES ASÍ COMO REUNIONES DE SEGUIMIENTO CONTEMPLADOS EN EL MARCO DEL PROYECTO. 4) PARTICIPAR EN LA REALIZACIÓN DE LOS TALLERES DE DIAGNÓSTICO Y FORMULACIÓN OBJETO DE LA REVISIÓN DEL POT DE VALLEDUPAR. 5) ASISTIR A MESAS DE TRABAJO Y DEMÁS ENCUENTROS QUE SE DESARROLLEN EN MARCO DE LA EJECUCIÓN DEL CONTRATO 6) -ELABORAR EL COMPONENTE AMBIENTAL DEL PLAN DE ORDENAMIENTO TERRITORIAL DESDE SUS FASES DE DIAGNÓSTICO Y FORMULACIÓN PROSPECTIVA ESTRATÉGICA. 7) LAS DEMÁS ACTIVIDADES QUE SE DERIVEN DE LA EJECUCIÓN DE LA ORDEN Y QUE TENGAN RELACIÓN DIRECTA CON EL OBJETO CONTRACTUAL</t>
  </si>
  <si>
    <t>https://community.secop.gov.co/Public/Tendering/OpportunityDetail/Index?noticeUID=CO1.NTC.4165624&amp;isFromPublicArea=True&amp;isModal=False</t>
  </si>
  <si>
    <t>OPSP-VEX-0476-2023</t>
  </si>
  <si>
    <t>LIZETH MELIZA CAMPO MONSALVO</t>
  </si>
  <si>
    <t>PRESTAR SERVICIOS PROFESIONALES EN EL MARCO DEL CONTRATO INTERADMINISTRATIVO ELECTRÓNICO NO, 1001 - SGR DE 2022, CELEBRADO ENTRE EL MUNICIPIO DE VALLEDUPAR; CESAR Y LA UNIVERSIDAD DEL MAGDALENA, PARA EL DESARROLLO DE LAS SIGUIENTES ACTIVIDADES: 1) APOYAR EN LA ORGANIZACIÓN Y CLASIFICACIÓN DE LOS SOPORTES DOCUMENTALES DEL CONTRATO. 2) APOYAR EN LOS PROCEDIMIENTOS PRESUPUESTALES, FINANCIEROS Y ADMINISTRATIVOS REQUERIDOS DURANTE LA EJECUCIÓN DEL PROYECTO 3) REDACTAR ACTAS Y DEMÁS SOPORTES DE MESAS DE TRABAJO INHERENTES A LA COORDINACIÓN ADMINISTRATIVA Y SEGUIMIENTO DE ELABORACIÓN DEL PROYECTO. 4) ASISTIR A MESAS DE TRABAJO Y DEMÁS ENCUENTROS QUE SE DESARROLLEN EN MARCO DE LA EJECUCIÓN DEL CONTRATO 5) LAS DEMÁS ACTIVIDADES QUE SE DERIVEN DE LA EJECUCIÓN DE LA ORDEN Y QUE TENGAN RELACIÓN DIRECTA CON EL OBJETO CONTRACTUAL</t>
  </si>
  <si>
    <t>https://community.secop.gov.co/Public/Tendering/OpportunityDetail/Index?noticeUID=CO1.NTC.4165922&amp;isFromPublicArea=True&amp;isModal=False</t>
  </si>
  <si>
    <t>OPSP-VEX-0477-2023</t>
  </si>
  <si>
    <t>MONICA ANDREA SILVA SOTO</t>
  </si>
  <si>
    <t>PRESTAR SERVICIOS PROFESIONALES EN EL MARCO DEL CONTRATO INTERADMINISTRATIVO ELECTRÓNICO NO, 1001 - SGR DE 2022, CELEBRADO ENTRE EL MUNICIPIO DE VALLEDUPAR; CESAR Y LA UNIVERSIDAD DEL MAGDALENA, PARA EL DESARROLLO DE LAS SIGUIENTES ACTIVIDADES: 1) REVISIÓN DE LA NORMATIVA LEGAL APLICABLE A LOS ESTUDIOS ESPECÍFICOS FINANCIEROS CARGAS URBANÍSTICAS POT 2) REALIZAR UNA REVISIÓN DEL ACUERDO 011 DEL 2015 PARA LA REALIZACIÓN DEL REPARTO DE CARGAS Y BENEFICIOS ENTRE UNIDADES DE ACTUACIÓN URBANÍSTICA 3) ASISTIR A MESAS DE TRABAJO Y DEMÁS ENCUENTROS QUE SE DESARROLLEN EN MARCO DE LA EJECUCIÓN DEL CONTRATO 4)PRESENTAR INFORME DE LAS MESAS DE TRABAJO QUE SE DESARROLLEN EN EL MARCO DE LA EJECUCIÓN DEL CONTRATO. 5) LAS DEMÁS ACTIVIDADES QUE SE DERIVEN DE LA EJECUCIÓN DE LA ORDEN Y QUE TENGAN RELACIÓN DIRECTA CON EL OBJETO CONTRACTUAL.</t>
  </si>
  <si>
    <t>https://community.secop.gov.co/Public/Tendering/OpportunityDetail/Index?noticeUID=CO1.NTC.4177651&amp;isFromPublicArea=True&amp;isModal=False</t>
  </si>
  <si>
    <t>OPSP-VEX-0481-2023</t>
  </si>
  <si>
    <t>MIGUEL ANGEL ORTEGA GAMARRA</t>
  </si>
  <si>
    <t>PRESTAR SERVICIOS PROFESIONALES INDEPENDIENTES COMO PERSONAL DE APOYO - ANIMADOR EN EL DESARROLLO DE LAS ACTIVIDADES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DIEZ (10) ILUSTRACIONES EN ALTA DEFINICIÓN PARA LA HISTORIA GRÁFICA DE LA PIRAGUA. 2) CREAR LA ANIMACIÓN DE SEIS (6) MAPAS EN FORMATO 2K. 3) CREAR DIEZ (10) ILUSTRACIONES Y TRES (3) PLANTILLAS DE CRÉDITOS PARA LAS COCREACIONES DOCUMENTALES.</t>
  </si>
  <si>
    <t>https://community.secop.gov.co/Public/Tendering/OpportunityDetail/Index?noticeUID=CO1.NTC.4175043&amp;isFromPublicArea=True&amp;isModal=False</t>
  </si>
  <si>
    <t>OPSP-VEX-0494-2023</t>
  </si>
  <si>
    <t>ANDREA LUCIA DAZA GAMBOA</t>
  </si>
  <si>
    <t>PRESTAR SERVICIOS PROFESIONALES EN EL MARCO DEL CONTRATO INTERADMINISTRATIVO ELECTRÓNICO NO, 1001 - SGR DE 2022, CELEBRADO ENTRE EL MUNICIPIO DE VALLEDUPAR; CESAR Y LA UNIVERSIDAD DEL MAGDALENA, PARA EL DESARROLLO DE LAS SIGUIENTES ACTIVIDADES: 1) BRINDAR ACOMPAÑAMIENTO TÉCNICO EN LOS PROCESOS DE PARTICIPACIÓN CIUDADANA Y CONCERTACIÓN CON LOS ACTORES LOCALES Y COMUNIDAD EN GENERAL EN EL MARCO DE LA REVISIÓN Y MODIFICACIÓN EXCEPCIONAL DEL POT DE VALLEDUPAR. 2) REDACTAR Y SISTEMATIZAR LA RELATORÍA DE LAS ACTAS GENERADAS EN EL MARCO DE LOS PROCESOS DE PARTICIPACIÓN CIUDADANA. 3) APOYAR EN LA CONSTRUCCIÓN Y APLICACIÓN DE LOS INSTRUMENTOS DE RECOLECCIÓN DE DATOS DE LOS PROCESOS DE PARTICIPACIÓN CIUDADANA. 4) REALIZAR LOS PROCESOS DE FORMULACIÓN, DISEÑO, IMPLEMENTACIÓN, SEGUIMIENTO Y EVALUACIÓN DE LA INFORMACIÓN RECOLECTADA EN LOS EVENTOS Y TALLERES REALIZADOS EN VIRTUD DEL POT. 5) ASISTIR A MESAS DE TRABAJO Y DEMÁS ENCUENTROS QUE SE DESARROLLEN EN MARCO DE LA EJECUCIÓN DEL CONTRATO 6) LAS DEMÁS ACTIVIDADES QUE SE DERIVEN DE LA EJECUCIÓN DE LA ORDEN Y QUE TENGAN RELACIÓN DIRECTA CON EL OBJETO CONTRACTUA</t>
  </si>
  <si>
    <t>https://community.secop.gov.co/Public/Tendering/OpportunityDetail/Index?noticeUID=CO1.NTC.4189456&amp;isFromPublicArea=True&amp;isModal=False</t>
  </si>
  <si>
    <t>OPSP-VEX-0495-2023</t>
  </si>
  <si>
    <t>ARTURO ROZO CELEMIN</t>
  </si>
  <si>
    <t>PRESTAR SERVICIOS PROFESIONALES EN EL MARCO DEL CONTRATO INTERADMINISTRATIVO ELECTRÓNICO NO, 1001 - SGR DE 2022, CELEBRADO ENTRE EL MUNICIPIO DE VALLEDUPAR; CESAR Y LA UNIVERSIDAD DEL MAGDALENA, PARA EL DESARROLLO DE LAS SIGUIENTES ACTIVIDADES: 1)BRINDAR APOYO EN LA ELABORACIÓN DE LA CARTOGRAFÍA Y LA GDB DEL POT 2) PROPORCIONAR ASISTENCIA EN LA CREACIÓN DE MAPAS PARA EL EL PERFIL CLIMÁTICO Y FORMULAR LA AGENDA DE CAMBIO CLIMÁTICO EN EL MARCO DE LA LEY 1931 DE 2018 DEL MUNICIPIO DE VALLEDUPAR 3) OFRECER APOYO EN LA ACTUALIZACIÓN DE MAPAS DE RIESGO PARA EL PLAN MUNICIPAL DE GESTIÓN DE RIESGOS Y DESASTRES EN EL MUNICIPIO DE VALLEDUPAR 4) ASISTIR A MESAS DE TRABAJO Y DEMÁS ENCUENTROS QUE SE DESARROLLEN EN MARCO DE LA EJECUCIÓN DEL CONTRATO. 5)LAS DEMÁS ACTIVIDADES QUE SE DERIVEN DE LA EJECUCIÓN DE LA ORDEN Y QUE TENGAN RELACIÓN DIRECTA CON EL OBJETO CONTRACTUAL.</t>
  </si>
  <si>
    <t>https://community.secop.gov.co/Public/Tendering/OpportunityDetail/Index?noticeUID=CO1.NTC.4194728&amp;isFromPublicArea=True&amp;isModal=False</t>
  </si>
  <si>
    <t>OPSP-VEX-0496-2023</t>
  </si>
  <si>
    <t>BRAYAN CARLOS VARGAS ACOSTA</t>
  </si>
  <si>
    <t>PRESTAR SERVICIOS PROFESIONALES EN EL MARCO DEL CONTRATO INTERADMINISTRATIVO ELECTRÓNICO NO, 1001 - SGR DE 2022, CELEBRADO ENTRE EL MUNICIPIO DE VALLEDUPAR; CESAR Y LA UNIVERSIDAD DEL MAGDALENA, PARA EL DESARROLLO DE LAS SIGUIENTES ACTIVIDADES: 1) APOYO EN LA CONSTRUCCIÓN DE CARTOGRAFÍA PARA DIAGNÓSTICO Y FORMULACIÓN 2)SOPORTE EN LA REALIZACIÓN DE CARTOGRAFÍA PARA EL PERFIL CLIMÁTICO Y FORMULAR LA AGENDA DE CAMBIO CLIMÁTICO EN EL MARCO DE LA LEY 1931 DE 2018 DEL MUNICIPIO DE VALLEDUPAR 3) PRESTAR ACOMPAÑAMIENTO PARA ACTUALIZAR LA CARTOGRAFÍA DEL PLAN MUNICIPAL DE GESTIÓN DE RIESGOS Y DESASTRES DEL MUNICIPIO DE VALLEDUPAR. 4) LAS DEMÁS ACTIVIDADES QUE SE DERIVEN DE LA EJECUCIÓN DE LA ORDEN Y QUE TENGAN RELACIÓN DIRECTA CON EL OBJETO CONTRACTUAL. 5) LAS DEMÁS ACTIVIDADES QUE SE DERIVEN DE LA EJECUCIÓN DE LA ORDEN Y QUE TENGAN RELACIÓN DIRECTA CON EL OBJETO CONTRACTUAL</t>
  </si>
  <si>
    <t>https://community.secop.gov.co/Public/Tendering/OpportunityDetail/Index?noticeUID=CO1.NTC.4194808&amp;isFromPublicArea=True&amp;isModal=False</t>
  </si>
  <si>
    <t>OPSP-VEX-0497-2023</t>
  </si>
  <si>
    <t>JAKELINE PEREZ DURAN</t>
  </si>
  <si>
    <t>1) ANÁLISIS DE LOS INSTRUMENTOS DE PLANIFICACIÓN Y POLÍTICAS QUE SE ARTICULAN CON LA GESTIÓN INTEGRAL DEL CAMBIO CLIMÁTICO PARA EL PERFIL CLIMÁTICO Y AGENDA DE CAMBIO CLIMÁTICO EN EL MARCO DE LA LEY 1931 DE 2018 DEL MUNICIPIO DE VALLEDUPAR. 2) CARACTERIZACIÓN DEL MUNICIPIO DE VALLEDUPAR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</si>
  <si>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https://community.secop.gov.co/Public/Tendering/OpportunityDetail/Index?noticeUID=CO1.NTC.4195010&amp;isFromPublicArea=True&amp;isModal=False</t>
  </si>
  <si>
    <t>OPSP-VEX-0498-2023</t>
  </si>
  <si>
    <t>JENNIFER PEÑARANDA GONZALEZ</t>
  </si>
  <si>
    <t>PRESTAR SERVICIOS PROFESIONALES EN EL MARCO DEL CONTRATO INTERADMINISTRATIVO ELECTRÓNICO NO, 1001 - SGR DE 2022, CELEBRADO ENTRE EL MUNICIPIO DE VALLEDUPAR; CESAR Y LA UNIVERSIDAD DEL MAGDALENA, PARA EL DESARROLLO DE LAS SIGUIENTES ACTIVIDADES: 1) APOYAR LA PROYECCIÓN DE ÓRDENES DE SERVICIOS PROFESIONALES Y DE APOYO A LA GESTIÓN, REQUERIDAS DURANTE LA EJECUCIÓN DEL CONTRATO. 2) APOYAR LA PROYECCIÓN DE ACTOS ADMINISTRATIVOS QUE SE REQUIERAN DURANTE LA EJECUCIÓN DEL PROYECTO. 3) BRINDAR APOYO EN EL DESARROLLO DE LOS COMITÉS DE SUPERVISIÓN QUE SE REALICEN EN EL MARCO DEL PROYECTO. 4) PARTICIPAR EN EL DESARROLLO DE REUNIONES, MESAS DE TRABAJO, TALLERES Y DEMÁS ENCUENTROS A DESARROLLARSE DURANTE LA EJECUCIÓN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</si>
  <si>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https://community.secop.gov.co/Public/Tendering/OpportunityDetail/Index?noticeUID=CO1.NTC.4204486&amp;isFromPublicArea=True&amp;isModal=False</t>
  </si>
  <si>
    <t>OPSP-VEX-0499-2023</t>
  </si>
  <si>
    <t>LISETH PAOLA BACCA GONZALES</t>
  </si>
  <si>
    <t>PRESTAR SERVICIOS PROFESIONALES EN EL MARCO DEL CONTRATO INTERADMINISTRATIVO ELECTRÓNICO NO, 1001 - SGR DE 2022, CELEBRADO ENTRE EL MUNICIPIO DE VALLEDUPAR; CESAR Y LA UNIVERSIDAD DEL MAGDALENA, PARA EL DESARROLLO DE LAS SIGUIENTES ACTIVIDADES: 1) MANTENER Y ACTUALIZAR LOS ARCHIVOS DE GESTIÓN DEL POT DE VALLEDUPAR, CESAR, APLICANDO LAS TABLAS DE RETENCIÓN DOCUMENTAL Y NORMATIVIDAD VIGENTE. 2) REALIZAR LA REVISIÓN Y AJUSTES DEL MAPEO DE ACTORES Y AGENTES TERRITORIALES EN VIRTUD DEL POT. 3) REALIZAR TABULACIÓN Y ORGANIZACIÓN DE ARCHIVOS DIGITALES GENERADO EN EL MARCO DE LOS PROCESOS DE PARTICIPACIÓN CIUDADANA. 4) SERVIR DE APOYO TÉCNICO Y LOGÍSTICO PARA EL DESARROLLO DE LAS REUNIONES Y TALLERES DE LAS DIFERENTES ÁREAS TEMÁTICAS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</si>
  <si>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https://community.secop.gov.co/Public/Tendering/OpportunityDetail/Index?noticeUID=CO1.NTC.4206142&amp;isFromPublicArea=True&amp;isModal=False</t>
  </si>
  <si>
    <t>OPSP-VEX-0500-2023</t>
  </si>
  <si>
    <t>MARÍA CAMILA CELEDÓN TACHE</t>
  </si>
  <si>
    <t>PRESTAR SERVICIOS PROFESIONALES EN EL MARCO DEL CONTRATO INTERADMINISTRATIVO ELECTRÓNICO NO, 1001 - SGR DE 2022, CELEBRADO ENTRE EL MUNICIPIO DE VALLEDUPAR; CESAR Y LA UNIVERSIDAD DEL MAGDALENA, PARA EL DESARROLLO DE LAS SIGUIENTES ACTIVIDADES: 1) DEFINIR LA METODOLOGÍA EN MATERIA AMBIENTAL, PARA EL DESARROLLO DE TALLERES TENDIENTES A LA CONSTRUCCIÓN DE LA AGENDA DE ADAPTACIÓN AL CAMBIO CLIMÁTICO. 2) CONTRIBUIR A LA ELABORACIÓN DEL COMPONENTE AMBIENTAL DEL PLAN DE ORDENAMIENTO TERRITORIAL DESDE SUS FASES DE DIAGNÓSTICO Y FORMULACIÓN PROSPECTIVA ESTRATÉGICA. 3) COORDINAR ESPACIOS DE PARTICIPACIÓN CIUDADANA A TRAVÉS DE MESAS TEMÁTICAS AMBIENTALES QUE PERMITAN REUNIR LAS PERSPECTIVAS Y LA TOMA DE DECISIONES DE LOS DIFERENTES ACTORES SOCIALES DE INTERÉS EN LA PLANIFICACIÓN TERRITORIAL AMBIENTAL PARA LOGRAR UN EQUILIBRIO ENTRE LAS DIFERENTES PARTES. 4) ELABORAR INFORMES DE SISTEMATIZACIÓN DE LA EXPERIENCIA EN DONDE SE CONSIGNEN LOS TEMAS, COMPROMISOS Y DECISIONES TOMADAS EN LOS ESPACIOS DE PARTICIPACIÓN CIUDADANA. 5) VERIFICAR Y HACER SEGUIMIENTO DE LOS DOCUMENTOS FINALES EN MATERIA AMBIENTAL EN CADA UNA DE LAS ETAPAS QUE COMPONEN EL POT. 6) REALIZAR TALLERES DE DIAGNÓSTICO Y FORMULACIÓN OBJETO DE LA REVISIÓN DEL POT DE VALLEDUPAR Y ELABORACIÓN DE LA AGENDA DE ADAPTACIÓN AL CAMBIO CLIMÁTICO. 7) ASISTIR A MESAS DE TRABAJO Y DEMÁS ENCUENTROS QUE SE DESARROLLEN EN MARCO DE LA EJECUCIÓN DEL CONTRATO. 8) LAS DEMÁS ACTIVIDADES QUE DERIVEN DE LA EJECUCIÓN DE LA ORDEN Y QUE TENGAN RELACIÓN DIRECTA CON EL OBJETO CONTRACTUAL.</t>
  </si>
  <si>
    <t>https://community.secop.gov.co/Public/Tendering/OpportunityDetail/Index?noticeUID=CO1.NTC.4206369&amp;isFromPublicArea=True&amp;isModal=False</t>
  </si>
  <si>
    <t>OPSP-VEX-0501-2023</t>
  </si>
  <si>
    <t>JAISON ALBERTO DIAZ PISCIOTTI</t>
  </si>
  <si>
    <t>PRESTAR SERVICIOS PROFESIONALES EN EL MARCO DEL CONTRATO INTERADMINISTRATIVO ELECTRÓNICO NO, 1001 - SGR DE 2022, CELEBRADO ENTRE EL MUNICIPIO DE VALLEDUPAR; CESAR Y LA UNIVERSIDAD DEL MAGDALENA, PARA EL DESARROLLO DE LAS SIGUIENTES ACTIVIDADES: 1) REALIZAR REVISIÓN DE SUELO BRUTO Y SUELO A URBANIZAR PARA LES ESTUDIOS ESPECÍFICOS FINANCIEROS CARGAS URBANÍSTICAS POT 2) APOYO PARA ANALIZAR TRATAMIENTO EN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CONTRACTUAL</t>
  </si>
  <si>
    <t>https://community.secop.gov.co/Public/Tendering/OpportunityDetail/Index?noticeUID=CO1.NTC.4208627&amp;isFromPublicArea=True&amp;isModal=False</t>
  </si>
  <si>
    <t>OPSP-VEX-0523-2023</t>
  </si>
  <si>
    <t>ADRIANA MERCEDES CORSO</t>
  </si>
  <si>
    <t>PRESTAR SERVICIOS PROFESIONALES EN EL MARCO DEL CONTRATO INTERADMINISTRATIVO ELECTRÓNICO NO, 1001 - SGR DE 2022, CELEBRADO ENTRE EL MUNICIPIO DE VALLEDUPAR; CESAR Y LA UNIVERSIDAD DEL MAGDALENA, PARA EL DESARROLLO DE LAS SIGUIENTES ACTIVIDADES: 1) APOYAR EN LA ELABORACIÓN DEL EXPEDIENTE MUNICIPAL Y EL DOCUMENTO DE SEGUIMIENTO Y EVALUACIÓN, DESDE EL COMPONENTE INSTITUCIONAL DEL POT DE VALLEDUPAR. 2) BRINDAR APOYO DENTRO DEL COMPONENTE INSTITUCIONAL A LA ELABORACIÓN DE LA MEMORIA JUSTIFICATIVA DEL PLAN DE ORDENAMIENTO TERRITORIAL (POT). 3) CONSTRUIR LA SÍNTESIS DEL DIAGNÓSTICO TERRITORIAL DESDE EL ENFOQUE INSTITUCIONAL. 4) DESARROLLAR EL COMPONENTE INSTITUCIONAL DEL PLAN DE ORDENAMIENTO TERRITORIAL DESDE SUS FASES DE DIAGNÓSTICO Y FORMULACIÓN PROSPECTIVA ESTRATÉGICA. 5) EVALUAR Y ACTUALIZAR LAS FASES DE DIAGNÓSTICO Y FORMULACIÓN DEL COMPONENTE INSTITUCIONAL DEL PLAN DE ORDENAMIENTO TERRITORIAL. 6) PROPONER INICIATIVAS PARA LA CONSTRUCCIÓN DEL ACUERDO DEL PLAN DE ORDENAMIENTO TERRITORIAL POT DE VALLEDUPAR DESDE EL COMPONTE INSTITUCIONAL. 7) LAS DEMÁS ACTIVIDADES QUE SE DERIVEN DE LA EJECUCIÓN DE LA ORDEN Y QUE TENGAN RELACIÓN DIRECTA CON EL OBJETO CONTRACTUAL.</t>
  </si>
  <si>
    <t>https://community.secop.gov.co/Public/Tendering/OpportunityDetail/Index?noticeUID=CO1.NTC.4240463&amp;isFromPublicArea=True&amp;isModal=False</t>
  </si>
  <si>
    <t>OPSP-VEX-0524-2023</t>
  </si>
  <si>
    <t>DIVIER JOSE PEREZ SOLANO</t>
  </si>
  <si>
    <t>PRESTAR SERVICIOS PROFESIONALES EN EL MARCO DEL CONTRATO INTERADMINISTRATIVO ELECTRÓNICO NO, 1001 - SGR DE 2022, CELEBRADO ENTRE EL MUNICIPIO DE VALLEDUPAR; CESAR Y LA UNIVERSIDAD DEL MAGDALENA, PARA EL DESARROLLO DE LAS SIGUIENTES ACTIVIDADES: 1) APOYO EN EL ANÁLISIS DE VIVIENDA Y PREDIOS PARA LOS ESTUDIOS ESPECÍFICOS FINANCIEROS CARGAS URBANÍSTICAS POT 2) BRINDAR SOPORTE EN EL ESTUDIO DE SUELOS PARA ANALIZAR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t>
  </si>
  <si>
    <t>https://community.secop.gov.co/Public/Tendering/OpportunityDetail/Index?noticeUID=CO1.NTC.4240613&amp;isFromPublicArea=True&amp;isModal=False</t>
  </si>
  <si>
    <t>OPSP-VEX-0525-2023</t>
  </si>
  <si>
    <t>JAIRO RAFAEL AMOR MONTALVO</t>
  </si>
  <si>
    <t>PRESTAR SERVICIOS PROFESIONALES EN EL MARCO DEL CONTRATO INTERADMINISTRATIVO ELECTRÓNICO NO, 1001 - SGR DE 2022, CELEBRADO ENTRE EL MUNICIPIO DE VALLEDUPAR; CESAR Y LA UNIVERSIDAD DEL MAGDALENA, PARA EL DESARROLLO DE LAS SIGUIENTES ACTIVIDADES: 1) APOYAR EN LA REALIZACIÓN DE ESTUDIOS ESPECÍFICOS FINANCIEROS CARGAS URBANÍSTICAS POT 2) ANALIZAR EL REPARTO DE CARGAS Y BENEFICIOS ENTRE UNIDADES DE ACTUACIÓN URBANÍSTICA 3) EVALUAR Y ACTUALIZAR LA MEMORIA JUSTIFICATIVA 4) BRINDAR APOYO AL EQUIPO DE TRABAJO EN LA IMPLEMENTACIÓN DE LOS TALLERES URBANOS Y RURALES PLANIFICADOS DENTRO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</si>
  <si>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https://community.secop.gov.co/Public/Tendering/OpportunityDetail/Index?noticeUID=CO1.NTC.4240743&amp;isFromPublicArea=True&amp;isModal=False</t>
  </si>
  <si>
    <t>OPSP-VEX-0526-2023</t>
  </si>
  <si>
    <t>ORANGEL DE JESUS NORIEGA</t>
  </si>
  <si>
    <t>PRESTAR SERVICIOS PROFESIONALES EN EL MARCO DEL CONTRATO INTERADMINISTRATIVO ELECTRÓNICO NO, 1001 - SGR DE 2022, CELEBRADO ENTRE EL MUNICIPIO DE VALLEDUPAR; CESAR Y LA UNIVERSIDAD DEL MAGDALENA, PARA EL DESARROLLO DE LAS SIGUIENTES ACTIVIDADES: 1) REVISAR, ANALIZAR Y AJUSTAR LOS DOCUMENTOS RELACIONADOS CON LOS PRODUCTOS RESULTANTES DEL PROYECTO DE MODIFICACIÓN EXCEPCIONAL DEL PLAN DE ORDENAMIENTO TERRITORIAL DEL MUNICIPIO DE VALLEDUPAR: DIAGNOSTICO INTEGRAL Y DOCUMENTO DE FORMULACIÓN, ESTUDIOS DE RIESGOS, ESTUDIOS DETALLADOS DE RIESGOS, PERFIL DEL CAMBIO CLIMÁTICO MUNICIPAL Y PROYECTO DE ACUERDO. 2) ACOMPAÑAR Y APOYAR AL EQUIPO TÉCNICO DE LA UNIVERSIDAD DEL MAGDALENA EN EL PROCESO DE GESTIÓN Y CONCERTACIÓN DEL PROYECTO DE MODIFICACIÓN EXCEPCIONAL DEL PLAN DE ORDENAMIENTO TERRITORIAL DEL MUNICIPIO DE VALLEDUPAR ANTE LAS INSTANCIAS ESTABLECIDAS POR LA LEY 388 DE 1997. 3)APOYAR Y ACOMPAÑAR AL EQUIPO TÉCNICO DE LA UNIVERSIDAD DEL MAGDALENA EN EL PROCESO DE RELACIONAMIENTO DE CONCERTACIÓN DEL PROYECTO DE MODIFICACIÓN EXCEPCIONAL DEL PLAN DE ORDENAMIENTO TERRITORIAL DEL MUNICIPIO DE VALLEDUPAR CON LOS DIFERENTES ACTORES Y GRUPOS DE INTERÉS. 4)ASESORAR, INTERACTUAR Y APOYAR AL EQUIPO TÉCNICO DE LA UNIVERSIDAD DEL MAGDALENA EN LA REDACCIÓN DEL DOCUMENTO DEL PROYECTO DE ACUERDO DE LA MODIFICACIÓN EXCEPCIONAL DEL PLAN DE ORDENAMIENTO TERRITORIAL DEL MUNICIPIO DE VALLEDUPAR. 5)ASISTIR Y PARTICIPAR ACTIVAMENTE EN LA REALIZACIÓN DE LAS MESAS O TALLERES URBANOS, RURALES Y CON ACTORES ESPECÍFICOS EN EL MARCO DE LA SOCIALIZACIÓN DE LOS DOCUMENTOS RESULTANTES DEL PROYECTO DE MODIFICACIÓN EXCEPCIONAL DEL PLAN DE ORDENAMIENTO TERRITORIAL DEL MUNICIPIO DE VALLEDUPAR. 6)ASISTIR A LAS REUNIONES A LAS QUE SE LES CONVOQUE EN EL MARCO DEL DESARROLLO DEL CONVENIO INTERADMINISTRATIVO SUSCRITO ENTRE LA UNIVERSIDAD DEL MAGDALENA Y LA ALCALDÍA DE VALLEDUPAR EN EL MARCO DEL PROYECTO DE MODIFICACIÓN EXCEPCIONAL DEL PLAN DE ORDENAMIENTO TERRITORIAL DEL VALLEDUPAR. 6) ASISTIR A MESAS DE TRABAJO Y DEMÁS ENCUENTROS QUE SE DESARROLLEN EN MARCO DE LA EJECUCIÓN DEL CONTRATO 7) LAS DEMÁS ACTIVIDADES QUE SEAN NECESARIO PARA EL CUMPLIMIENTO DEL CONTRATO EN EL MARCO DEL CONVENIO INTERADMINISTRATIVO SUSCRITO ENTRE LA UNIVERSIDAD DEL MAGDALENA Y LA ALCALDÍA DE VALLEDUPAR.</t>
  </si>
  <si>
    <t>https://community.secop.gov.co/Public/Tendering/OpportunityDetail/Index?noticeUID=CO1.NTC.4240695&amp;isFromPublicArea=True&amp;isModal=False</t>
  </si>
  <si>
    <t>OPSP-VEX-0527-2023</t>
  </si>
  <si>
    <t>YONIS RAFAEL DAZA RAMIREZ</t>
  </si>
  <si>
    <t>PRESTAR SERVICIOS PROFESIONALES EN EL MARCO DEL CONTRATO INTERADMINISTRATIVO ELECTRÓNICO NO, 1001 - SGR DE 2022, CELEBRADO ENTRE EL MUNICIPIO DE VALLEDUPAR; CESAR Y LA UNIVERSIDAD DEL MAGDALENA, PARA EL DESARROLLO DE LAS SIGUIENTES ACTIVIDADES: 1) APOYO A LA CONSTRUCCIÓN DE CARTOGRAFÍA DE RIESGO 2) SOPORTE A LA CONSTRUCCIÓN DE CARTOGRAFÍA DE PERFIL PARA ALIMENTAR LA PÁGINA WEB Y LOS APLICATIVOS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</si>
  <si>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https://community.secop.gov.co/Public/Tendering/OpportunityDetail/Index?noticeUID=CO1.NTC.4240992&amp;isFromPublicArea=True&amp;isModal=False</t>
  </si>
  <si>
    <t>OPSP-VEX-0528-2023</t>
  </si>
  <si>
    <t>MARIA ISABEL PEDROZO ACOSTA</t>
  </si>
  <si>
    <t>PRESTAR SERVICIOS PROFESIONALES INDEPENDIENTES COMO COINVESTIGADOR DE LAS ACTIVIDADES 1.1.2, 1.1.3, 2.1.3, 2.1.4, 2.1.7, 3.1.1, 3.1.4, 3.1.5 Y 4.1.3 DE LOS OBJETIVOS 1, 2, 3 Y 4 DEL PROYECTO DE INVESTIGACIÓN BPIN 2020000100116 DENOMINADO “FORTALECIMIENTO DE LA CAPACIDAD PRODUCTIVA Y COMERCIAL DE LA CADENA DE SUMINISTRO DEL QUESO COSTEÑO EN LAS SUBREGIONES DEL CARIBE COLOMBIANO, DEPARTAMENTO DEL MAGDALENA, CÓRDOBA, LA GUAJIRA”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REALIZAR LAS SALIDAS DE CAMPO Y RESPECTIVOS INFORMES DE LA APLICACIÓN DE ENCUESTAS, LISTAS DE CHEQUEO Y TOMA DE INFORMACIÓN PRIMARIA A ACTORES DE LA CADENA DE SUMINISTRO DE QUESO COSTEÑO. 2)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2023). 3) ENTREGAR UN DOCUMENTO CIENTÍFICO CON SERIES DE TIEMPO DEL PRECIO DE LA LECHE Y DE LA PRODUCCIÓN DEL QUESO COSTEÑO. 4) ENTREGAR UN DOCUMENTO GUÍA METODOLÓGICA PARA LA DEFINICIÓN DE ACUERDOS Y PACTOS ENTRE ACTORES DE LA CADENA DE SUMINISTRO DE QUESO COSTEÑO Y SUSCRIPCIÓN DE ALIANZAS Y ACUERDOS DE ENTENDIMIENTO INTERINSTITUCIONALES PARA LA FORMALIZACIÓN DEL ENCADENAMIENTO PRODUCTIVO DE QUESO COSTEÑO. 5) ENTREGAR EL INFORME DEL DESARROLLO DE LOS TALLERES DE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6). ENTREGA DE DOCUMENTO PARA REGLAMENTACIÓN Y GOBERNANZA PARA LA MARCA COLECTIVA Y DOCUMENTO BASE PARA LA DENOMINACIÓN DE ORIGEN. 7) ENTREGAR UN (1) ARTICULO CIENTÍFICO ESCRITO CON EL DIRECTOR DEL PROYECTO.</t>
  </si>
  <si>
    <t>EDWIN CAUSADO RODRIGUEZ</t>
  </si>
  <si>
    <t>https://community.secop.gov.co/Public/Tendering/OpportunityDetail/Index?noticeUID=CO1.NTC.4243701&amp;isFromPublicArea=True&amp;isModal=False</t>
  </si>
  <si>
    <t>OPSP-VEX-0530-2023</t>
  </si>
  <si>
    <t>ANA ROSA RONDON MARTINEZ</t>
  </si>
  <si>
    <t>https://community.secop.gov.co/Public/Tendering/OpportunityDetail/Index?noticeUID=CO1.NTC.4244019&amp;isFromPublicArea=True&amp;isModal=False</t>
  </si>
  <si>
    <t>OPSP-VEX-0541-2023</t>
  </si>
  <si>
    <t>MADELEINE CAMPOS FERNANDEZ</t>
  </si>
  <si>
    <t>https://community.secop.gov.co/Public/Tendering/OpportunityDetail/Index?noticeUID=CO1.NTC.4290401&amp;isFromPublicArea=True&amp;isModal=False</t>
  </si>
  <si>
    <t>ODC-VEX-0003-2023</t>
  </si>
  <si>
    <t>ANA MURCIA JIMENEZ (OZONO MAR)</t>
  </si>
  <si>
    <t>https://community.secop.gov.co/Public/Tendering/OpportunityDetail/Index?noticeUID=CO1.NTC.4310259&amp;isFromPublicArea=True&amp;isModal=False</t>
  </si>
  <si>
    <t>OPS-VEX-0554-2023</t>
  </si>
  <si>
    <t>830052939-4</t>
  </si>
  <si>
    <t>AGRILAB LABORATORIOS S.A.S</t>
  </si>
  <si>
    <t>https://community.secop.gov.co/Public/Tendering/OpportunityDetail/Index?noticeUID=CO1.NTC.4325340&amp;isFromPublicArea=True&amp;isModal=False</t>
  </si>
  <si>
    <t>OPS-VEX-0560-2023</t>
  </si>
  <si>
    <t>901467240-4</t>
  </si>
  <si>
    <t>PRIMERA PERSONA SAS</t>
  </si>
  <si>
    <t>SERVICIO TECNOLÓGICO DE POSPRODUCCIÓN DOCUMENTAL, PROGRAMACIÓN UNITY, MODELACIÓN 3D Y ANIMACIÓN NECESARIOS PARA DESARROLLAR DOCUMENTAL COLABORATIVO QUE PERMITIRÁ AL USUARIO NAVEGAR ENTRE LOS ESCENARIOS DE DISTINTAS FORMAS, MEDIANTE RECORRIDO 360 EN LA WEB O POR RA PARA EL EN CUMPLIMIENTO DE LA ACTIVIDAD MGA.2.1.2 QUE PERMITA LA PARTICIPACIÓN EN LA RECONSTRUCCIÓN DE MEMORIA Y LA RECUPERACIÓN DE LOS SABERES LOCALES EN EL MARCO DEL PROYECTO BPIN 201900100064</t>
  </si>
  <si>
    <t>https://community.secop.gov.co/Public/Tendering/OpportunityDetail/Index?noticeUID=CO1.NTC.4348271&amp;isFromPublicArea=True&amp;isModal=False</t>
  </si>
  <si>
    <t>ODC-VEX-0005-2023</t>
  </si>
  <si>
    <t>860001911-1</t>
  </si>
  <si>
    <t>https://community.secop.gov.co/Public/Tendering/OpportunityDetail/Index?noticeUID=CO1.NTC.4378260&amp;isFromPublicArea=True&amp;isModal=False</t>
  </si>
  <si>
    <t>OPS-VEX-0576-2023</t>
  </si>
  <si>
    <t>PRESTACION DE SERVICIO</t>
  </si>
  <si>
    <t>JOHNNY ALBERTO DE CASTRO MARTINEZ</t>
  </si>
  <si>
    <t>EDWIN CAUSADO</t>
  </si>
  <si>
    <t>https://community.secop.gov.co/Public/Tendering/OpportunityDetail/Index?noticeUID=CO1.NTC.4408710&amp;isFromPublicArea=True&amp;isModal=False</t>
  </si>
  <si>
    <t>OPS-VEX-0577-2023</t>
  </si>
  <si>
    <t>901549048-9</t>
  </si>
  <si>
    <t>ENLACES L&amp;J SAS</t>
  </si>
  <si>
    <t>ROBERTO AGUAS NUÑEZ</t>
  </si>
  <si>
    <t>https://community.secop.gov.co/Public/Tendering/OpportunityDetail/Index?noticeUID=CO1.NTC.4427375&amp;isFromPublicArea=True&amp;isModal=False</t>
  </si>
  <si>
    <t>OPSP-VEX-0580-2023</t>
  </si>
  <si>
    <t>PEDRO FABIAN PEREZ ARTEAGA</t>
  </si>
  <si>
    <t>https://community.secop.gov.co/Public/Tendering/OpportunityDetail/Index?noticeUID=CO1.NTC.4428365&amp;isFromPublicArea=True&amp;isModal=False</t>
  </si>
  <si>
    <t>OPSP-VEX-0581-2023</t>
  </si>
  <si>
    <t>STEPHANY CANTOR CASTAÑEDA</t>
  </si>
  <si>
    <t>https://community.secop.gov.co/Public/Tendering/OpportunityDetail/Index?noticeUID=CO1.NTC.4428392&amp;isFromPublicArea=True&amp;isModal=False</t>
  </si>
  <si>
    <t>OPSP-VEX-0584-2023</t>
  </si>
  <si>
    <t>AIDE MENDOZA BLANCO</t>
  </si>
  <si>
    <t>https://community.secop.gov.co/Public/Tendering/OpportunityDetail/Index?noticeUID=CO1.NTC.4435931&amp;isFromPublicArea=True&amp;isModal=False</t>
  </si>
  <si>
    <t>OPSP-VEX-0589-2023</t>
  </si>
  <si>
    <t>FAIDER CRUZ SANCHEZ</t>
  </si>
  <si>
    <t>https://community.secop.gov.co/Public/Tendering/OpportunityDetail/Index?noticeUID=CO1.NTC.4444628&amp;isFromPublicArea=True&amp;isModal=False</t>
  </si>
  <si>
    <t>OPSP-VEX-0590-2023</t>
  </si>
  <si>
    <t>MAYRA ALEJANDRA PERDOMO HERRADA</t>
  </si>
  <si>
    <t>https://community.secop.gov.co/Public/Tendering/OpportunityDetail/Index?noticeUID=CO1.NTC.4444597&amp;isFromPublicArea=True&amp;isModal=False</t>
  </si>
  <si>
    <t>OPSP-VEX-0594-2023</t>
  </si>
  <si>
    <t>LUIS DE JESUS JIMENEZ LABASTIDAS</t>
  </si>
  <si>
    <t>LAURA MORALES GUERRERO</t>
  </si>
  <si>
    <t>https://community.secop.gov.co/Public/Tendering/OpportunityDetail/Index?noticeUID=CO1.NTC.4470668&amp;isFromPublicArea=True&amp;isModal=False</t>
  </si>
  <si>
    <t>OPSP-VEX-0595-2023</t>
  </si>
  <si>
    <t>RAFAEL ENRIQUE HAYDAR MARQUEZ</t>
  </si>
  <si>
    <t>https://community.secop.gov.co/Public/Tendering/OpportunityDetail/Index?noticeUID=CO1.NTC.4461253&amp;isFromPublicArea=True&amp;isModal=False</t>
  </si>
  <si>
    <t>ODC-VEX-0007-2023</t>
  </si>
  <si>
    <t>900815934-7</t>
  </si>
  <si>
    <t>SOLUCIONES EN LABORATORIO Y METROLOGÍA S.A.S - SOLMETRIC S.A.S</t>
  </si>
  <si>
    <t>https://community.secop.gov.co/Public/Tendering/OpportunityDetail/Index?noticeUID=CO1.NTC.4473131&amp;isFromPublicArea=True&amp;isModal=False</t>
  </si>
  <si>
    <t>OPSP-VEX-0601-2023</t>
  </si>
  <si>
    <t>IRIS GISEL MAHECHA AMADO</t>
  </si>
  <si>
    <t>https://community.secop.gov.co/Public/Tendering/OpportunityDetail/Index?noticeUID=CO1.NTC.4474359&amp;isFromPublicArea=True&amp;isModal=False</t>
  </si>
  <si>
    <t>OPSP-VEX-0602-2023</t>
  </si>
  <si>
    <t>YENNY PAOLA TORRES ACHURY</t>
  </si>
  <si>
    <t>https://community.secop.gov.co/Public/Tendering/OpportunityDetail/Index?noticeUID=CO1.NTC.4473791&amp;isFromPublicArea=True&amp;isModal=False</t>
  </si>
  <si>
    <t>OPS-VEX-0609-2023</t>
  </si>
  <si>
    <t>900497186-9</t>
  </si>
  <si>
    <t>CORPORACIÓN LONJA NACIONAL DE PROPIEDAD RAIZ</t>
  </si>
  <si>
    <t>https://community.secop.gov.co/Public/Tendering/OpportunityDetail/Index?noticeUID=CO1.NTC.4491481&amp;isFromPublicArea=True&amp;isModal=False</t>
  </si>
  <si>
    <t>OPSP-VEX-0617-2023</t>
  </si>
  <si>
    <t>EVILA ROJAS PARRA</t>
  </si>
  <si>
    <t>https://community.secop.gov.co/Public/Tendering/OpportunityDetail/Index?noticeUID=CO1.NTC.4499426&amp;isFromPublicArea=True&amp;isModal=False</t>
  </si>
  <si>
    <t>OPSP-VEX-0618-2023</t>
  </si>
  <si>
    <t>JOSE DAVID MOLINA HERNANDEZ</t>
  </si>
  <si>
    <t>https://community.secop.gov.co/Public/Tendering/OpportunityDetail/Index?noticeUID=CO1.NTC.4499113&amp;isFromPublicArea=True&amp;isModal=False</t>
  </si>
  <si>
    <t>OPS-VEX-0619-2023</t>
  </si>
  <si>
    <t>900620828-6</t>
  </si>
  <si>
    <t>FORMAR TIERRAS Y DESARROLLO SAS</t>
  </si>
  <si>
    <t>https://community.secop.gov.co/Public/Tendering/OpportunityDetail/Index?noticeUID=CO1.NTC.4514315&amp;isFromPublicArea=True&amp;isModal=False</t>
  </si>
  <si>
    <t>OPS-VEX-0628-2023</t>
  </si>
  <si>
    <t>900864648-4</t>
  </si>
  <si>
    <t>SOFTSIMULATION SAS</t>
  </si>
  <si>
    <t>PRESTACIÓN DEL SERVICIO TECNOLÓGICO DE MANTENIMIENTO PREVENTIVO Y ACTUALIZACIÓN EN LOS COMPONENTES SOFTWARE DE LA PLATAFORMA DIGITAL "LA PIRAGUA” Y LA APPTARRAYA EN EL MARCO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DISEÑAR Y DESARROLLAR COMPONENTES SOFTWARE DE LOS SISTEMAS DE INFORMACIÓN DE LA PIRAGUA. 2) REALIZAR AJUSTES VISUALES QUE INTEGREN Y DEN UNIFORMIDAD A LA APPTARRAYA Y LA PIRAGUA. 3) DISEÑAR LA ARQUITECTURA DE COMUNICACIÓN ENTRE COMPONENTES DEL SISTEMA DE INFORMACIÓN. 4) AJUSTAR BUGS REPORTADOS POR USUARIOS. 5) REALIZAR COPIAS DE SEGURIDAD PERIÓDICA DE LOS DATOS ALMACENADOS. 6) DISEÑAR Y EJECUTAR PRUEBAS DE UNIDAD E INTEGRACIÓN EN LOS DIFERENTES COMPONENTES CONSTRUIDOS. 7) REALIZAR PRUEBAS AUTOMATIZADAS DE COMPORTAMIENTO DE LA APLICACIÓN. 8) ACOMPAÑAMIENTO Y CAPACITACIÓN AL EQUIPO DISPUESTO POR EL PROYECTO. LA PROPUESTA HACE PARTE INTEGRAL DE LA PRESENTE ORDEN)</t>
  </si>
  <si>
    <t>https://community.secop.gov.co/Public/Tendering/OpportunityDetail/Index?noticeUID=CO1.NTC.4548909&amp;isFromPublicArea=True&amp;isModal=False</t>
  </si>
  <si>
    <t>OPS-VEX-0631-2023</t>
  </si>
  <si>
    <t>900679959-7</t>
  </si>
  <si>
    <t>SURESTEPS SAS</t>
  </si>
  <si>
    <t>DESARROLLAR LOS COMPONENTES DE SOFTWARE SIG PARA LA GENERACIÓN DE PLANOS AUTOMATIZADOS DE LEVANTAMIENTOS TOPOGRÁFICOS A DIFERENTES ESCALAS EN EL MARCO DEL CONTRATO ANT-20232685.</t>
  </si>
  <si>
    <t>https://community.secop.gov.co/Public/Tendering/OpportunityDetail/Index?noticeUID=CO1.NTC.4547638&amp;isFromPublicArea=True&amp;isModal=False</t>
  </si>
  <si>
    <t>OPSP-VEX-0632-2023</t>
  </si>
  <si>
    <t>DANNA CAROLINA VELÁSQUEZ CORTÉS</t>
  </si>
  <si>
    <t>1. GENERAR LOS INFORMES RESULTANTES DE LOS LEVANTAMIENTOS TOPOGRÁFICOS CORRESPONDIENTES A LOS DEPARTAMENTOS DE SUCRE Y EL MAGDALENA. 2. CONTROLAR QUE EL PROCESO DE PLANOS E INFORMES DE LEVANTAMIENTOS TOPOGRÁFICOS PARA LOS DEPARTAMENTOS DE SUCRE Y EL MAGDALENA, Y SE REALICE DE ACUERDO CON LOS REQUERIMIENTOS DE LA AGENCIA NACIONAL DE TIERRAS CUMPLIENDO CON LA NORMATIVIDAD APLICABLE DEL IGAC. 4. GENERAR SOPORTES PARA EL PROCESO DE FACTURACIÓN REQUERIDOS EN EL MARCO DEL PROYECTO</t>
  </si>
  <si>
    <t>https://community.secop.gov.co/Public/Tendering/OpportunityDetail/Index?noticeUID=CO1.NTC.4564299&amp;isFromPublicArea=True&amp;isModal=False</t>
  </si>
  <si>
    <t>ODC-VEX-0008-2023</t>
  </si>
  <si>
    <t>COMPRA</t>
  </si>
  <si>
    <t>900655404-8</t>
  </si>
  <si>
    <t>ECOMPASS SAS</t>
  </si>
  <si>
    <t>COMPRA DE VEHICULO NO TRIPULADO DE ALA FIJA CON SOFTWARE DE VUELO, SENSOR, OPERACIONES DE SEGURIDAD AVANZADA Y CERTIFICACIONES DEL FABRICANTE EN EL MARCO DEL CONTRATO ANT-20232680035</t>
  </si>
  <si>
    <t>https://community.secop.gov.co/Public/Tendering/OpportunityDetail/Index?noticeUID=CO1.NTC.4565646&amp;isFromPublicArea=True&amp;isModal=False</t>
  </si>
  <si>
    <t>OPSP-VEX-0638-2023</t>
  </si>
  <si>
    <t>JOSÉ FELIX ZAMORA MORENO</t>
  </si>
  <si>
    <t>1. GESTIONAR LA ENTREGA DE LAS ACTIVIDADES CONDUCENTES A LOGRAR LA RECEPCIÓN Y APROBACIÓN DE LOS INFORMES DE AVALÚOS POR PARTE DE LA ANT. 2. REVISAR Y APORTAR EN LA MEJORA DE LOS PROCEDIMIENTOS Y DATOS EN TODO LO REFERENTE A CALIDAD EL PROCESO DE VALORACIÓN DE MERCADO DE INFORMES DE AVALÚOS Y LOS FORMATOS USADOS PARA LAS VISITAS A PREDIOS PARA LOS AVALÚOS ASIGNADOS. 3. REALIZAR LA PLANEACIÓN LOGÍSTICA PARA VISITAS A PREDIOS REQUERIDAS PARA LA RECOLECCIÓN DE LA INFORMACIÓN COMO COMPLEMENTO DE LOS AVALÚOS. 4. ASISTIR A LAS REUNIONES DE TRABAJO REALIZADAS EN EL MARCO DEL SEGUIMIENTO DEL CONTRATO ADMINISTRATIVO ANT-20232685, QUE LE SEAN ASIGNADAS. 5. REALIZAR LA REVISIÓN DE LA INFORMACIÓN PRESENTADA EN LOS INFORMES DE SEGUIMIENTO REQUERIDOS PARA FACTURACIÓN EN EL MARCO DEL PROYECTO</t>
  </si>
  <si>
    <t>https://community.secop.gov.co/Public/Tendering/OpportunityDetail/Index?noticeUID=CO1.NTC.4597768&amp;isFromPublicArea=True&amp;isModal=False</t>
  </si>
  <si>
    <t>OPSP-VEX-0660-2023</t>
  </si>
  <si>
    <t>TATIANA PAOLA LAGUNA PANETTA</t>
  </si>
  <si>
    <t xml:space="preserve">1) REVISAR DOCUMENTOS PRESENTADOS POR LOS CONTRATISTAS PARA LA GESTIÓN DE SUS PAGOS. 2) BRINDAR APOYO EN LA COORDINACIÓN CON LAS DIFERENTES UNIDADES A LOS TRÁMITES NECESARIOS PARA LOS PAGOS. 3) REALIZAR EL CARGUE DE LA INFORMACIÓN REQUERIDA EN EL MARCO DEL PROYECTO EN LAS DIFERENTES PLATAFORMAS SIA OBSERVA Y SECOP II, DENTRO DE LOS TIEMPOS CORRESPONDIENTES POR NORMATIVIDAD. 4) APOYAR EN EL DESARROLLO DE LAS ACTIVIDADES DE GESTIÓN Y SEGUIMIENTO A LOS PROCESOS ADMINISTRATIVOS Y FINANCIEROS DEL PROYECTO. </t>
  </si>
  <si>
    <t>https://community.secop.gov.co/Public/Tendering/OpportunityDetail/Index?noticeUID=CO1.NTC.4599491&amp;isFromPublicArea=True&amp;isModal=False</t>
  </si>
  <si>
    <t>OPS-VEX-0662-2023</t>
  </si>
  <si>
    <t>900383257-3</t>
  </si>
  <si>
    <t>ENGINERING CONSTRUCTION AND SERVICES S.A.S</t>
  </si>
  <si>
    <t>SERVICIO DE LEVANTAMIENTO TOPOGRÁFICO DE CUATRO (4) PREDIOS UBICADOS EN EL DEPARTAMENTO DE SUCRE, SEGÚN LOS LINEAMIENTOS DE ANT EN EL MARCO DEL CONTRATO ANT-20232685.</t>
  </si>
  <si>
    <t>https://community.secop.gov.co/Public/Tendering/OpportunityDetail/Index?noticeUID=CO1.NTC.4607724&amp;isFromPublicArea=True&amp;isModal=False</t>
  </si>
  <si>
    <t>OPSP-VEX-0667-2023</t>
  </si>
  <si>
    <t>LEANDRO JOSE PEÑA RODRIGUEZ</t>
  </si>
  <si>
    <t>SERVICIOS PROFESIONALES INDEPENDIENTES COMO COINVESTIGADOR DE LAS ACTIVIDADES 2.1.5, 2.1.6, 2.1.7, 3.1.2, 3.1.6 Y 4.1.5 DE LOS OBJETIVOS 2, 3 Y 4 DEL PROYECTO BPIN 2020000100116 DENOMINADO: "FORTALECIMIENTO DE LA CAPACIDAD PRODUCTIVA Y COMERCIAL DE LA CADENA DE SUMINISTRO DEL QUESO COSTEÑO EN LAS SUBREGIONES DEL CARIBE COLOMBIANO, DEPARTAMENTO DEL MAGDALENA, CÓRDOBA, LA GUAJIRA” CUMPLIENDO CON LAS SIGUIENTES ACTIVIDADES: 1) APOYO A DISEÑO DE LA CADENA DE SUMINISTRO MEDIANTE MODELO SCOR (ENTREGA DE DOCUMENTO Y BASE DE DATOS). 2) DISEÑO DE LA CADENA DE SUMINISTRO DE QUESO COSTEÑO EN LOS DEPARTAMENTOS DEL MAGDALENA, CÓRDOBA Y LA GUAJIRA, MEDIANTE MODELO DE SIMULACIÓN CON APLICACIÓN DE SOFTWARE GAMS, CPLEX, PROMODEL (ENTREGA DE DOCUMENTO Y BASE DE DATOS DEL MODELO). 3) APOYO A FORMULACIÓN DEL NUEVO MODELO DE NEGOCIOS, DE PLAN DE MARKETING DIGITAL Y SPIN OFF UNIVERSITARIA. 4) APOYO A FORMULACIÓN Y REGISTRO DE SPIN OFF UNIVERSITARIA, QUE GARANTICE LA SOSTENIBILIDAD DE LA PLATAFORMA DIGITAL Y LA IMPLEMENTACIÓN DEL PAQUETE TECNOLÓGICO DISEÑADO EN EL TIEMPO. 5) ELABORACIÓN CONJUNTA DE CIENTÍFICO CON EL DIRECTOR GENERAL DEL PROYECTO PARA SOMETER A REVISTA CIENTÍFICA ARTICULO</t>
  </si>
  <si>
    <t>https://community.secop.gov.co/Public/Tendering/OpportunityDetail/Index?noticeUID=CO1.NTC.4633218&amp;isFromPublicArea=True&amp;isModal=False</t>
  </si>
  <si>
    <t>OPS-VEX-668-2023</t>
  </si>
  <si>
    <t>900263172-1</t>
  </si>
  <si>
    <t>C.I. AGROSOSA S.A.S.</t>
  </si>
  <si>
    <t>SERVICIO DE ARRENDAMIENTO DE UN INVERNADERO, SUMINISTRO DE AGUA CONSTANTE Y SUMINISTRO DE LOS TIPOS DE SUELO QUE SEAN NECESARIOS PARA EL EXPERIMENTO (SEGÚN REQUERIMIENTO TÉCNICO). SUMINISTRO DE 340 MACETAS EN CEMENTO. SUMINISTRO DE MANO DE OBRA CALIFICADA PARA EL CUIDADO Y MANTENIMIENTO DE LA PLANTACIÓN DURANTE DOCE (12) MESES. SUMINISTRO DE TRESCIENTAS CUARENTA (340) PLANTAS TIPO WILLIAM CERTIFICADAS CON 6 SEMANAS DE VIDA Y SUMINISTRO DE FERTILIZANTES PARA LA PLANTACIÓN DURANTE DOCE (12) MESES, PARA LA REALIZACIÓN DE UN ESTUDIO DE ESTRÉS HÍDRICO EN LAS PLANTACIONES DE BANANO, ACORDE A LAS INDICACIONES DEL PROYECTO Y DE CONFORMIDAD CON LOS REQUERIMIENTOS Y DOCUMENTOS TÉCNICOS, EN EL MARCO DE LA EJECUCIÓN DEL PROYECTO CÓDIGO BPIN 2020000100417 DENOMINADO: "DISEÑO E IMPLEMENTACIÓN DE SISTEMAS INTELIGENTES PARA LA GESTIÓN DE RECURSOS Y DETECCIÓN DE ENFERMEDADES EN SISTEMAS DE PRODUCCIÓN EN BANANO EN LOS DEPARTAMENTOS DE LA GUAJIRA, MAGDALENA"</t>
  </si>
  <si>
    <t>https://community.secop.gov.co/Public/Tendering/OpportunityDetail/Index?noticeUID=CO1.NTC.4642958&amp;isFromPublicArea=True&amp;isModal=False</t>
  </si>
  <si>
    <t>OPSP-VEX-0669-2023</t>
  </si>
  <si>
    <t>DANNA CAROLINA PALMETT MONTIEL</t>
  </si>
  <si>
    <t>SERVICIOS PROFESIONALES INDEPENDIENTES COMO COINVESTIGADOR DE LAS ACTIVIDADES 2.1.5, 2.1.6, 2.1.7, 3.1.2, 3.1.6 Y 4.1.5 DE LOS OBJETIVOS 2, 3 Y 4 DEL PROYECTO BPIN 2020000100116 DENOMINADO: "FORTALECIMIENTO DE LA CAPACIDAD PRODUCTIVA Y COMERCIAL DE LA CADENA DE SUMINISTRO DEL QUESO COSTEÑO EN LAS SUBREGIONES DEL CARIBE COLOMBIANO, DEPARTAMENTO DEL MAGDALENA, CÓRDOBA, LA GUAJIRA” CUMPLIENDO CON LAS SIGUIENTES ACTIVIDADES: 1) APOYO A DISEÑO DE LA CADENA DE SUMINISTRO MEDIANTE MODELO SCOR (ENTREGA DE DOCUMENTO Y BASE DE DATOS). 2) DISEÑO DE LA CADENA DE SUMINISTRO DE QUESO COSTEÑO EN LOS DEPARTAMENTOS DEL MAGDALENA, CÓRDOBA Y LA GUAJIRA, MEDIANTE MODELO DE SIMULACIÓN CON APLICACIÓN DE SOFTWARE GAMS, CPLEX, PROMODEL (ENTREGA DE DOCUMENTO Y BASE DE DATOS DEL MODELO). 3) APOYO A FORMULACIÓN DEL NUEVO MODELO DE NEGOCIOS, DE PLAN DE MARKETING DIGITAL Y SPIN OFF UNIVERSITARIA. 4) APOYO A FORMULACIÓN Y REGISTRO DE SPIN OFF UNIVERSITARIA, QUE GARANTICE LA SOSTENIBILIDAD DE LA PLATAFORMA DIGITAL Y LA IMPLEMENTACIÓN DEL PAQUETE TECNOLÓGICO DISEÑADO EN EL TIEMPO. 5) ELABORACIÓN CONJUNTA DE ARTICULO CIENTÍFICO CON EL DIRECTOR GENERAL DEL PROYECTO PARA SOMETER A REVISTA CIENTÍFICA</t>
  </si>
  <si>
    <t>https://community.secop.gov.co/Public/Tendering/OpportunityDetail/Index?noticeUID=CO1.NTC.4633642&amp;isFromPublicArea=True&amp;isModal=False</t>
  </si>
  <si>
    <t>OPS-VEX-0670-2023</t>
  </si>
  <si>
    <t>830023814-9</t>
  </si>
  <si>
    <t>CORPORACIÓN LONJA INMOBILIARIA DE BOGOTA D.C</t>
  </si>
  <si>
    <t>SERVICIO AVALÚO COMERCIAL DE VEINTIDÓS (22) PREDIOS RURALES EN DIFERENTES SECTORES DEL PAÍS, SEGÚN LOS LINEAMIENTOS REQUERIDOS POR LA ANT EN EL CONTRATO ANT-20232685</t>
  </si>
  <si>
    <t>https://community.secop.gov.co/Public/Tendering/OpportunityDetail/Index?noticeUID=CO1.NTC.4654584&amp;isFromPublicArea=True&amp;isModal=False</t>
  </si>
  <si>
    <t>OPS-VEX-0690-2023</t>
  </si>
  <si>
    <t>890980040-8</t>
  </si>
  <si>
    <t>UNIVERSIDAD DE ANTIOQUIA</t>
  </si>
  <si>
    <t>SERVICIO ESPECIALIZADO DE IDENTIFICACIÓN MOLECULAR DE PATÓGENOS (HONGOS Y BACTERIAS) CON MARCADOR 16S, ITS Y UNO ADICIONAL PARA CADA PATÓGENO, PARA EL DESARROLLO DE LAS ACTIVIDADES ESTABLECIDAS EN EL OBJETIVO ESPECIFICO 1-ACTIVIDAD 2, DEL PROYECTO ON CODIGO BPIN 2020000100768, DENOMINADO: “DESARROLLO TRANSFERENCIA DE TECNOLOGIA Y CONOCIMIENTO PARA LA INNOVACION ATENDIENDO LAS PROBLEMATICAS ASOCIADAS CON OFERTA DE PRODUCTOS HORTOFRUTICOLAS DERIVADAS DE LA EMERGENCIA ECONÓMICA SOCIAL Y ECOLBGICA CAUSADA POR EL COVID-19 EN EL MAGDALENA"</t>
  </si>
  <si>
    <t>ALBERTO PAEZ REDONDO</t>
  </si>
  <si>
    <t>https://community.secop.gov.co/Public/Tendering/OpportunityDetail/Index?noticeUID=CO1.NTC.4721082&amp;isFromPublicArea=True&amp;isModal=False</t>
  </si>
  <si>
    <t>OPSP-VEX-0692-2023</t>
  </si>
  <si>
    <t>LEONOR MARIA MANOTAS GARCIA</t>
  </si>
  <si>
    <t>PRESTAR SERVICIOS PROFESIONALES COMO PERSONAL DE APOYO - COORDINADOR DE POSTPRODUCCIÓN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APOYAR EN LA ORGANIZACIÓN Y DISTRIBUCIÓN DE LA INFORMACIÓN DEL PROYECTO LA PIRAGUA. 2) COADYUVAR EN LA ORGANIZACIÓN DE LOS DISCOS DUROS, EN SU REPARACIÓN, LIMPIEZA Y ENTREGA DE EQUIPOS. 3) APOYAR CON EL ALOJAMIENTO Y ORGANIZACIÓN DE LA INFORMACIÓN EN LA NUBE DE INFORMACIÓN DEL PROYECTO LA PIRAGUA. 4) APOYAR EN LA REALIZACIÓN DE COPIAS DE SEGURIDAD DE LA UNIDAD DE ALMACENAMIENTO PRINCIPAL DE INFORMACIÓN. 5) AYUDAR EN LA REALIZACIÓN DE LOS PROCESOS DE ORGANIZACIÓN DE ARCHIVES DE LA INFORMACIÓN EN PREMIER. 6) AYUDAR EN LAS SINCRONIZACIONES DE AUDIO Y VIDEO EN EL PREMIER. 7) VELAR POR EL CUIDADO Y LA SEGURIDAD DE LOS EQUIPOS DESIGNADOS A SU CARGO. 8) ESTABLECER REUNIONES Y ACTIVIDADES DE MANEJO DE LA INFORMACIÓN. 9) LIDERAR PROCESOS DE ARTICULACIÓN ENTRE LOS COMPONENTES AUDIOVISUAL-TECNOLÓGICO. 10) VELAR POR LOS DEBIDOS PROCESOS DE POSPRODUCCIÓN</t>
  </si>
  <si>
    <t>https://community.secop.gov.co/Public/Tendering/OpportunityDetail/Index?noticeUID=CO1.NTC.4720381&amp;isFromPublicArea=True&amp;isModal=False</t>
  </si>
  <si>
    <t>OPSP-VEX-0693-2023</t>
  </si>
  <si>
    <t>MIGUEL ALEJANDRO ORTEGA GAMARRA</t>
  </si>
  <si>
    <t>PRESTAR SERVICIOS PROFESIONALES COMO PERSONAL DE APOYO - ANIMADOR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NARRACIÓN GRAFICA FINALIZADA. 2) ELABORAR DIEZ (10) POSTALES DE HISTORIAS (PARA IMPRESIÓN). 3) ELABORAR UN LOGO ANIMADO. 4) ELABORAR OCHO (8) ILUSTRACIONES Y/O CONTENIDOS GRÁFICOS PARA REDES.</t>
  </si>
  <si>
    <t>https://community.secop.gov.co/Public/Tendering/OpportunityDetail/Index?noticeUID=CO1.NTC.4720464&amp;isFromPublicArea=True&amp;isModal=False</t>
  </si>
  <si>
    <t>OPSP-VEX-0695-2023</t>
  </si>
  <si>
    <t>FRANCISCO JAVIER GARCERANT VILLEGAS</t>
  </si>
  <si>
    <t>1. PRESTAR ASISTENCIA Y ASESORIA JURIDICA EN EL PROYECTO EN LAS ETAPAS PRECONTRACTUALES, CONTRACTUALES Y POST-CONTRACTUALES, REQUERIDAS EN EL MARCO DEL PROYECTO. 2. REVISAR REVISION JURIDICA DE LOS DOCUMENTOS QUE IO REQUIERAN CON OCASIÓN DE GARANTIZAR EL DESARROLLO CONTRACTUAL DEL PROYECTO. 3. ASESORAR JURIDICAMENTE AL DIRECTOR DEL PROYECTO EN LAS REUNIONES DE SEGUIMIENTO DEL PROYECTO, QUE LE SEAN REQUERIDOS. 4. ELABORAR LOS CONCEPTOS JURIDICOS QUE SEAN SOLICITADOS EN EL MARCO DEL PROYECTO. 5. HACER UN BALANCE DEL ESTADO DE CUMPLIMIENTO DE LA UNIVERSIDAD DEL MAGDALENA CON RELACIÓN A LOS ALCANCES Y ENTREGABLES DEL CONTRATO INTERADMINISTRATIVO No. 20232685, SUSCRITO CON LA AGENCIA NACIONAL DE TIERRAS ANT CON MIRAS A SU FINALIZACIÓN Y LIQUIDACIÓN.</t>
  </si>
  <si>
    <t>https://community.secop.gov.co/Public/Tendering/OpportunityDetail/Index?noticeUID=CO1.NTC.4720837&amp;isFromPublicArea=True&amp;isModal=False</t>
  </si>
  <si>
    <t>OPSP-VEX-0699-2023</t>
  </si>
  <si>
    <t>GINELLE DEUDITH GALVIS DOMINGUEZ</t>
  </si>
  <si>
    <t>1. REALIZAR LA ELABORACIÓN DEL PLAN DE CALIDAD DEL PROYECTO, CONFORME A LO REQUERIDO. 2. INFORME DE SEGUIMIENTO Y MONITOREO AL DESARROLLO DEL PLAN DE CALIDAD ADSCRITO AL PROYECTO 3. ASESORAR EN LAS GESTIONES ADMINISTRATIVAS Y FINANCIERAS CORRESPONDIENTES AL DESARROLLO, EJECUCIÓN Y CIERRE DEL PROYECTO, EN LOS CASOS QUE SE REQUIERA. 4. APOYO A LA ELABORACIÓN DEL INFORME FINAL DEL BALANCE DEL ESTADO DEL PROYECTO CON MIRAS A SU FINALIZACIÓN Y LIQUIDACIÓN.</t>
  </si>
  <si>
    <t>https://community.secop.gov.co/Public/Tendering/OpportunityDetail/Index?noticeUID=CO1.NTC.4729179&amp;isFromPublicArea=True&amp;isModal=False</t>
  </si>
  <si>
    <t>OPSP-VEX-0704-2023</t>
  </si>
  <si>
    <t>JAMES FERNANDO GARCIA FUENTES</t>
  </si>
  <si>
    <t>PRESTAR SERVICIOS PROFESIONALES COMO PERSONAL DE APOYO - COLORIZADOR AUDIOVISUAL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UN LOOK CINEMATOGRÁFICO PARA CADA UNA DE LAS DOS CO-CREACIONES DOCUMENTALES EN ACUERDO CON EL DIRECTOR Y MONTAJISTA DE LAS OBRAS. 2. ESTABLECER UN PROCESO DE COLORIZACIÓN PARA CADA UNA DE LAS CO-CREACIDNES DOCUMENTALES. 3. REALIZAR LAS CORRECCIONES DE COLOR Y TRATAMIENTO DE IMAGEN QUE TENGA LUGAR Y SEGUIR LAS RECOMENDACIONES DEL DIRECTOR Y MONTAJISTA DE LAS OBRAS. 4. ENTREGAR DELIVERYS (EN LOS FORMATOS H264, MOV, MXF Y LOS ESPACIOS DE COLOR, REC 709, DCIP3) TENIENDO EN CUENTA QUE CADA OBRA TIENE UNA DURACIÓN DE 20 APROXIMADAMENTE. 5. APOYAR EN EL TRATAMIENTO DE IMAGEN DE LAS CAPSULAS DE VIDEO</t>
  </si>
  <si>
    <t>https://community.secop.gov.co/Public/Tendering/OpportunityDetail/Index?noticeUID=CO1.NTC.4732878&amp;isFromPublicArea=True&amp;isModal=False</t>
  </si>
  <si>
    <t>ODC-VEX-0012-2023</t>
  </si>
  <si>
    <t>15318366-1</t>
  </si>
  <si>
    <t>ROBERTO ANIBAL CORREA TAMAYO-ROCCO GRAFICAS</t>
  </si>
  <si>
    <t>COMPRA DE 500 UNIDADES DE CUADERNOS DE TAPA DURA, DE TAMAÑO: 13.7 X 21.5 CM. (CERRADO) CON ACABADOS: ARGOLLADO DOBLE O "BLANCO O NEGRO" POR EL LADO DE 21.5 CON HOJAS INTERNAS: CANTIDAD: 100 HOJAS. PAPEL: BOND 75 G. IMPRESIÓN: 1X1 TINTAS. TAPAS: (DELANTERA Y TRASERA) PAPEL: PROPALCOTE 150 G. IMPRESIÓN: 4X0 TINTAS. ACABADOS: LAMINADO MATE 1 LADO. SANDUCHADO EN CARTON INDUSTRIAL 1,5 MM. INSERTOS: SEPARADORES. CANTIDAD: 5 HOJAS. PAPEL: PROPALCOTE 115 G. IMPRESIÓN: 4X4 TINTAS. (FULL COLOR) Y 1500 UNIDADES DE CARTILLAS - TIPO LIBRO. A) 500 UNIDADES DE 87 PAGINAS. B) 500 UNIDADES DE 71 PÁGINAS. C) 500 UNIDADES DE 70 PAGINAS. SEGUN LAS SIGUIENTES ESPECIFICACIONES: TAMAÑO: 27.5 X 21.5 CM (CERRADO). REFILADOS, INTERCALADOS, EMBLOCADO AL LOMO CON HOTMELT. INTERNAS: IMPRESIÓN: 4X4 TINTAS / PAPEL: BOND 75G. PORTADA: IMPRESIÓN: 4X0 TINTAS / PAPEL: PROPALCOTE 300G / LAMINADO MATE 1 LADO, PARA EL CUMPLIMIENTO DE LAS ACTIVIDADES MGA: 2.1.2, 2.1.3, Y 4.1.4. QUE PERMITE GENERAR CAPACITACIÓN, TRANSFERENCIA Y APROPIACIÓN SOCIAL DEL CONOCIMIENTO, A FIN DE FACILITARLES INFORMACIÓN OPORTUNA PARA LA OBTENCIÓN OPTIMA DE ENTENDIMIENTO, POR PARTE DE LOS ACTORES DE LA CADENA DE SUMINISTRO DEL QUESO COSTEÑO, EN LOS DEPARTAMENTOS DEL MAGDALENA, CÓRDOBA Y LA GUAJIRA, EN EL MARCO DE LA EJECUCIÓN DEL PROYECTO CÓDIGO BPIN 2020000100116. LA PROPUESTA HACE PARTE INTEGRAL DE LA PRESENTE ORDEN.</t>
  </si>
  <si>
    <t>https://community.secop.gov.co/Public/Tendering/OpportunityDetail/Index?noticeUID=CO1.NTC.4737758&amp;isFromPublicArea=True&amp;isModal=False</t>
  </si>
  <si>
    <t>OPSP-VEX-0706-2023</t>
  </si>
  <si>
    <t>MIRIAN ESTHER SIERRA HERNÁNDEZ</t>
  </si>
  <si>
    <t>1. ELABORAR LOS INFORMES FINANCIEROS DEL PROYECTO. 2. GESTIONAR LOS PROCESOS DE FACTURACIÓN REQUERIDOS EN EL MARCO DEL PROYECTO. 3. GESTIONAR Y REALIZAR SEGUIMIENTO CON LAS DIFERENTES UNIDADES FINANCIERAS ELABORACIÓN DE COMPROMISOS Y ÓRDENES DE PAGO DE LOS CONTRATISTAS DEL PROYECTO. 4. HACER SEGUIMIENTO AL FLUJO DE CAJA DEL PROYECTO. 5. APOYO A LA ELABORACIÓN DEL INFORME FINAL DEL BALANCE FINANCIERO DEL PROYECTO CON MIRAS A SU FINALIZACIÓN Y LIQUIDACIÓN.</t>
  </si>
  <si>
    <t>https://community.secop.gov.co/Public/Tendering/OpportunityDetail/Index?noticeUID=CO1.NTC.4734245&amp;isFromPublicArea=True&amp;isModal=False</t>
  </si>
  <si>
    <t>OPSP-VEX-0707-2023</t>
  </si>
  <si>
    <t>STEPHANIE CHAVEZ DONADO</t>
  </si>
  <si>
    <t>1. REALIZAR SEGUIMIENTO A LOS AVANCES TÉCNICOS DEL PROYECTO. 2. COORDINAR Y HACER SEGUIMIENTO A LA CONTRATACIÓN DEL PROYECTO. 3. ASISTIR A LAS REUNIONES QUE LE SEAN ASIGNADAS CON OCASIÓN DE SEGUIMIENTO DEL PROYECTO Y SU DESARROLLO. 4. ELABORAR INFORMES DE AVANCE DE LA EJECUCIÓN DEL PROYECTO QUE SEAN SOLICITADOS POR LA ENTIDAD ALIADA Y/O POR LA VICERRECTORÍA DE EXTENSIÓN Y PROYECCIÓN SOCIAL. 5. APOYO A LA ELABORACIÓN DEL INFORME FINAL DEL BALANCE TÉCNICO DEL PROYECTO CON MIRAS A SU FINALIZACIÓN Y LIQUIDACIÓN.</t>
  </si>
  <si>
    <t>https://community.secop.gov.co/Public/Tendering/OpportunityDetail/Index?noticeUID=CO1.NTC.4734193&amp;isFromPublicArea=True&amp;isModal=False</t>
  </si>
  <si>
    <t>OPSP-VEX-0724-2023</t>
  </si>
  <si>
    <t>ALEXANDER BALLESTEROS PINEDA</t>
  </si>
  <si>
    <t>PRESTAR SERVICIOS PROFESIONALES COMO PERSONAL DE APOYO - INVESTIGADOR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LIDERAR LA REDACCIÓN DE AL MENOS UN ARTÍCULO CIENTÍFICO DE INVESTIGACIÓN. 2) LIDERAR Y APOYAR ACTIVIDADES RELACIONADAS CON LA INVESTIGACIÓN (IDENTIFICACIÓN DE REVISTAS DE IMPACTO, DETECCIÓN DE CONVOCATORIAS Y CONGRESOS AFINES AL GRUPO, DISEÑO DE INSTRUMENTOS, USO DE SOFTWARES DE INVESTIGACIÓN). 3) TUTORIZAR Y COLABORAR A LOS DIFERENTES GRUPOS DEL PROYECTO PARA LA REDACCIÓN DE SUS INFORMES FINALES. 4) PRESENTAR EL INFORME DE ÉTICA. 5) CONSOLIDAR EL INFORME FINAL DEL GRUPO AUDIOVISUAL- COCREACIÓN. 6) APOYAR LOS LÍDERES CIENTÍFICOS EN LA ELABORACIÓN DEL INFORME SOBRE EL PROCESO DE APROPIACIÓN AUDIOVISUAL Y TECNOLÓGICA DE LOS NNAJ DURANTE LAS JORNADAS DE TALLERES</t>
  </si>
  <si>
    <t>https://community.secop.gov.co/Public/Tendering/OpportunityDetail/Index?noticeUID=CO1.NTC.4765842&amp;isFromPublicArea=True&amp;isModal=False</t>
  </si>
  <si>
    <t>OPSP-VEX-0726-2023</t>
  </si>
  <si>
    <t>FERNEY TAVERA GALEANO</t>
  </si>
  <si>
    <t>PRESTAR SERVICIOS PROFESIONALES COMO INGENIERO AGRÓNOMO DE CAMPO SANTA MARTA PARA EL DESARROLLO DE LA ACTIVIDAD 2 DEL OBJETIVO 1 DEL PROYECTO DEL PROYECTO BPIN2020000100768 Y EN ESPECIAL PARA EL CUMPLIMIENTO DE LAS ACTIVIDADES ASOCIADAS AL OBJETIVO DE REFERENDA, TALES COMO: 1) PARTICIPAR EN LAS REUNIONES TÉCNICAS Y DE SEGUIMIENTO EN QUE SEAN REQUERIDOS. 2) BRINDAR SOPORTE TÉCNICO Y CIENTÍFICO A PARCELAS DE LA SUBREGIÓN SANTA MARTA DEL DEPARTAMENTO DEL MAGDALENA (INCLUIDO LA CASA DE MALLA DE LA UNIVERSIDAD) Y AL MUNICIPIO DE SITIO NUEVO. 3) REALIZAR VISITAS AL MENOS TRES VECES POR MES A LAS PARCELAS. 4) PROGRAMAR ACTIVIDADES DE CAMPO EN LAS PARCELAS ASIGNADAS (SIEMBRA, FERTILIZACIONES, PREPARACIÓN DE TERRENOS, PRÁCTICAS CULTURALES Y FITOSANITARIAS, MANTENIMIENTO DE BIOINSUMOS, TOMA DE DATOS EXPERIMENTALES Y COSECHA) EN COORDINACIÓN CON LOS INVESTIGADORES DE CADA DISCIPLINA (SUELOS, AGUA FITOSANIDAD Y AMBIENTAL). 5) ASIGNACIÓN DE TAREAS A LOS OPERARIOS DE CADA PARCELA Y RECIBIR SUS INFORMES. 6) DILIGENCIAMIENTO DE REGISTROS DE CAMPO EN CONCORDANCIA CON LOS LINEAMIENTOS PROPUESTOS POR LAS BPA (BUENAS PRÁCTICAS AGRÍCOLAS). 7) SERVIR COMO PUENTE DE COMUNICACIÓN ENTRE LAS ASOCIACIONES BENEFICIARIAS Y LOS COINVESTIGADORES DEL PROYECTO. 8) APOYAR LAS ACTIVIDADES DE CAPACITACIÓN EN LA SUBREGIÓN. 9) INFORMAR OPORTUNAMENTE EVENTUALIDADES EN EL DESARROLLO DE LAS PARCELAS A LOS COINVESTIGADORES A CARGO. 10) COORDINAR EL RECIBO DE INSUMOS Y MATERIALES PARA EL ESTABLECIMIENTO DE LAS PARCELAS. 11) ELABORACIÓN DE INFORMES MENSUALES SOBRE ACTIVIDADES REALIZADAS POR ELLOS Y SUS OPERARIOS A CARGO EN CADA PARCELA CON SUS RESPECTIVOS SOPORTES O EVIDENCIAS</t>
  </si>
  <si>
    <t>https://community.secop.gov.co/Public/Tendering/OpportunityDetail/Index?noticeUID=CO1.NTC.4773437&amp;isFromPublicArea=True&amp;isModal=False</t>
  </si>
  <si>
    <t>OPSP-VEX-0727-2023</t>
  </si>
  <si>
    <t>MIGUEL RAFAEL SALAS ROMO</t>
  </si>
  <si>
    <t>PRESTAR SERVICIOS PROFESIONALES COMO INGENIERO AGRÓNOMO DE ZONA CAMPO RIO SUR PARA EL DESARROLLO DE LA ACTIVIDAD 2 DEL OBJETIVO 1 DEL PROYECTO DEL PROYECTO BPIN2020000100768 Y EN ESPECIAL PARA EL CUMPLIMIENTO DE LAS ACTIVIDADES ASOCIADAS AL OBJETIVO DE REFERENCIA, TALES COMO: 1) PARTICIPAR EN LAS REUNIONES TÉCNICAS Y DE SEGUIMIENTO EN QUE SEAN REQUERIDOS. 2) BRINDAR SOPORTE TÉCNICO Y CIENTÍFICO A PARCELAS DE LA SUBREGIÓN RIO DEL DEPARTAMENTO DEL MAGDALENA. 3) REALIZAR VISITAS AL MENOS TRES VECES POR MES A LAS PARCELAS. 4) PROGRAMAR ACTIVIDADES DE CAMPO EN LAS PARCELAS ASIGNADAS (SIEMBRA, FERTILIZACIONES, PREPARACIÓN DE TERRENES, PRÁCTICAS CULTURALES Y FITOSANITARIAS, MANTENIMIENTO DE BIOINSUMOS, TOMA DE DATES EXPERIMENTALES Y COSECHA) EN COORDINACIÓN CON LOS INVESTIGADORES DE CADA DISCIPLINA (SUELOS, AGUA FITOSANIDAD Y AMBIENTAL). 5) ASIGNACIÓN DE TAREAS A LOS OPERARIOS DE CADA PARCELA Y RECIBIR SUS INFORMES. 6) DILIGENCIAMIENTO DE REGISTROS DE CAMPO EN CONCORDANCIA CON LOS LINEAMIENTOS PROPUESTOS POR LAS BPA (BUENAS PRÁCTICAS AGRÍCOLAS). 7) SERVIR COMO PUENTE DE COMUNICACIÓN ENTRE LAS ASOCIACIONES BENEFICIARIAS Y LOS COINVESTIGADORES DEL PROYECTO. 8) APOYAR LAS ACTIVIDADES DE CAPACITACIÓN EN LA SUBREGIÓN. 9) INFORMAR OPORTUNAMENTE EVENTUALIDADES EN EL DESARROLLO DE LAS PARCELAS A LOS COINVESTIGADORES A CARGO. 10) COORDINAR EL RECIBO DE INSUMOS Y MATERIALES PARA EL ESTABLECIMIENTO DE LAS PARCELAS. 11) ELABORACIÓN DE INFORMES MENSUALES SOBRE ACTIVIDADES REALIZADAS POR ELLOS Y SUS OPERARIOS A CARGO EN CADA PARCELA CON SUS RESPECTIVOS SOPORTES O EVIDENCIAS</t>
  </si>
  <si>
    <t>https://community.secop.gov.co/Public/Tendering/OpportunityDetail/Index?noticeUID=CO1.NTC.4772943&amp;isFromPublicArea=True&amp;isModal=False</t>
  </si>
  <si>
    <t>OPSP-VEX-0728-2023</t>
  </si>
  <si>
    <t>PRESTAR SERVICIOS PROFESIONALES COMO ASISTENTE OPERATIVA DEL PROYECTO BPIN2020000100768 Y EN ESPECIAL PARA EL CUMPLIMIENTO DEL OBJETIVO 1 (ACTIVIDADES 1, 2 Y 3). EN CUMPLIMIENTO DE DICHAS ACTIVIDADES SE COMPROMETE A CUMPLIR CON LOS SIGUIENTES COMPROMISOS: 1) BRINDAR APOYO A LABORES ADMINISTRATIVAS DE LAS SUBREGIONES DE LAS ACTIVIDADES 1, 2 Y 3 DEL OBJETIVO 1 DEL PROYECTO: COTIZACIONES, PEDIDOS, COORDINACIÓN DE ENVÍOS DE INSUMOS CON LOS AGRÓNOMOS DE LAS SUBREGIONES, LLEVAR ACTAS DE REUNIONES, COORDINACIÓN PARA LA ASISTENCIA DE LOS PRODUCTORES A LAS CAPACITACIONES, ATENCIÓN A INQUIETUDES DE LOS PRODUCTORES Y MANEJO DE CORRESPONDENCIA. 2) BRINDAR APOYO TÉCNICO EN LAS LABORES DE LABORATORIO DE LOS COINVESTIGADORES, PROFESIONALES Y ESTUDIANTES. 3) MANTENER COMUNICACIÓN CON LOS AGRÓNOMOS DE CAMPO PARA PROGRAMAR ACTIVIDADES Y RESOLVER REQUERIMIENTOS DE LOS PRODUCTORES. 4) CONSOLIDAR LAS MATRICES DE INFORMACIÓN EXPERIMENTAL Y APOYAR LOS PROCESOS DE ANÁLISIS DE INFORMACIÓN ORIENTADOS POR LOS COINVESTIGADORES. 5) CONSOLIDAR LOS ARCHIVES DE REGISTROS DE ACTIVIDADES Y SOPORTES PARA EL MOMENTO DE VISITAS O AUDITORIAS. 6) SERVIR COMO PUENTE DE COMUNICACIÓN ENTRE LAS ASOCIACIONES BENEFICIARIAS Y LOS COINVESTIGADORES DEL PROYECTO. 7) INFORMAR OPORTUNAMENTE EVENTUALIDADES EN EL DESARROLLO OPERATIVE DEL PROYECTO. 8) ELABORACIÓN DE INFORMES MENSUALES SOBRE EL AVANCE DE LAS LABORES DE CAMPO Y DE LABORATORIO DEL PROYECTO. 9) COORDINAR EL REGISTRO DE INFORMES ANTE LAS AUTORIDADES AMBIENTALES CON RESPECTO A LA RECOLECCIÓN DE MUESTRAS BIOLÓGICAS</t>
  </si>
  <si>
    <t>https://community.secop.gov.co/Public/Tendering/OpportunityDetail/Index?noticeUID=CO1.NTC.4773059&amp;isFromPublicArea=True&amp;isModal=False</t>
  </si>
  <si>
    <t>OPSP-VEX-0729-2023</t>
  </si>
  <si>
    <t>ANGELA LILIANA CANTILLO MATOS</t>
  </si>
  <si>
    <t>PRESTAR SERVICIOS PROFESIONALES COMO INGENIERO AGRÓNOMO DE CAMPO ZONA SUR PARA EL DESARROLLO DE LA ACTIVIDAD 2 DEL OBJETIVO 1 DEL PROYECTO DEL PROYECTO BPIN2020000100768 Y EN ESPECIAL PARA EL CUMPLIMIENTO DE LAS ACTIVIDADES ASOCIADAS AL OBJETIVO DE REFERENCIA, TALES COMO: 1) PARTICIPAR EN LAS REUNIONES TÉCNICAS Y DE SEGUIMIENTO EN QUE SEAN REQUERIDOS. 2) BRINDAR SOPORTE TÉCNICO Y CIENTÍFICO A PARCELAS DE LA SUBREGIÓN SUR DEL DEPARTAMENTO DEL MAGDALENA. 3) REALIZAR VISITAS AL MENOS TRES VECES POR MES A LAS PARCELAS. 4) PROGRAMAR ACTIVIDADES DE CAMPO EN LAS PARCELAS ASIGNADAS (SIEMBRA, FERTILIZACIONES, PREPARACIÓN DE TERRENOS, PRACTICAS CULTURALES Y FITOSANITARIAS, MANTENIMIENTO DE BIOINSUMOS, TOMA DE DATOS EXPERIMENTALES Y COSECHA) EN COORDINACIÓN CON LOS INVESTIGADORES DE CADA DISCIPLINA (SUELOS, AGUA FITOSANIDAD Y AMBIENTAL). 5) ASIGNACIÓN DE TAREAS A LOS OPERARIOS DE CADA PARCELA Y RECIBIR SUS INFORMES. 6) DILIGENCIAMIENTO DE REGISTROS DE CAMPO EN CONCORDANCIA CON LOS LINEAMIENTOS PROPUESTOS POR LAS BPA (BUENAS PRÁCTICAS AGRÍCOLAS). 7) SERVIR COMO PUENTE DE COMUNICACIÓN ENTRE LAS ASOCIACIONES BENEFICIARIAS Y LOS COINVESTIGADORES DEL PROYECTO. 8) APOYAR LAS ACTIVIDADES DE CAPACITACIÓN EN LA SUBREGIÓN. 9) INFORMAR OPORTUNAMENTE EVENTUALIDADES EN EL DESARROLLO DE LAS PARCELAS A LOS COINVESTIGADORES A CARGO. 10) COORDINAR EL RECIBO DE INSUMOS Y MATERIALES PARA EL ESTABLECIMIENTO DE LAS PARCELAS. 11) ELABORACIÓN DE INFORMES MENSUALES SOBRE ACTIVIDADES REALIZADAS POR ELLOS Y SUS OPERARIOS A CARGO EN CADA PARCELA CON SUS RESPECTIVOS SOPORTES O EVIDENCIAS.</t>
  </si>
  <si>
    <t>https://community.secop.gov.co/Public/Tendering/OpportunityDetail/Index?noticeUID=CO1.NTC.4773052&amp;isFromPublicArea=True&amp;isModal=False</t>
  </si>
  <si>
    <t>OPSP-VEX-0745-2023</t>
  </si>
  <si>
    <t>PRESTAR SERVICIOS PROFESIONALES COMO ASESOR DE ÁREA DEL PROCESAMIENTO DE ALIMENTOS DE ORIGEN ANIMAL Y VEGETAL DEL PROYECTO BPIN 2020000100768 FINANCIADO CON RECURSOS DEL SISTEMA GENERAL DE REGALÍAS, PARA EL DESARROLLO DE LAS SIGUIENTES ACTIVIDADES: 1) COORDINAR CON EL ESPECIALISTA EN CIENCIAS Y TECNOLOGÍAS DE ALIMENTOS ASIGNADO EN LAS ACTIVIDADES PROPIAS DE LOS PROCESOS EN LA FORMULACIÓN Y ESTANDARIZACIÓN EN LA ELABORACIÓN DE PRODUCTOS TERMINADOS. 2) APOYAR LA TOMA DE DATOS EN LOS LABORATORIOS Y EN LOS PRODUCTOS A ELABORAR. 3) INFORMAR CUALQUIER EVENTUALIDAD EN EL DESARROLLO DE NUEVOS PRODUCTOS DEPENDIENDO DE LA VOCACIÓN DE CULTIVO Y DE CULTIVOS DE PAN COGER. 4) ENTREGABLES EN EL ÁREA DE PROCESOS DE PRODUCTOS ELABORADOS, ASÍ COMO DE LAS CAPACITACIONES O LO QUE SOLICITEN LOS COINVESTIGADORES EN EL ÁREA DE SU SABER Y CONOCIMIENTOS. 5) LAS DEMÁS ACTIVIDADES QUE SE DERIVEN DE LA EJECUCIÓN DEL OBJETO CONTRACTUAL.</t>
  </si>
  <si>
    <t>https://community.secop.gov.co/Public/Tendering/OpportunityDetail/Index?noticeUID=CO1.NTC.4786958&amp;isFromPublicArea=True&amp;isModal=False</t>
  </si>
  <si>
    <t>OPSP-VEX-0746-2023</t>
  </si>
  <si>
    <t>PRESTAR SERVICIOS PROFESIONALES COMO ASESOR DE ÁREA DEL PROCESAMIENTO DE ALIMENTOS DE ORIGEN ANIMAL Y VEGETAL DEL PROYECTO BPIN2020000100768 FINANCIADO CON RECURSOS DEL SISTEMA GENERAL DE REGALÍAS, PARA EL DESARROLLO DE LAS SIGUIENTES ACTIVIDADES: 1) COORDINAR CON EL ESPECIALISTA EN CIENCIAS Y TECNOLOGÍAS DE ALIMENTOS ASIGNADO EN LAS ACTIVIDADES PROPIAS DE LOS PROCESOS EN LA FORMULACIÓN Y ESTANDARIZACIÓN EN LA ELABORACIÓN DE PRODUCTOS TERMINADOS. 2) APOYAR LA TOMA DE DATOS EN LOS LABORATORIOS Y EN LOS PRODUCTOS A ELABORAR. 3) INFORMAR CUALQUIER EVENTUALIDAD EN EL DESARROLLO DE NUEVOS PRODUCTOS DEPENDIENDO DE LA VOCACIÓN DE CULTIVO Y DE CULTIVOS DE PAN COGER. 4) ENTREGABLES EN EL ÁREA DE PROCESOS DE PRODUCTOS ELABORADOS, ASÍ COMO DE LAS CAPACITACIONES O IO QUE SOLICITEN LOS COINVESTIGADORES EN EL ÁREA DE SU SABER Y CONOCIMIENTOS. 5) LAS DEMÁS ACTIVIDADES QUE DERIVEN DE LA EJECUCIÓN DE LA ORDEN Y QUE TENGAN RELACIÓN DIRECTA CON EL OBJETO CONTRACTUAL.</t>
  </si>
  <si>
    <t>https://community.secop.gov.co/Public/Tendering/OpportunityDetail/Index?noticeUID=CO1.NTC.4786963&amp;isFromPublicArea=True&amp;isModal=False</t>
  </si>
  <si>
    <t>OPSP-VEX-0337-2023</t>
  </si>
  <si>
    <t>AUGUSTA ROSA MORENO QUANT</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</si>
  <si>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</si>
  <si>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https://community.secop.gov.co/Public/Tendering/OpportunityDetail/Index?noticeUID=CO1.NTC.3983232&amp;isFromPublicArea=True&amp;isModal=False</t>
  </si>
  <si>
    <t>OPSP-VEX-0338-2023</t>
  </si>
  <si>
    <t>CARLOS DE LOS REYES CAMARGO CERVANTES</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</si>
  <si>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</si>
  <si>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https://community.secop.gov.co/Public/Tendering/OpportunityDetail/Index?noticeUID=CO1.NTC.3983226&amp;isFromPublicArea=True&amp;isModal=False</t>
  </si>
  <si>
    <t>OPSP-VEX-0339-2023</t>
  </si>
  <si>
    <t>JASNEY MOTTA PEREZ</t>
  </si>
  <si>
    <t>PRESTAR SERVICIOS PROFESIONALES EL DESARROLLO DE LAS SIGUIENTES ACTIVIDADES: 1. ORGANIZAR Y CONSOLIDAR LOS INSUMOS REQUERIDOS PARA LA ELABORACIÓN DEL REPORTE DE LOS INDICADORES DE PLAN DE ACCIÓN DE LA VICERRECTORÍA DE EXTENSIÓN Y PROYECCIÓN SOCIAL. 2. COORDINAR LAS ALIANZAS ESTRATÉGICAS CON ACTORES EXTERNOS. 3. ELABORAR Y GESTIONAR EL PLAN DE EDUCACIÓN CONTINUADA ADSCRITO A LA VICERRECTORÍA DE EXTENSIÓN Y PROYECCIÓN SOCIAL</t>
  </si>
  <si>
    <t>https://community.secop.gov.co/Public/Tendering/OpportunityDetail/Index?noticeUID=CO1.NTC.4004806&amp;isFromPublicArea=True&amp;isModal=False</t>
  </si>
  <si>
    <t>OPSP-VEX-0340-2023</t>
  </si>
  <si>
    <t>JHONNY ALEXANDER CUELLAR LEON</t>
  </si>
  <si>
    <t>https://community.secop.gov.co/Public/Tendering/OpportunityDetail/Index?noticeUID=CO1.NTC.3983521&amp;isFromPublicArea=True&amp;isModal=False</t>
  </si>
  <si>
    <t>OPSP-VEX-0341-2023</t>
  </si>
  <si>
    <t>RAUL JOSE SARABIA GOMEZ</t>
  </si>
  <si>
    <t xml:space="preserve"> 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</si>
  <si>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https://community.secop.gov.co/Public/Tendering/OpportunityDetail/Index?noticeUID=CO1.NTC.3983228&amp;isFromPublicArea=True&amp;isModal=False</t>
  </si>
  <si>
    <t>OPSP-VEX-0344-2023</t>
  </si>
  <si>
    <t>ANDRES FELIPE CAMARGO LASTRA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</si>
  <si>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</si>
  <si>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CESAR POLO  CASTRO</t>
  </si>
  <si>
    <t>https://community.secop.gov.co/Public/Tendering/OpportunityDetail/Index?noticeUID=CO1.NTC.3995946&amp;isFromPublicArea=True&amp;isModal=False</t>
  </si>
  <si>
    <t>OPSP-VEX-0345-2023</t>
  </si>
  <si>
    <t>BRENDA INES MANJARRES SANCHEZ</t>
  </si>
  <si>
    <t>PRESTAR SERVICIOS PROFESIONALES EL DESARROLLO DE LAS SIGUIENTES ACTIVIDADES: 1. HACER SEGUIMIENTO A LOS RECIÉN GRADUADOS DE LAS MODALIDADES PRESENCIAL Y A DISTANCIA. 2. ELABORAR INFORME DE INDICADORES DE SEGUIMIENTO A GRADUADOS SEGÚN EL OBSERVATORIO LABORAL PARA LA EDUCACIÓN CON BASE EN EL CENSO DE GRADUADOS DE LA INSTITUCIÓN. 3. APOYO A LA REALIZACIÓN DE LA FERIA DE EMPLEABILIDAD Y EMPRENDIMIENTO. 4. ELABORAR INFORME DE GRADUADOS PARA PROCESOS DE AUTOEVALUACIÓN DE LOS PROGRAMAS. 5. SEGUIMIENTO Y ACOMPAÑAMIENTO AL EGRESADO. 6. HACER SEGUIMIENTO A LA INTERMEDIACIÓN LABORAL.</t>
  </si>
  <si>
    <t>https://community.secop.gov.co/Public/Tendering/OpportunityDetail/Index?noticeUID=CO1.NTC.3996035&amp;isFromPublicArea=True&amp;isModal=False</t>
  </si>
  <si>
    <t>OPSP-VEX-0346-2023</t>
  </si>
  <si>
    <t>CARLOS JOSE ECHAVARRIA CUADRADO</t>
  </si>
  <si>
    <t>PRESTAR SERVICIOS PROFESIONALES EL DESARROLLO DE LAS SIGUIENTES ACTIVIDADES: 1. GESTIONAR, DISEÑAR, GRABAR, MONTAR, EDITAR Y DEJAR LISTOS PARA SU PUBLICACIÓN LA VIRTUALIZACIÓN DE LOS ESPACIOS QUE LA VICERRECTORÍA DE EXTENSIÓN Y PROYECCIÓN SOCIAL REQUIERA EN ATENCIÓN A LOS PROYECTOS ESTABLECIDOS EN EL PLAN DE ACCIÓN INSTITUCIONAL. 2. GARANTIZAR AL CADENA DE CUSTODIA Y DERECHOS DE AUTOR DEL MATERIAL AUDIOVISUAL PRODUCIDO.</t>
  </si>
  <si>
    <t>https://community.secop.gov.co/Public/Tendering/OpportunityDetail/Index?noticeUID=CO1.NTC.3995936&amp;isFromPublicArea=True&amp;isModal=False</t>
  </si>
  <si>
    <t>OAG-VEX-0347-2023</t>
  </si>
  <si>
    <t>DONAL JOSE RAMOS MOLINA</t>
  </si>
  <si>
    <t>PRESTAR SERVICIOS DE APOYO A LA GESTIÓN PARA EL DESARROLLO DE LAS SIGUIENTES ACTIVIDADES: 1. PROMOCIONAR EN LAS DIFERENTES INSTITUCIONES EDUCATIVAS LAS ACTIVIDADES CULTURALES DESARROLLADAS A TRAVÉS SISTEMA DE FORTALECIMIENTO DE MUSEOS Y LA OFERTA CULTURAL. 2. APOYAR EL DISEÑO DE LA ESTRATEGIA DE DIVULGACIÓN DE LAS ACTIVIDADES CULTURALES DE LA CASA MUSEO GABRIEL GARCÍA MÁRQUEZ. 3. APOYAR EL DESARROLLO DE ACTIVIDADES CULTURALES DE LA CASA MUSEO GABRIEL GARCÍA MÁRQUEZ. 4. APOYAR EL PROYECTO DE CINE Y LITERATURA DE LA CASA MUSEO.</t>
  </si>
  <si>
    <t>https://community.secop.gov.co/Public/Tendering/OpportunityDetail/Index?noticeUID=CO1.NTC.3995940&amp;isFromPublicArea=True&amp;isModal=False</t>
  </si>
  <si>
    <t>OPSP-VEX-0348-2023</t>
  </si>
  <si>
    <t>FREDY DE JESUS SALCEDO OSPINO</t>
  </si>
  <si>
    <t>PRESTAR SERVICIOS PROFESIONALES EL DESARROLLO DE LAS SIGUIENTES ACTIVIDADES: 1. REALIZAR DESARROLLO DE COMPONENTES SOFTWARE EN TECNOLOGÍAS NETCORE, LARAVEL JAVASCRIPT, ANGULAR, HACIENDO USO DE PATRONES DE DISEÑO. 2. REALIZAR PROCESOS DE AUTOMATIZACIÓN DE PRUEBAS EN LOS SISTEMAS DE INFORMACIÓN DE EGRESADOS. 3. APOYAR EN LA OPTIMIZACIÓN Y GENERACIÓN DE CONSULTAS SQL EN LA GENERACIÓN DE REPORTES. 4. APOYAR EN LA IMPLEMENTACIÓN DE PRINCIPIOS Y PATRONES DE PRUEBAS EN LOS SISTEMAS DE INFORMACIÓN DE EGRESADOS. 5. ASESORAR AL DIRECTOR DEL CENTRO EN EL DISEÑO DE ESTRUCTURAS DE COMUNICACIÓN ENTRE SISTEMAS DE INFORMACIÓN. 6.REALIZAR INFORMES DE LOS DATOS ALOJADOS EN LOS SISTEMAS DE INFORMACIÓN DE EGRESADOS. 7. INCORPORAR ELEMENTOS DE DISEÑOS EXISTENTES EN LOS PRODUCTOS TECNOLÓGICOS.</t>
  </si>
  <si>
    <t>https://community.secop.gov.co/Public/Tendering/OpportunityDetail/Index?noticeUID=CO1.NTC.3995954&amp;isFromPublicArea=True&amp;isModal=False</t>
  </si>
  <si>
    <t>OPSP-VEX-0349-2023</t>
  </si>
  <si>
    <t>JOSE BELTRAN MAESTRE NAVARRO</t>
  </si>
  <si>
    <t>PRESTAR SERVICIOS PROFESIONALES EL DESARROLLO DE LAS SIGUIENTES ACTIVIDADES: 1. COORDINAR EL PROGRAMA DE RADIO Y TELEVISIÓN DE LA VICERECTORÍA DE EXTENSIÓN. 2. RECOPILAR Y ORGANIZAR INFORMACIÓN PARA LOS PROGRAMAS DE RADIO Y TELEVISIÓN DE LA VICERRECTORÍA DE EXTENSIÓN.</t>
  </si>
  <si>
    <t>https://community.secop.gov.co/Public/Tendering/OpportunityDetail/Index?noticeUID=CO1.NTC.3995949&amp;isFromPublicArea=True&amp;isModal=False</t>
  </si>
  <si>
    <t>OPSP-VEX-0350-2023</t>
  </si>
  <si>
    <t>LIZETH SHIRLEY MARTINEZ VALENCIA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</si>
  <si>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Y SUS DEPENDENCIAS.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8. DISEÑAR PLANES DE PRUEBAS A LOS PROYECTOS. 9. DISEÑAR Y EJECUTAR PRUEBAS DE UNIDAD, INTEGRACIÓN O SISTEMA PARA LOS DIFERENTES COMPONENTES.</t>
  </si>
  <si>
    <t>https://community.secop.gov.co/Public/Tendering/OpportunityDetail/Index?noticeUID=CO1.NTC.3995948&amp;isFromPublicArea=True&amp;isModal=False</t>
  </si>
  <si>
    <t>OPSP-VEX-0351-2023</t>
  </si>
  <si>
    <t>PRESTAR SERVICIOS PROFESIONALES EL DESARROLLO DE LAS SIGUIENTES ACTIVIDADES: 1. REALIZAR SEGUIMIENTO Y REPORTE DEL PLAN DE ACCIÓN DE LA VICERRECTORÍA DE EXTENSIÓN Y PROYECCIÓN SOCIAL. 2. CONSOLIDAR LA INFORMACIÓN DEL FACTOR DE EXTENSIÓN COMO INSUMO PARA LOS INFORMES DE ACREDITACIÓN DE LOS PROGRAMAS CORRESPONDIENTE A LA EMPLEABILIDAD, DOCENTES, ESTUDIANTES Y EGRESADOS PARTICIPANTES EN LOS PROYECTOS DE EXTENSION. 3. REALIZAR EL DISEÑO Y ACTUALIZACIÓN DOCUMENTAL, SEGUIMIENTO A MAPAS DE RIESGOS, INDICADORES DE GESTIÓN Y A LA MEJORA CONTINUA DEL PROCESO GESTIÓN DE EXTENSIÓN Y PROYECCIÓN SOCIAL DEL SISTEMA COGUI+. 4. ACOMPAÑAR EN EL DISEÑO Y DESARROLLO DE LOS PLANES DE CALIDAD DE LOS PROYECTOS DE EXTENSIÓN Y PROYECCIÓN SOCIAL.</t>
  </si>
  <si>
    <t>https://community.secop.gov.co/Public/Tendering/OpportunityDetail/Index?noticeUID=CO1.NTC.3995952&amp;isFromPublicArea=True&amp;isModal=False</t>
  </si>
  <si>
    <t>OPSP-VEX-0352-2023</t>
  </si>
  <si>
    <t>OBEYAIDO PEÑA PONSON</t>
  </si>
  <si>
    <t>PRESTAR SERVICIOS PROFESIONALES EL DESARROLLO DE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EN LAS DIFERENTES COMUNAS DEL DISTRITO Y EL DEPARTAMENTO DEL MAGDALENA. 3. APOYAR EL DESARROLLO DE LAS ACTIVIDADES CULTURALES DEL SISTEMA DE MUSEOS. 4. COORDINAR Y LIDERAR EL DESARROLLO DE CURSOS RELACIONADOS CON EL ÁREA DE ARTES ESCÉNICAS.</t>
  </si>
  <si>
    <t>https://community.secop.gov.co/Public/Tendering/OpportunityDetail/Index?noticeUID=CO1.NTC.3995943&amp;isFromPublicArea=True&amp;isModal=False</t>
  </si>
  <si>
    <t>OAG-VEX-0357-2023</t>
  </si>
  <si>
    <t>KATHERINE LIZETH CAMPO PINTO</t>
  </si>
  <si>
    <t>PRESTAR SERVICIOS DE APOYO A LA GESTIÓN PARA EL DESARROLLO DE LAS SIGUIENTES ACTIVIDADES: 1. APOYAR LA GESTIÓN ADMINISTRATIVA DE LA FUNDACIÓN CASA EN EL ÁRBOL. 2. REALIZAR LOS INFORMES FINANCIEROS DE CADA UNO DE LOS PROYECTOS QUE SE EJECUTAN EN LA FUNDACIÓN CASA EN EL ÁRBOL. 3. PRESTAR ACOMPAÑAMIENTO EN CADA UNO DE LOS PROYECTOS VIGENTES DE LA FUNDACIÓN CASA EN EL ÁRBOL. 4. ORGANIZAR LOS ARCHIVOS CORRESPONDIENTES A LA FUNDACIÓN CASA EN EL ÁRBOL. 5. SISTEMATIZAR LAS EXPERIENCIAS E INFORMACIÓN RECOPILADAS EN CAMPO DE LOS PROYECTOS EJECUTADOS POR LA FUNDACIÓN CASA EN EL ÁRBOL. 6. ELABORAR Y PRESENTAR INFORMES PERIÓDICOS DE LAS ACTIVIDADES DESARROLLADAS EN LOS PROYECTOS DE LA FUNDACIÓN CASA EN EL ÁRBOL A LA VICERRECTORÍA DE EXTENSIÓN Y PROYECCIÓN SOCIAL. 7. APOYAR LA DIRECCIÓN DE LA FUNDACIÓN EN EL CONTROL DE CRONOGRAMAS ESTABLECIDOS PARA EL CUMPLIMIENTO DE LOS OBJETIVOS TRAZADOS.</t>
  </si>
  <si>
    <t>WILLIAM RETAMO CHAVEZ</t>
  </si>
  <si>
    <t>https://community.secop.gov.co/Public/Tendering/OpportunityDetail/Index?noticeUID=CO1.NTC.4004089&amp;isFromPublicArea=True&amp;isModal=False</t>
  </si>
  <si>
    <t>OAG-VEX-0358-2023</t>
  </si>
  <si>
    <t>MARIA FERNANDA BARBOSA RAMOS</t>
  </si>
  <si>
    <t xml:space="preserve">PRESTAR SERVICIOS DE APOYO A LA GESTIÓN PARA EL DESARROLLO DE LAS SIGUIENTES ACTIVIDADES: 1. APOYAR EN LA COORDINACIÓN, EN LA EJECUCIÓN DE TERRENO DE LOS PROYECTOS VIGENTES DESDE EL ENFOQUE PSICOSOCIAL CON LA POBLACIÓN OBJETO DE INTERVENCIÓN DE LA FUNDACIÓN CASA EN EL ÁRBOL. 2. GENERAR ALERTAS Y SEGUIMIENTO PSICOSOCIAL A LA POBLACIÓN ATENDIDA. 3. ORGANIZAR Y MANEJAR ARCHIVOS CORRESPONDIENTES A LOS PROYECTOS QUE SE DESARROLLAN. 4. SISTEMATIZAR EXPERIENCIAS 5. PRESENTAR Y ELABORAR INFORMES. 6. APOYAR EN GESTIÓN Y GENERACIÓN DE PROYECTOS DE LA FUNDACIÓN. </t>
  </si>
  <si>
    <t>https://community.secop.gov.co/Public/Tendering/OpportunityDetail/Index?noticeUID=CO1.NTC.4004288&amp;isFromPublicArea=True&amp;isModal=False</t>
  </si>
  <si>
    <t>OPSP-VEX-0359-2023</t>
  </si>
  <si>
    <t>MAURA CECILIA RUBIO SUAREZ</t>
  </si>
  <si>
    <t xml:space="preserve"> 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 </t>
  </si>
  <si>
    <t>https://community.secop.gov.co/Public/Tendering/OpportunityDetail/Index?noticeUID=CO1.NTC.4004289&amp;isFromPublicArea=True&amp;isModal=False</t>
  </si>
  <si>
    <t>OPSP-VEX-0360-2023</t>
  </si>
  <si>
    <t>MARYORIS GREGORIA PADILLA VELEZ</t>
  </si>
  <si>
    <t>RESTAR SERVICIOS PROFESIONALES EL DESARROLLO DE LAS SIGUIENTES ACTIVIDADES: 1. ORGANIZAR LAS SESIONES DE FORMACIÓN EN EL MARCO DEL PROGRAMA DE ALFABETIZACIÓN Y EDUCACIÓN BÁSICA Y MEDIA PARA ADULTOS. 2. APOYAR A LOS DOCENTES LOGÍSTICAMENTE EN EL DESARROLLO DE LAS SESIONES FORMATIVAS DEL PROGRAMA DE ALFABETIZACIÓN Y EDUCACIÓN BÁSICA Y MEDIA PARA ADULTOS. 3. PRESENTAR INFORMES MENSUALES DEL AVANCE DEL PROCESO DE FORMACIÓN DEL PROGRAMA DE ALFABETIZACIÓN Y EDUCACIÓN BÁSICA Y MEDIA PARA ADULTOS.</t>
  </si>
  <si>
    <t>https://community.secop.gov.co/Public/Tendering/OpportunityDetail/Index?noticeUID=CO1.NTC.4004292&amp;isFromPublicArea=True&amp;isModal=False</t>
  </si>
  <si>
    <t>OPSP-VEX-0361-2023</t>
  </si>
  <si>
    <t>JOSE MIGUEL SALAS RODRIGUEZ</t>
  </si>
  <si>
    <t xml:space="preserve">PRESTAR SERVICIOS PROFESIONALES EL DESARROLLO DE LAS SIGUIENTES ACTIVIDADES: 1. REALIZAR LA COORDINACIÓN ADMINISTRATIVA Y FINANCIERA DEL CONTRATO INTERADMINISTRATIVO N° 586 DEL 2022 CELEBRADO ENTRE LA CORPORACIÓN AUTÓNOMA REGIONAL DEL MAGDALENA 􏰀 CORPAMAG Y LA UNIVERSIDAD DEL MAGDALENA. 2. COORDINAR Y ARTICULAR CON LAS DEPENDENCIAS ADMINISTRATIVAS Y FINANCIERAS DE LA UNIVERSIDAD, EL PROCESO DE CREACIÓN DE CERTIFICADOS DE DISPONIBILIDAD PRESUPUESTAL, COMPROMISO PRESUPUESTAL, GENERACIÓN DE ÓRDENES DE PAGO, ADICIONES Y DISMINUCIONES. 3. GESTIONAR CUENTAS DE COBRO Y SEGUIMIENTO A LOS DESEMBOLSOS Y PAGOS. 4. LIQUIDAR LOS VIÁTICOS Y APOYOS ECONÓMICOS QUE RESULTEN DEL CONTRATO INTERADMINISTRATIVO 5. REALIZAR SEGUIMIENTO A LA LEGALIZACIÓN DEL PAGO DE HONORARIOS Y MOVILIDAD. 6. REALIZAR LOS INFORMES FINANCIEROS QUE SEAN REQUERIDOS Y ENTREGARLOS DE FORMA OPORTUNA Y CON CALIDAD. 7. REALIZAR MENSUALMENTE EL REGISTRO Y CARGUE EN LA PLATAFORMA DEL SIA OBSERVA DE LA CONTRALORÍA GENERAL DE LA REPÚBLICA, DE LAS ORDENES, CONTRATOS Y PAGOS QUE SE GENEREN EN LOS PROYECTOS. 8. REALIZAR MENSUALMENTE EL REGISTRO Y CARGUE EN LA PLATAFORMA SECOP I, DE LAS ÓRDENES Y CONTRATOS QUE SE GENEREN EN LOS PROYECTOS. 9. ENTREGAR DE LOS DOCUMENTOS GENERADOS EN LOS PROYECTOS, AL ARCHIVO CENTRAL DE LA VICERRECTORÍA DE EXTENSIÓN Y PROYECCIÓN SOCIAL, PARA SU RESPECTIVA REVISIÓN, FOLIATURA Y ARCHIVO, SEGÚN LAS NORMAS DE GESTIÓN DOCUMENTAL. </t>
  </si>
  <si>
    <t>https://community.secop.gov.co/Public/Tendering/OpportunityDetail/Index?noticeUID=CO1.NTC.4004742&amp;isFromPublicArea=True&amp;isModal=False</t>
  </si>
  <si>
    <t>OPSP-VEX-0422-2023</t>
  </si>
  <si>
    <t>GLORIA JUDITH RODRIGUEZ CASTRILLO</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</si>
  <si>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COADYUVAR EN EL REGISTRO DE INFORMACIÓN EN LAS MATRICES DE SEGUIMIENTO Y CON CONSOLIDACIÓN DE INFORMACIÓN ADSCRITAS A LA VICERRECTORÍA DE EXTENSIÓN Y PROYECCIÓN SOCIAL</t>
  </si>
  <si>
    <t>https://community.secop.gov.co/Public/Tendering/OpportunityDetail/Index?noticeUID=CO1.NTC.4069440&amp;isFromPublicArea=True&amp;isModal=False</t>
  </si>
  <si>
    <t>OPSP-VEX-0441-2023</t>
  </si>
  <si>
    <t>CESAR ANDRES SCOTT PARDO</t>
  </si>
  <si>
    <t>PRESTAR SERVICIOS PROFESIONALES EN EL DESARROLLO DE LAS SIGUIENTES ACTIVIDADES: 1. BRINDAR ATENCIÓN Y GESTIÓN A LOS REQUERIMIENTOS ALLEGADOS PROVENIENTES DE LOS ACTORES VINCULADOS A LOS PROCESOS DE PRÁCTICAS (ESTUDIANTES, TUTORES, EMPRESAS, DEPENDENCIAS). 2. BRINDAR ATENCIÓN A LOS REQUERIMIENTOS ALLEGADOS POR PARTE DE LOS USUARIOS VINCULADOS A LOS PROCESOS DE PRÁCTICAS QUE REQUIERAN INFORMACIÓN, DE CONFORMIDAD CON LOS PROTOCOLOS ESTABLECIDOS INSTITUCIONALMENTE. 3. ASESORAR A LOS ESTUDIANTES, TUTORES, EMPRESARIOS AL PROCESO DE PRÁCTICAS. 4. REALIZAR EL REGISTRO Y ACTUALIZACIÓN DE LA MATRIZ DE SEGUIMIENTO DE ESTUDIANTES EN PRÁCTICA. 5. REALIZAR SEGUIMIENTO A LA LABOR DESARROLLADA POR LOS TUTORES DE PRÁCTICA DE LOS ESTUDIANTES. 6. ELABORAR INFORME Y LISTADO CONSOLIDADO DE ESTUDIANTES QUE CULMINARON SU PROCESO DE PRÁCTICAS PARA QUE LOS PROGRAMAS EMITAN LA PAZ Y SALVO RESPECTIVO.</t>
  </si>
  <si>
    <t>BETSY MANJARRES</t>
  </si>
  <si>
    <t>https://community.secop.gov.co/Public/Tendering/OpportunityDetail/Index?noticeUID=CO1.NTC.4101184&amp;isFromPublicArea=True&amp;isModal=False</t>
  </si>
  <si>
    <t>OPSP-VEX-0442-2023</t>
  </si>
  <si>
    <t>LINA VANESSA MONTERO YEPES</t>
  </si>
  <si>
    <t>PRESTAR SERVICIOS PROFESIONALES EL DESARROLLO DE LAS SIGUIENTES ACTIVIDADES: 1. COORDINAR LAS ACTIVIDADES DEL VOLUNTARIADO DE ACUERDO CON LOS LINEAMIENTOS DE LA DIRECCIÓN DE DESARROLLO SOCIAL Y PRODUCTIVO. 2. APOYAR LA ORGANIZACIÓN DE LAS ACTIVIDADES EN LAS COMUNIDADES EN QUE SE INVITE AL VOLUNTARIADO, DE ACUERDO CON LOS LINEAMIENTOS DE LA DIRECCIÓN DE DESARROLLO SOCIAL Y PRODUCTIVO. 3. APOYAR LA ORGANIZACIÓN DE CONVOCATORIAS PARA LA SELECCIÓN DE VOLUNTARIOS, DE ACUERDO CON LOS LINEAMIENTOS DE LA DIRECCIÓN DE DESARROLLO SOCIAL Y PRODUCTIVO. 4. ORGANIZAR ENCUENTROS ESTUDIANTES Y EGRESADOS DE UNIMAGDALENA VINCULADOS AL VOLUNTARIADO, DE ACUERDO CON LOS LINEAMIENTOS DE LA DIRECCIÓN DE DESARROLLO SOCIAL Y PRODUCTIVO. 5. GESTIONAR CAPACITACIONES, FOROS Y CONGRESOS DIRIGIDOS A LOS VOLUNTARIOS, DE ACUERDO CON LOS LINEAMIENTOS DE LA DIRECCIÓN DE DESARROLLO SOCIAL Y PRODUCTIVO. 6. APOYAR LA GESTIÓN DE CONVENIOS Y ALIANZAS CON DIFERENTES ORGANIZACIONES PARA EL DESARROLLO DE ACTIVIDADES, DE ACUERDO CON LOS LINEAMIENTOS DE LA DIRECCIÓN DE DESARROLLO SOCIAL Y PRODUCTIVO. ASÍ COMO LAS DEMÁS ACTIVIDADES QUE SE DERIVEN DE LA EJECUCIÓN DE LA ORDEN Y QUE TENGAN RELACIÓN DIRECTA CON EL OBJETO CONTRACTUAL</t>
  </si>
  <si>
    <t>https://community.secop.gov.co/Public/Tendering/OpportunityDetail/Index?noticeUID=CO1.NTC.4101331&amp;isFromPublicArea=True&amp;isModal=False</t>
  </si>
  <si>
    <t>OPSP-VEX-0443-2023</t>
  </si>
  <si>
    <t>LUIS ALVARO CADENA TEJEDA</t>
  </si>
  <si>
    <t>PRESTAR SERVICIOS PROFESIONALES EL DESARROLLO DE LAS SIGUIENTES ACTIVIDADES: 1. GESTIONAR SEIS (6) CONFERENCIAS PARA LOS EVENTOS Y TEMÁTICAS DEFINIDAS DESDE LA VICERRECTORÍA DE EXTENSIÓN Y PROYECCIÓN SOCIAL, EN ARTICULACIÓN CON LAS FACULTADES 2. LLEVAR A CABO LA REALIZACIÓN DE ESPACIOS ACADÉMICOS PARA EL FORTALECIMIENTO DE LAS RELACIONES CON EL ENTORNO. 3. CONSOLIDAR Y GESTIONAR LAS BASES DE DATOS Y REGISTROS DE ASISTENCIA DE LOS INVITADOS A LOS ESPACIOS ACADÉMICOS PARA EL FORTALECIMIENTO DE LAS RELACIONES CON EL ENTORNO. 4. ESTABLECER E IMPLEMENTAR ESTRATEGIAS PARA LA COMUNICACIÓN Y ASEGURAMIENTO DE ASISTENCIA DE INVITADOS A LOS ESPACIOS ACADÉMICOS PARA EL FORTALECIMIENTO DE LAS RELACIONES CON EL ENTORNO. 5. ELABORAR LOS INFORMES DE LOS ESPACIOS ACADÉMICOS Y EVENTOS ORGANIZADOS DE FORTALECIMIENTO DE RELACIONES CON EL ENTORNO. 6. CONSOLIDAR Y REPORTAR LOS INDICADORES RELACIONADOS CON EL PROYECTO. 7. APOYAR EN LA FORMULACIÓN DE PROPUESTAS ACORDE A LAS INVITACIONES RECIBIDAS Y OPORTUNIDADES IDENTIFICADAS POR LA UNIVERSIDAD DEL MAGDALENA. 8. APOYAR EN LA PROYECCIÓN DE RESPUESTAS A LAS OBSERVACIONES DE LAS PROPUESTAS PRESENTADAS.</t>
  </si>
  <si>
    <t>https://community.secop.gov.co/Public/Tendering/OpportunityDetail/Index?noticeUID=CO1.NTC.4101277&amp;isFromPublicArea=True&amp;isModal=False</t>
  </si>
  <si>
    <t>OPSP-VEX-0461-2023</t>
  </si>
  <si>
    <t>ANDREA PATRICIA OCHOA DOMINGUEZ</t>
  </si>
  <si>
    <t>PRESTAR SERVICIOS PROFESIONALES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</si>
  <si>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https://community.secop.gov.co/Public/Tendering/OpportunityDetail/Index?noticeUID=CO1.NTC.4140502&amp;isFromPublicArea=True&amp;isModal=False</t>
  </si>
  <si>
    <t>OPSP-VEX-0465-2023</t>
  </si>
  <si>
    <t>EVA CATALINA ARIZA SERGE</t>
  </si>
  <si>
    <t>PRESTAR SERVICIOS PROFESIONALES EN EL MARCO DEL CONTRATO INTERADMINISTRATIVO N° 586 DEL 2022 CELEBRADO ENTRE LA CORPORACIÓN AUTÓNOMA REGIONAL DEL MAGDALENA – CORPAMAG Y UNIVERSIDAD DEL MAGDALENA PARA EL DESARROLLO DE LAS SIGUIENTES ACTIVIDADES: 1. BRINDAR APOYO A LA DIRECCIÓN DEL PROYECTO EN LAS FUNCIONES TÉCNICAS Y AMBIENTALES. 2. APOYAR A LA GESTIÓN TÉCNICA Y AMBIENTAL DEL PROYECTO PARA GARANTIZAR SU ÓPTIMO DESARROLLO Y CONSECUCIÓN. 3. ELABORAR LOS INFORMES REQUERIDOS PARA EL DESARROLLO DEL PROYECTO, DESDE LA PARTE TÉCNICA Y AMBIENTAL. 4. APOYAR EN LA CONSOLIDACIÓN Y REPORTE DE LOS INDICADORES RELACIONADOS CON EL PROYECTO.</t>
  </si>
  <si>
    <t>https://community.secop.gov.co/Public/Tendering/OpportunityDetail/Index?noticeUID=CO1.NTC.4147187&amp;isFromPublicArea=True&amp;isModal=False</t>
  </si>
  <si>
    <t>OPSP-VEX-0514-2023</t>
  </si>
  <si>
    <t>EDWIN OVIDIO CORTES MORENO</t>
  </si>
  <si>
    <t>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</si>
  <si>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https://community.secop.gov.co/Public/Tendering/OpportunityDetail/Index?noticeUID=CO1.NTC.4216104&amp;isFromPublicArea=True&amp;isModal=False</t>
  </si>
  <si>
    <t>OPSP-VEX-0529-2023</t>
  </si>
  <si>
    <t>BERNARDA ELENA ESMERAL MUÑOZ</t>
  </si>
  <si>
    <t>PRESTAR SERVICIOS PROFESIONALES PARA EL DESARROLLO DE LAS SIGUIENTES ACTIVIDADES: 1. APOYAR EN LA PREPARACIÓN DEL PROTOCOLO PARA EL DESARROLLO DE LAS ACTIVIDADES Y EVENTOS ACADÉMICOS, SOCIALES Y CULTURALES QUE REALICEN DE MANERA VIRTUAL O PRESENCIAL DE LA DIRECCIÓN DE PROYECCIÓN CULTURAL. 2. BRINDAR APOYO CON LA ARTICULACIÓN ENTRE LA DIRECCIÓN DE PROYECCIÓN CULTURAL Y VICERRECTORÍA DE EXTENSIÓN Y PROYECCIÓN SOCIAL, PARA EL CUBRIMIENTO DE MEDIOS Y LA GENERACIÓN DE NOTICIAS DE LAS ACTIVIDADES QUE EN ELLA SE DESARROLLEN DE MANERA VIRTUAL Y/O PRESENCIAL. 3. COADYUVAR EN EL DESARROLLO DE LAS ACTIVIDADES ADMINISTRATIVAS, REGISTRO DE INFORMACIÓN EN LAS MATRICES DE SEGUIMIENTO Y CON CONSOLIDACIÓN DE INFORMACIÓN ADSCRITAS A LA DIRECCIÓN DE PROYECCIÓN CULTURAL. 4. ORGANIZAR Y CONSOLIDAR LOS INSUMOS REQUERIDOS PARA LA ELABORACIÓN DEL REPORTE DE LOS INDICADORES DE PLAN DE ACCIÓN LA VICERRECTORÍA DE EXTENSIÓN Y PROYECCIÓN SOCIAL, ADSCRITOS A LA DIRECCIÓN DE PROYECCIÓN CULTURAL.</t>
  </si>
  <si>
    <t>https://community.secop.gov.co/Public/Tendering/OpportunityDetail/Index?noticeUID=CO1.NTC.4243050&amp;isFromPublicArea=True&amp;isModal=False</t>
  </si>
  <si>
    <t>OPSP-VEX-0537-2023</t>
  </si>
  <si>
    <t>GINA PAYARES BERNIER</t>
  </si>
  <si>
    <t>PRESTAR SERVICIOS PROFESIONALES PARA EL DESARROLLO DE LAS SIGUIENTES ACTIVIDADES: 1. ACTUALIZAR PERIÓDICAMENTE LAS REDES ADSCRITAS A LA VICERRECTORÍA DE EXTENSIÓN Y PROYECCIÓN SOCIAL, A TRAVÉS DE LA CREACIÓN, REVISIÓN Y ACTUALIZACIÓN DE CONTENIDO PARA LAS DIFERENTES PLATAFORMAS. 2. REALIZAR LA GESTIÓN Y ACTUALIZACIÓN DE NOTICIAS DE LA PÁGINA WEB DE LA VICERRECTORÍA DE EXTENSIÓN Y PROYECCIÓN SOCIAL. 3. REALIZAR LA COBERTURA DE LOS EVENTOS ADSCRITOS A LA VICERRECTORÍA DE EXTENSIÓN Y PROYECCIÓN SOCIAL PARA LA ORGANIZACIÓN Y PROYECCIÓN DE LA INFORMACIÓN REQUERIDA PARA REDES</t>
  </si>
  <si>
    <t>https://community.secop.gov.co/Public/Tendering/OpportunityDetail/Index?noticeUID=CO1.NTC.4249841&amp;isFromPublicArea=True&amp;isModal=False</t>
  </si>
  <si>
    <t>OPSP-VEX-0532-2023</t>
  </si>
  <si>
    <t>ANGELICA MARIA BARRANCO PEREZ</t>
  </si>
  <si>
    <t>PRESTAR SERVICIOS PROFESIONALES EN EL MARCO DEL CONTRATO INTERADMINISTRATIVO N° 586 DEL 2022 CELEBRADO ENTRE LA CORPORACIÓN AUTÓNOMA REGIONAL DEL MAGDALENA – CORPAMAG Y UNIVERSIDAD DEL MAGDALENA PARA EL DESARROLLO DE LAS SIGUIENTES ACTIVIDADES: 1.CONSTRUIR LA METODOLOGÍA A SER IMPLEMENTADA PARA LLEVAR A CABO LOS ENCUENTROS CON LAS COMUNIDADES INDÍGENAS Y NEGRITUDES QUE HACEN PARTE DEL PROYECTO OBJETO DE LA CONSULTORÍA. 2. REALIZAR LAS ACTIVIDADES LOGÍSTICAS REQUERIDAS PARA LOS ENCUENTROS CON LAS COMUNIDADES 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EL CUMPLIMIENTO DE LOS REQUERIMIENTOS SOCIO AMBIENTALES (SOCIALIZAR ANTE LA COMUNIDAD Y AUTORIDADES LOCALES, Y FACILITAR EL CONTROL CIUDADANO). 6. EFECTUAR SEGUIMIENTO SI SE DIERA EL CASO DE RESARCIMIENTO DE LOS DAÑOS Y PERJUICIOS QUE DURANTE EL DESARROLLO DE LA OBRA SE PUEDAN GENERAR A LA COMUNIDAD, EVENTOS QUE DEBEN SER REPORTADOS EN EL PROGRAMA SOCIO AMBIENTAL DE LA OBRA, CON LA ACEPTACIÓN DE(L)(LOS) AFECTADO(S). 7. CHEQUEAR EL CUMPLIMIENTO A TODAS LAS NORMAS LEGALES Y TÉCNICAS SOBRE SEGURIDAD INDUSTRIAL, PREVENCIÓN Y CONTROL DE ACCIDENTES, ASÍ COMO LAS INSTRUCCIONES Y RECOMENDACIONES QUE SE IMPARTAN AL RESPECTO.</t>
  </si>
  <si>
    <t>https://community.secop.gov.co/Public/Tendering/OpportunityDetail/Index?noticeUID=CO1.NTC.4249885&amp;isFromPublicArea=True&amp;isModal=False</t>
  </si>
  <si>
    <t>OPSP-VEX-0533-2023</t>
  </si>
  <si>
    <t>CLAUDIA PATRICIA RODRÍGUEZ GALINDO</t>
  </si>
  <si>
    <t>PRESTAR SERVICIOS PROFESIONALES EN EL MARCO DEL CONTRATO INTERADMINISTRATIVO N° 586 DEL 2022 CELEBRADO ENTRE LA CORPORACIÓN AUTÓNOMA REGIONAL DEL MAGDALENA – CORPAMAG Y UNIVERSIDAD DEL MAGDALENA PARA EL DESARROLLO DE LAS SIGUIENTES ACTIVIDADES: 1.ELABORAR LOS INFORMES TÉCNICOS PARA EL PAGO DE AVANCES DEL PROYECTO, ANTE CORPAMAG. 2. REVISAR Y HACER SEGUIMIENTO PERMANENTE AL CRONOGRAMA DE EJECUCIÓN DEL PROYECTO, ATENDIENDO LAS INSTRUCCIONES DEL DIRECTOR DEL PROYECTO. 3. ELABORAR LOS DIFERENTES INFORMES Y / O REPORTES EN LA PARTE TÉCNICA, QUE LE SEAN ASIGNADOS. 4. ACTUALIZAR DE MANERA CONSTANTE LOS DOCUMENTOS CONTRACTUALES EN LOS ARCHIVOS FÍSICOS Y VIRTUALES, EN LA OFICINA DE VICERRECTORÍA DE EXTENSIÓN, O DONDE SE INDIQUE POR EL DIRECTOR DEL PROYECTO. 5. ORGANIZAR Y ACTUALIZAR LA INFORMACIÓN QUE SE GENEREN, PRODUCTO DE LAS ACTIVIDADES DE LA CONSULTORÍA, DE ACUERDO CON LAS NORMAS DE GESTIÓN DOCUMENTAL ESTABLECIDAS POR LA UNIVERSIDAD. 6. ELABORAR LOS DIFERENTES INFORMES DE AVANCES QUE SEAN SOLICITADOS POR LA SUPERVISIÓN DEL CONTRATO (CORPAMAG). 7. RECIBIR LOS SOPORTES ADMINISTRATIVOS, COMO ACTAS, MODIFICACIONES, O PRORROGAS QUE SE GENEREN DENTRO DE LA CONSULTORÍA. 8.REVISAR LOS SOPORTES DE ACTOS ADMINISTRATIVOS QUE SE GENEREN DURANTE LA CONSULTORÍA. 9. ATENDER TELEFÓNICA O POR CORREO ELECTRÓNICO DE LAS SOLICITUDES QUE SE GENEREN POR PARTE DE LAS COMUNIDADES INDÍGENAS, NEGRITUDES O DEL SUPERVISOR DEL CONTRATO (CORPAMAG). 10. REGISTRAR EN LA PLATAFORMA SECOP II DE LOS DOCUMENTOS QUE SE GENEREN DURANTE LA EJECUCIÓN DEL CONTRATO. 11. ACTUALIZAR CONSTANTEMENTE LA INFORMACIÓN CORRESPONDIENTE AL AVANCE FÍSICO DEL CONTRATO DE CONSULTORÍA Y REGISTRAR SEMANALMENTE LOS DATOS EN EL FORMATO DISPUESTO PARA ELLO. 12. APOYAR EN LA SUSCRIPCIÓN DE LAS ACTAS DE RECIBOS PARCIALES. 13. APOYAR LOS PROCESOS Y ACTIVIDADES PARA LA GESTIÓN ADMINISTRATIVA DEL PROYECTO, QUE PUDIERAN IMPLICAR INTERACCIÓN CON EL SUPERVISOR (CORPAMAG).</t>
  </si>
  <si>
    <t>https://community.secop.gov.co/Public/Tendering/OpportunityDetail/Index?noticeUID=CO1.NTC.4250236&amp;isFromPublicArea=True&amp;isModal=False</t>
  </si>
  <si>
    <t>OPSP-VEX-0534-2023</t>
  </si>
  <si>
    <t>PRESTAR SERVICIOS PROFESIONALES EN EL MARCO DEL CONTRATO INTERADMINISTRATIVO N° 586 DEL 2022 CELEBRADO ENTRE LA CORPORACIÓN AUTÓNOMA REGIONAL DEL MAGDALENA – CORPAMAG Y UNIVERSIDAD DEL MAGDALENA PARA EL DESARROLLO DE LAS SIGUIENTES ACTIVIDADES: 1.TOMAR DATOS FENOLÓGICOS (FLORACIÓN, FRUCTIFICACIÓN, PRESENCIA DE YEMAS, CAÍDA DE LAS HOJAS Y DISPERSIÓN) PARA LAS ÁREAS DE ESTUDIO. 2.REVISAR Y DETERMINAR LAS ESPECIES OBJETO DE ESTUDIO EN LAS ÁREAS ESTABLECIDAS POR EL COORDINADOR DEL PROYECTO. 3.EFECTUAR LOS FORMATOS DE CAMPO PARA LA TOMA DE LOS DATOS. 4.ELABORAR LOS INFORMES DE DATOS FENOLÓGICOS Y PRESENTARLOS AL BIÓLOGO ESPECIALISTA. 5.REALIZAR LA VERIFICACIÓN DEL CUMPLIMIENTO DE LA LEGISLACIÓN AMBIENTAL VIGENTE, ESPECIALMENTE AQUELLA QUE DE MANERA DIRECTA IMPACTE EN EL PROYECTO. 6.PRODUCIR LOS REPORTES DE NO CONFORMIDAD SOBRE LOS ASPECTOS AMBIENTALES QUE AMERITEN MEDIDAS CORRECTIVAS Y DE LECCIONES APRENDIDAS DURANTE LA EJECUCIÓN DEL PROYECTO. 7.LLEVAR A CABO LA ELABORACIÓN TODOS LOS REPORTES E INFORMES, CON LA PERIODICIDAD QUE AL RESPECTO ESTABLEZCA EL COORDINADOR DEL PROYECTO</t>
  </si>
  <si>
    <t>https://community.secop.gov.co/Public/Tendering/OpportunityDetail/Index?noticeUID=CO1.NTC.4249948&amp;isFromPublicArea=True&amp;isModal=False</t>
  </si>
  <si>
    <t>OPSP-VEX-0535-2023</t>
  </si>
  <si>
    <t>GERDA PATRICIA BARROS NIETO</t>
  </si>
  <si>
    <t>PRESTAR SERVICIOS PROFESIONALES EN EL MARCO DEL CONTRATO INTERADMINISTRATIVO N° 586 DEL 2022 CELEBRADO ENTRE LA CORPORACIÓN AUTÓNOMA REGIONAL DEL MAGDALENA – CORPAMAG Y UNIVERSIDAD DEL MAGDALENA PARA EL DESARROLLO DE LAS SIGUIENTES ACTIVIDADES: 1.ELABORAR EL INFORME MENSUAL DE EJECUCIÓN FINANCIERA, ENCAMINADO A GARANTIZAR EL CUMPLIMIENTO DE LAS ACTIVIDADES. 2.REALIZAR EL INFORME CONSOLIDADO DEL PRESUPUESTO DEL PROYECTO. INFORMANDO AL DIRECTOR DEL PROYECTO ALERTAS TEMPRANAS EN CASO DE PRESENTARSE. 3.ELABORAR LOS INFORMES FINANCIEROS PARA EL PAGO DE AVANCES DEL PROYECTO, ANTE CORPAMAG. 4.REALIZAR SEGUIMIENTO FINANCIERO Y PRESUPUESTAL DEL PROYECTO. 5.ELABORAR Y HACER SEGUIMIENTO A TODO EL CICLO DE LOS TRAMITES DE EJECUCIÓN FINANCIERA DEL PROYECTO. 6.ANALIZAR Y CONSOLIDAR LA INFORMACIÓN FINANCIERA Y EN LA ELABORACIÓN DE INFORMES DE LOS GASTOS INCURRIDOS EN EL PROYECTO. 7.REVISAR LOS SOPORTES DE MOVIMIENTOS FINANCIEROS QUE SE GENEREN DURANTE LA CONSULTORÍA. 8.REVISAR Y ENVIAR AL ÁREA CONTABLE DE LA UNIVERSIDAD, LAS SOLICITUDES DE PAGOS PARCIALES QUE SE GENERARAN DE ACUERDO AL AVANCE DEL PROYECTO. 9.ACTUALIZAR CONSTANTEMENTE LA INFORMACIÓN CORRESPONDIENTE AL AVANCE FINANCIERO DEL CONTRATO DE CONSULTORÍA Y REGISTRAR SEMANALMENTE LOS DATOS EN EL FORMATO DISPUESTO PARA ELLO. 10.REGISTRAR LAS OPERACIONES EFECTUADAS CON LOS RECURSOS DEL PROYECTO. 11.REVISAR LAS SOLICITUDES DE PAGO FORMULADAS POR LOS MIEMBROS DEL EQUIPO Y LLEVAR UN REGISTRO CRONOLÓGICO DE LOS PAGOS Y AJUSTES ECONÓMICOS DEL CONTRATO. 12. GESTIONAR ANTE LAS RESPECTIVAS DEPENDENCIAS DE CORPAMAG, LOS PAGOS QUE DEBAN EFECTUARSE A FAVOR DE LA CONSULTORÍA. 13.REALIZAR EL BALANCE ECONÓMICO DEL CONTRATO, PARA LA LIQUIDACIÓN DEL MISMO</t>
  </si>
  <si>
    <t>https://community.secop.gov.co/Public/Tendering/OpportunityDetail/Index?noticeUID=CO1.NTC.4250211&amp;isFromPublicArea=True&amp;isModal=False</t>
  </si>
  <si>
    <t>OPSP-VEX-0536-2023</t>
  </si>
  <si>
    <t>JEINER DE JESUS CASTELLANOS BARLIZA</t>
  </si>
  <si>
    <t>PRESTAR SERVICIOS PROFESIONALES EN EL MARCO DEL CONTRATO INTERADMINISTRATIVO N° 586 DEL 2022 CELEBRADO ENTRE LA CORPORACIÓN AUTÓNOMA REGIONAL DEL MAGDALENA – CORPAMAG Y UNIVERSIDAD DEL MAGDALENA PARA EL DESARROLLO DE LAS SIGUIENTES ACTIVIDADES: 1. GENERAR Y PRESENTAR LOS INFORMES TÉCNICOS Y ADMINISTRATIVOS DEL PROYECTO REQUERIDOS CON LA FINALIDAD DE VERIFICAR EL MONITOREO Y AVANCE DEL CONTRATO INTERADMINISTRATIVO. 2. COORDINAR Y GARANTIZAR EL CUMPLIMIENTO DE LAS ACTIVIDADES EN CAMPO, ASÍ COMO APOYAR EN LA REALIZACIÓN Y PROCESAMIENTOS DEL ANÁLISIS DE LOS DATOS ENTREGADOS POR EL TALENTO HUMANO DE LA CONSULTORÍA. 3. ACOMPAÑAR LA IMPLEMENTACIÓN DE LAS ACCIONES PROGRAMADAS PARA LA OBTENCIÓN DE LOS INSUMOS TÉCNICOS GENERADOS A PARTIR DEL MONITOREO DE LOS SITIOS REFORESTADOS. 4. REALIZAR REVISIÓN, CONSOLIDACIÓN Y SEGUIMIENTO DE LOS INFORMES TÉCNICO Y ADMINISTRATIVOS, GENERADOS POR EL TALENTO HUMANO DE LA CONSULTORÍA, PARA PRESENTACIÓN ANTE EL DIRECTOR DEL PROYECTO. 5. BRINDAR SOPORTE TÉCNICO Y CIENTÍFICO DURANTE EL DESARROLLO DE LAS ACCIONES IMPLEMENTADAS PARA EL CUMPLIMIENTO DE LAS ACTIVIDADES PROPUESTAS Y DE LAS DEMÁS COMPROMETIDAS EN EL DESARROLLO DEL PROYECTO. 6. REGISTRAR LOS PAGOS DE FORMA CRONOLÓGICA DE LOS DESEMBOLSOS, AJUSTES Y DEDUCCIONES REALIZADOS POR CORPAMAG, Y APOYAR EN EL CONTROL DE LA EJECUCIÓN PRESUPUESTAL DEL PROYECTO. 7. APOYAR AL DIRECTOR DEL PROYECTO EN LOS TRÁMITES ANTE LA RESPECTIVA SUBDIRECCIÓN, OFICINA SECCIONAL O DEPENDENCIA LAS SOLICITUDES DE MODIFICACIÓN, ADICIÓN O PRÓRROGA DEL CONTRATO. 8. VERIFICAR EL CUMPLIMIENTO DEL PAGO DE APORTES PARAFISCALES Y DE SEGURIDAD SOCIAL DEL TALENTO HUMANO DE LA CONSULTORÍA. 9. APOYAR EN LA ELABORACIÓN Y EDICIÓN DEL INFORME FINAL DEL CONVENIO. LAS DEMÁS ACTIVIDADES QUE SE DERIVEN DE LA EJECUCIÓN DE LA ORDEN Y QUE TENGAN RELACIÓN DIRECTA CON EL OBJETO CONTRACTUA</t>
  </si>
  <si>
    <t>https://community.secop.gov.co/Public/Tendering/ContractNoticePhases/View?PPI=CO1.PPI.24145182&amp;isFromPublicArea=True&amp;isModal=False</t>
  </si>
  <si>
    <t>OPSP-VEX-0538-2023</t>
  </si>
  <si>
    <t>PRESTAR SERVICIOS PROFESIONALES EN EL MARCO DEL CONTRATO INTERADMINISTRATIVO N° 586 DEL 2022 CELEBRADO ENTRE LA CORPORACIÓN AUTÓNOMA REGIONAL DEL MAGDALENA – CORPAMAG Y UNIVERSIDAD DEL MAGDALENA PARA EL DESARROLLO DE LAS SIGUIENTES ACTIVIDADES: 1. CONSTRUIR LA METODOLOGÍA A SER IMPLEMENTADA PARALLEVAR A CABO LOS ENCUENTROS CON LAS COMUNIDADES INDÍGENAS Y NEGRITUDES QUE HACEN PARTE DEL PROYECTO OBJETO DE LA CONSULTORÍA. 2. REALIZAR LAS ACTIVIDADES LOGÍSTICAS REQUERIDAS PARA LOS ENCUENTROS CON LAS COMUNIDADESQUE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DEL CUMPLIMIENTO DE LOS REQUERIMIENTOS SOCIO AMBIENTALES (SOCIALIZAR ANTE LA COMUNIDAD Y AUTORIDADES LOCALES, Y FACILITAR EL CONTROL CIUDADANO). 6. HACER SEGUIMIENTO SI SE DIERA EL CASO DE RESARCIMIENTO DE LOS DAÑOS Y PERJUICIOS QUE DURANTE EL DESARROLLO DE LA OBRA SE PUEDAN GENERAR A LA COMUNIDAD, EVENTOS QUE DEBEN SER REPORTADOS EN EL PROGRAMA SOCIO AMBIENTAL DE LA OBRA, CON LA ACEPTACIÓN DE(L)(LOS) AFECTADO(S). 7. CONSTATAR EL CUMPLIMIENTO A TODAS LAS NORMAS LEGALES Y TÉCNICAS SOBRE SEGURIDAD INDUSTRIAL, PREVENCIÓN Y CONTROL DE ACCIDENTES, ASÍ COMO LAS INSTRUCCIONES Y RECOMENDACIONES QUE SE IMPARTAN AL RESPECTO. 8. CONSTRUIR LOS DOCUMENTOS DE PERCEPCIÓN SOBRE LAS EXPECTATIVAS DEL PROYECTO. (SE REALIZARÁ MEDIANTE APLICACIÓN DE ENTREVISTAS CON INDÍGENAS Y AFROS DE LAS COMUNIDADES BENEFICIADAS POR EL PROYECTO). 9. REVISAR LAS FUENTES SECUNDARIAS, ADEMÁS DE OBSERVACIÓN EN CAMPO DE LAS ACTIVIDADES RELACIONADAS AL PROYECTO.</t>
  </si>
  <si>
    <t>https://community.secop.gov.co/Public/Tendering/OpportunityDetail/Index?noticeUID=CO1.NTC.4249687&amp;isFromPublicArea=True&amp;isModal=False</t>
  </si>
  <si>
    <t>OPSP-VEX-0539-2023</t>
  </si>
  <si>
    <t>ROSA MARY SILVA CUADRADO</t>
  </si>
  <si>
    <t>PRESTAR SERVICIOS PROFESIONALES EN EL MARCO DEL CONTRATO INTERADMINISTRATIVO N° 586 DEL 2022 CELEBRADO ENTRE LA CORPORACIÓN AUTÓNOMA REGIONAL DEL MAGDALENA – CORPAMAG Y UNIVERSIDAD DEL MAGDALENA PARA EL DESARROLLO DE LAS SIGUIENTES ACTIVIDADES: 1.TOMAR DATOS BIOMÉTRICOS (DAP - CAP - ALTURA) PARA LAS ÁREAS DE ESTUDIO. 2. REVISAR Y DETERMINAR LOS PARÁMETROS ESTRUCTURALES DE LA VEGETACIÓN OBJETO DE ESTUDIO EN LAS ÁREAS ESTABLECIDAS POR EL COORDINADOR DEL PROYECTO. 3.ELABORAR LOS FORMATOS DE CAMPO PARA LA TOMA DE LOS DATOS. 4.VERIFICAR EL CUMPLIMIENTO DE LA LEGISLACIÓN AMBIENTAL VIGENTE, ESPECIALMENTE AQUELLA QUE DE MANERA DIRECTA IMPACTE EL PROYECTO 5. REALIZAR LOS REPORTES DE NO CONFORMIDAD SOBRE LOS ASPECTOS AMBIENTALES QUE AMERITEN MEDIDAS CORRECTIVAS Y DE LECCIONES APRENDIDAS DURANTE LA EJECUCIÓN DEL PROYECTO. 6.EFECTUAR TODOS LOS REPORTES E INFORMES, CON LA PERIODICIDAD QUE AL RESPECTO ESTABLEZCA EL COORDINADOR DEL PROYECTO. P</t>
  </si>
  <si>
    <t>https://community.secop.gov.co/Public/Tendering/OpportunityDetail/Index?noticeUID=CO1.NTC.4249845&amp;isFromPublicArea=True&amp;isModal=False</t>
  </si>
  <si>
    <t>OPSP-VEX-0542-2023</t>
  </si>
  <si>
    <t>JULITZA MARCELA FUENTES POLO</t>
  </si>
  <si>
    <t>PRESTAR SERVICIOS PROFESIONALES EN EL MARCO DEL CONTRATO INTERADMINISTRATIVO N° 586 DEL 2022 CELEBRADO ENTRE LA CORPORACIÓN AUTÓNOMA REGIONAL DEL MAGDALENA – CORPAMAG Y UNIVERSIDAD DEL MAGDALENA PARA EL DESARROLLO DE LAS SIGUIENTES ACTIVIDADES: 1.REALIZAR EVALUACIÓN FITOSANITARIA EN ECOSISTEMAS AGRÍCOLAS Y APOYAR EL MUESTREO FITOSANITARIO PROGRAMADOS EN PARCELAS DE LAS COMUNIDADES SELECCIONADAS EN EL DEPARTAMENTO, INCLUYENDO EL APOYO EN LOS PROCESOS DE EMBALAJE PARA ENVÍO DE MUESTRAS A LABORATORIOS DE DIAGNÓSTICO FITOSANITARIO Y ANÁLISIS DE LOS RESULTADOS DE LOS MISMOS. 2. COORDINAR CON LOS PROFESIONALES DEL EQUIPO EL DESARROLLO DE LAS EVALUACIONES FITOSANITARIAS. 3. ELABORAR LOS INFORMES CONSOLIDADOS SOBRE LAS ACTIVIDADES Y HALLAZGOS DE CAMPO. 4. APOYAR EN LA CONSTRUCCIÓN E IMPLEMENTACIÓN DEL DISEÑO DE MUESTREO. 5. MANTENER ACTUALIZADO EL DIARIO O BITÁCORA DE LA ACTIVIDAD DE MONITOREO DEL ESTADO FITOSANITARIO DE LAS ESPECIES FORESTALES, EN EL CUAL SE CONSIGNAN TODAS LAS INSTRUCCIONES, OBSERVACIONES, EJECUCIONES Y DETERMINACIONES RELACIONADAS CON EL DESARROLLO DEL PROYECTO. ESTE DOCUMENTO DEBERÁ PERMANECER DISPONIBLE Y REGISTRARÁ TODAS LAS ACTIVIDADES REALIZADAS DESDE EL ACTA DE INICIO. 6. INFORMAR SOBRE EL AVANCE TÉCNICO DEL PROYECTO AL DIRECTOR DE LA CONSULTORÍA. 7. ELABORAR TODOS LOS REPORTES E INFORMES, CON LA PERIODICIDAD QUE AL RESPECTO ESTABLEZCA EL DIRECTOR DE LA CONSULTORÍA. 8. ADELANTAR TODAS LAS ACTIVIDADES QUE ESTÉN A SU ALCANCE Y QUE SEAN NECESARIAS PARA EL DESARROLLO DEL OBJETO CONTRACTUAL DEL CONTRATO DE CONSULTORÍA. 9. CONTAR INDIVIDUOS VIVOS Y MUERTOS PARA CONSTRUIR PORCENTAJE DE MORTANDAD.</t>
  </si>
  <si>
    <t>https://community.secop.gov.co/Public/Tendering/OpportunityDetail/Index?noticeUID=CO1.NTC.4305501&amp;isFromPublicArea=True&amp;isModal=False</t>
  </si>
  <si>
    <t>OAG-VEX-0558-2023</t>
  </si>
  <si>
    <t>ELSA PATRICIA LOPEZ MANJARREZ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</si>
  <si>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</si>
  <si>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https://community.secop.gov.co/Public/Tendering/OpportunityDetail/Index?noticeUID=CO1.NTC.4345550&amp;isFromPublicArea=True&amp;isModal=False</t>
  </si>
  <si>
    <t>OAG-VEX-0559-2023</t>
  </si>
  <si>
    <t>STEFFY MARGARITA HERNANDEZ ORTIZ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</si>
  <si>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</si>
  <si>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https://community.secop.gov.co/Public/Tendering/OpportunityDetail/Index?noticeUID=CO1.NTC.4345969&amp;isFromPublicArea=True&amp;isModal=False</t>
  </si>
  <si>
    <t>OPSP-VEX-0553-2023</t>
  </si>
  <si>
    <t>ORLANDO RAFAEL SOFFIA GUERRA</t>
  </si>
  <si>
    <t>PRESTAR SERVICIOS PROFESIONALES EL DESARROLLO DE LAS SIGUIENTES ACTIVIDADES: 1. ORGANIZAR LA LOGÍSTICA PARA EL DESARROLLO DE LAS JORNADAS DE ATENCIÓN INTEGRAL LIDERADAS POR LA VICERRECTORÍA DE EXTENSIÓN Y PROYECCIÓN SOCIAL EN ARTICULACIÓN CON LAS FACULTADES. 2. ELABORAR INFORMES SOBRE EL DESARROLLO E IMPACTO DE LAS JORNADAS DE ATENCIÓN INTEGRAL Y PRESENTARLOS ANTE LA VICERRECTORÍA DE EXTENSIÓN Y PROYECCIÓN SOCIAL. 3. APOYAR EN EL REPORTE A LA VICERRECTORÍA DE LOS RESULTADOS DE GESTIÓN ANTE LAS ALCALDÍAS QUE CONLLEVEN A LA SUSCRIPCIÓN Y DESARROLLO DE CONVENIOS EN EL MARCO DEL PROGRAMA TALENTO MAGDALENA. 4. APOYAR EN LA ELABORACIÓN DEL INFORME CON RESULTADOS DEL ACOMPAÑAMIENTO Y SEGUIMIENTO A LA GESTIÓN DE LAS ALCALDÍAS ANTE LOS CONCEJOS MUNICIPALES PARA GARANTIZAR LA CONTINUIDAD DEL PROGRAMA TALENTO MAGDALENA PARA LOS ESTUDIANTES BENEFICIARIOS. 5.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6. APOYAR LA GESTIÓN Y ELABORACIÓN DE INFORMES EN EL MARCO DE LAS ACTIVIDADES DE LA VICERRECTORÍA DE EXTENSIÓN Y PROYECCIÓN SOCIAL.</t>
  </si>
  <si>
    <t>https://community.secop.gov.co/Public/Tendering/OpportunityDetail/Index?noticeUID=CO1.NTC.4322945&amp;isFromPublicArea=True&amp;isModal=False</t>
  </si>
  <si>
    <t>OPSP-VEX-0401-2023</t>
  </si>
  <si>
    <t>PRESTAR SERVICIOS PROFESIONALES EL DESARROLLO DE LAS SIGUIENTES ACTIVIDADES: 1. ELABORAR INFORME RESULTADO DE LA ARTICULACIÓN DEL VOLUNTARIADO UNIMAGDALENA CON LOS PROYECTOS INTEGRADORES DE INTERVENCIÓN EN COMUNIDADES. 2.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3. COORDINAR ACTIVIDADES DE ZONA DE ORIENTACIÓN UNIVERSITARIA (ZOU UNIMAGDALENA). 4. REPORTAR A LA VICERRECTORA LOS RESULTADOS DE GESTIÓN ANTE LAS ALCALDÍAS QUE CONLLEVEN A LA SUSCRIPCIÓN Y DESARROLLO DE CONVENIOS EN EL MARCO DEL PROGRAMA TALENTO MAGDALENA. 5. ELABORAR EL INFORME CON RESULTADOS DEL ACOMPAÑAMIENTO Y SEGUIMIENTO A LA GESTIÓN DE LAS ALCALDÍAS ANTE LOS CONCEJOS MUNICIPALES PARA GARANTIZAR LA CONTINUIDAD DEL PROGRAMA TALENTO MAGDALENA PARA LOS ESTUDIANTES BENEFICIARIOS</t>
  </si>
  <si>
    <t>https://community.secop.gov.co/Public/Tendering/OpportunityDetail/Index?noticeUID=CO1.NTC.4034112&amp;isFromPublicArea=True&amp;isModal=False</t>
  </si>
  <si>
    <t>OPS-VEX-0610-2023</t>
  </si>
  <si>
    <t>900484135-7</t>
  </si>
  <si>
    <t>ASOCIACION DE BIOLOGOS EGRESADOS DE LA UNIMAGDALENA</t>
  </si>
  <si>
    <t>PRESTAR SERVICIO EN EL CONTRATO INTERADMINISTRATIVO NO 586 DEL 2022 CELEBRADO ENTRE LA CORPORACIÓN AUTÓNOMA REGIONAL DEL MAGDALENA – CORPAMAG Y LA UNIVERSIDAD DEL MAGDALENA PARA IMPLEMENTAR ACCIONES TÉCNICAS TENDIENTES A MEJORAR Y GARANTIZAR LA SANIDAD VEGETAL Y FITOSANITARIA DE LAS ESPECIES SEMBRADAS EN LAS DIECISÉIS (16) HECTÁREAS DE LAS TRES (3) COMUNIDADES INDÍGENAS (KIUBULDO MUNKUAWUNAKA, GUNMAKU Y KUTUNSAMA) Y EL CONSEJO COMUNITARIO JACOBO PÉREZ ESCOBAREN EN EL MARCO DEL CONVENIO INTERADMINISTRATIVO NO. 861 SUSCRITO ENTRE EL MINISTERIO DE AMBIENTE Y CORPAMAG. LA PROPUESTA HACE PARTE INTEGRAL DE LA PRESENTE ORDEN.</t>
  </si>
  <si>
    <t>https://community.secop.gov.co/Public/Tendering/OpportunityDetail/Index?noticeUID=CO1.NTC.4480986&amp;isFromPublicArea=True&amp;isModal=False</t>
  </si>
  <si>
    <t>OPS-VEX-0615-2023</t>
  </si>
  <si>
    <t>RAUL JOSE TORRES IZQUIERDO</t>
  </si>
  <si>
    <t>PRESTAR LOS SERVICIOS DE TRANSPORTE TERRESTRE EN VEHÍCULOS TALES COMO: CAMIONETAS Y CAMPEROS DE DOBLE TRACCIÓN, NECESARIOS PARA EL TRASLADO DEL PERSONAL ENCARGADO DE LA REALIZACIÓN DE VISITAS DE RECONOCIMIENTO DE CAMPO Y CAMPAÑAS DE MONITOREO PARA EL LEVANTAMIENTO DE INFORMACIÓN DE LAS ZONAS DE INTERÉS Y OBJETO PRINCIPAL EL MARCO DEL CONTRATO INTERADMINISTRATIVO NO 586 DEL 2022 CELEBRADO ENTRE LA CORPORACIÓN AUTÓNOMA REGIONAL DEL MAGDALENA – CORPAMAG Y LA UNIVERSIDAD DEL MAGDALENA. LA PROPUESTA HACE PARTE INTEGRAL DE LA PRESENTE ORDEN. PARÁGRAFO: EL CONTRATISTA DEBERÁ GARANTIZAR EL TRANSPORTE DEL PERSONAL EN EL CASO DE AVERIARSE LOS VEHÍCULOS ENCARGADOS DEL TRANPORTES, REMPLAZANDOLO POR OTRO VEHÍCULO.</t>
  </si>
  <si>
    <t>https://community.secop.gov.co/Public/Tendering/OpportunityDetail/Index?noticeUID=CO1.NTC.4481969&amp;isFromPublicArea=True&amp;isModal=False</t>
  </si>
  <si>
    <t>OPSP-VEX-0620-2023</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</si>
  <si>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SEGUIMIENTO Y ACTUALIZACIÓN DE LA MATRIZ DE CONTRATOS Y CONSOLIDACIÓN DE SOPORTES EN EL REPOSITORIO DE INFORMACIÓN DE LA VICERRECTORÍA DE EXTENSIÓN Y PROYECCIÓN SOCIAL.</t>
  </si>
  <si>
    <t>https://community.secop.gov.co/Public/Tendering/OpportunityDetail/Index?noticeUID=CO1.NTC.4516477&amp;isFromPublicArea=True&amp;isModal=False</t>
  </si>
  <si>
    <t>OPSP-VEX-0630-2023</t>
  </si>
  <si>
    <t>GUSTAVO ADOLFO MANJARRES PINZON</t>
  </si>
  <si>
    <t>PRESTAR SERVICIOS PROFESIONALES EN EL MARCO DEL CONTRATO INTERADMINISTRATIVO N° 586 DEL 2022 CELEBRADO ENTRE LA CORPORACIÓN AUTÓNOMA REGIONAL DEL MAGDALENA – CORPAMAG Y UNIVERSIDAD DEL MAGDALENA PARA: 1. ANALIZAR LA COBERTURA VEGETAL A TRAVÉS DE HERRAMIENTAS SIG Y ALMACENAMIENTO DE DATOS GEOGRÁFICOS. 2.ELABORAR LOS FORMATOS DE CAMPO PARA LA TOMA DE LOS DATOS. 3.VERIFICAR EL CUMPLIMIENTO DE LA LEGISLACIÓN AMBIENTAL VIGENTE, ESPECIALMENTE AQUELLA QUE DE MANERA DIRECTA IMPACTE EN EL CONTRATO DE OBRA. 4.REALIZAR LA ELABORACIÓN DE LOS REPORTES DE NO CONFORMIDAD SOBRE LOS ASPECTOS AMBIENTALES QUE AMERITEN MEDIDAS CORRECTIVAS Y DE LECCIONES APRENDIDAS DURANTE LA EJECUCIÓN DEL PROYECTO. 5.ELABORAR TODOS LOS REPORTES E INFORMES CON LA PERIODICIDAD QUE AL RESPECTO ESTABLEZCA EL COORDINADOR DEL PROYECTO</t>
  </si>
  <si>
    <t>https://community.secop.gov.co/Public/Tendering/OpportunityDetail/Index?noticeUID=CO1.NTC.4545908&amp;isFromPublicArea=True&amp;isModal=False</t>
  </si>
  <si>
    <t>OPSP-VEX-0686-2023</t>
  </si>
  <si>
    <t>PRESTAR SERVICIOS PROFESIONALES EL DESARROLLO DE LAS SIGUIENTES ACTIVIDADES: 1. REALIZAR EL REGISTRO DE PROYECTOS Y CONVENIOS DE LA VICERRECTORÍA DE EXTENSIÓN Y PROYECCIÓN SOCIAL, EN LA HERRAMIENTA DESTINADA PARA TAL FIN. 2. REALIZAR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SEGUIMIENTO Y ACTUALIZACIÓN DE LA MATRIZ DE CONTRATOS Y CONSOLIDACIÓN DE SOPORTES EN EL REPOSITORIO DE INFORMACIÓN DE LA VICERRECTORÍA DE EXTENSIÓN Y PROYECCIÓN SOCIAL</t>
  </si>
  <si>
    <t>https://community.secop.gov.co/Public/Tendering/OpportunityDetail/Index?noticeUID=CO1.NTC.4712515&amp;isFromPublicArea=True&amp;isModal=False</t>
  </si>
  <si>
    <t>OPSP-VEX-0701-2023</t>
  </si>
  <si>
    <t>PRESTAR SERVICIOS PROFESIONALES EL DESARROLLO DE LAS SIGUIENTES ACTIVIDADES: 1. ELABORACIÓN DE LA PROPUESTA TÉCNICA Y FINANCIERA PARA LA PRESTACIÓN DEL SERVICIO DE EXTENSIÓN AGROPECUARIA EN LOS DEPARTAMENTOS DE LA GUAJIRA Y EL MAGDALENA PARA SER PRESENTADA EN LA AGENCIA DE DESARROLLO RURAL.</t>
  </si>
  <si>
    <t>https://community.secop.gov.co/Public/Tendering/OpportunityDetail/Index?noticeUID=CO1.NTC.4733176&amp;isFromPublicArea=True&amp;isModal=False</t>
  </si>
  <si>
    <t>OPSP-VEX-0705-2023</t>
  </si>
  <si>
    <t>https://community.secop.gov.co/Public/Tendering/OpportunityDetail/Index?noticeUID=CO1.NTC.4733566&amp;isFromPublicArea=True&amp;isModal=False</t>
  </si>
  <si>
    <t>OPSP-VEX-0720-2023</t>
  </si>
  <si>
    <t xml:space="preserve"> LINA MARIA ANDRADE GUTIERREZ</t>
  </si>
  <si>
    <t>PRESTAR SERVICIOS PROFESIONALES EN EL MARCO DEL CONTRATO INTERADMINISTRATIVO N° 586 DEL 2022 CELEBRADO ENTRE LA CORPORACIÓN AUTÓNOMA REGIONAL DEL MAGDALENA – CORPAMAG Y UNIVERSIDAD DEL MAGDALENA PARA: 1. ORGANIZAR REACTIVOS, EQUIPOS EN BUEN FUNCIONAMIENTO Y VIDRIERÍA PARA LA CORRECTA TOMA DE LAS MUESTRAS DE SUELO REQUERIDOS EN EL MARCO DEL CONTRATO 586 DE 2022. 2. RECEPCIÓN DE LAS MUESTRAS DE SUELOS TOMADAS EN LAS COMUNIDADES EN EL MARCO DEL PROYECTO. 3. CODIFICAR, SECAR Y REALIZAR TAMIZAJE DE LAS MUESTRAS DE SUELOS TOMADAS EN LAS COMUNIDADES 4. PREPARAR LAS SOLUCIONES DE LOS REACTIVOS ACORDE A LOS PROTOCOLOS ESTABLECIDOS. 5. PROCESAR LAS MUESTRAS DE SUELOS TOMADAS EN LAS COMUNIDADES6. REGISTRAR LOS RESULTADOS OBTENIDOS DE LOS PROTOCOLOS ACORDE A LOS PARÁMETROS A MEDIR. 7. REALIZAR INFORME DEL RESULTADO DE LAS MUESTRAS CON LOS MÉTODOS EMPLEADOS. 8.CONSOLIDAR Y DIGITALIZAR LOS FORMATOS DE CAMPO QUE SE GENEREN EN LOS MONITOREOS BIOLÓGICOS Y FITOSANITARIOS. 9. ELABORAR TODOS LOS REPORTES E INFORMES, CON LA PERIODICIDAD QUE AL RESPECTO ESTABLEZCA EL COORDINADOR DESIGNADO</t>
  </si>
  <si>
    <t>https://community.secop.gov.co/Public/Tendering/OpportunityDetail/Index?noticeUID=CO1.NTC.4758410&amp;isFromPublicArea=True&amp;isModal=False</t>
  </si>
  <si>
    <t>OAG-VEX-0721-2023</t>
  </si>
  <si>
    <t>ALDAIR DE JESUS CASTRILLO MIRANDA</t>
  </si>
  <si>
    <t>PRESTAR SERVICIOS DE APOYO A LA GESTIÓN EN EL MARCO DEL CONTRATO INTERADMINISTRATIVO N° 586 DEL 2022 CELEBRADO ENTRE LA CORPORACIÓN AUTÓNOMA REGIONAL DEL MAGDALENA – CORPAMAG Y UNIVERSIDAD DEL MAGDALENA PARA EL DESARROLLO DE LAS SIGUIENTES ACTIVIDADES:  1. 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</si>
  <si>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https://community.secop.gov.co/Public/Tendering/OpportunityDetail/Index?noticeUID=CO1.NTC.4758412&amp;isFromPublicArea=True&amp;isModal=False</t>
  </si>
  <si>
    <t>OPSP-VEX-0723-2023</t>
  </si>
  <si>
    <t>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t>
  </si>
  <si>
    <t>https://community.secop.gov.co/Public/Tendering/OpportunityDetail/Index?noticeUID=CO1.NTC.4760460&amp;isFromPublicArea=True&amp;isModal=False</t>
  </si>
  <si>
    <t>OPSP-VEX-0725-2023</t>
  </si>
  <si>
    <t xml:space="preserve"> RAUL JOSE SARABIA GOMEZ</t>
  </si>
  <si>
    <t>https://community.secop.gov.co/Public/Tendering/OpportunityDetail/Index?noticeUID=CO1.NTC.4760280&amp;isFromPublicArea=True&amp;isModal=False</t>
  </si>
  <si>
    <t>(C) Aplica Suspensión o Reinicio</t>
  </si>
  <si>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</si>
  <si>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</si>
  <si>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</si>
  <si>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</si>
  <si>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</si>
  <si>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WILBERTO GALVIS SANTOS</t>
  </si>
  <si>
    <t>https://community.secop.gov.co/Public/Tendering/ContractNoticePhases/View?PPI=CO1.PPI.22664488&amp;isFromPublicArea=True&amp;isModal=False</t>
  </si>
  <si>
    <t>CA-VAD-0002-2023</t>
  </si>
  <si>
    <t>CRISTINA AHUMADA MELENDEZ</t>
  </si>
  <si>
    <t>ARRENDAMIENTO DE UN LOTE UBICADO EN EL CERRO ZIRUMA, KILOMETRO 3 VIA QUE DE SANTA MARTA CONDUCA AL RODADER CON EL FIN DE INSTALAR UN TRANSMISOR Y LAS ANTENAS DE LA EMISORA DE LA UNIVERSIDAD DEL MAGDALENA.</t>
  </si>
  <si>
    <t>WILSON PACHECO PALACIO</t>
  </si>
  <si>
    <t>https://community.secop.gov.co/Public/Tendering/ContractNoticePhases/View?PPI=CO1.PPI.22969535&amp;isFromPublicArea=True&amp;isModal=False</t>
  </si>
  <si>
    <t>CDO-VAD-0003-2023</t>
  </si>
  <si>
    <t>CONSTRUSOCIAL S.A.S</t>
  </si>
  <si>
    <t>OBRAS CIVILES PARA LA CONSTRUCCION DEL AULA ABIERTA DE FISIOLOGiA DEL EJERCICIO. ACONDICIONAMIENTO FlSICO EN EL DEPORTE, GIMNASIA Y CALISTENIA. DE LA UNIVERSIDAD DEL MAGDALENA</t>
  </si>
  <si>
    <t>HECTOR VARGAS CARDONA</t>
  </si>
  <si>
    <t>https://community.secop.gov.co/Public/Tendering/ContractNoticePhases/View?PPI=CO1.PPI.23189803&amp;isFromPublicArea=True&amp;isModal=False</t>
  </si>
  <si>
    <t>CSM-VAD-0004-2023</t>
  </si>
  <si>
    <t>INTERLUD S.A.S</t>
  </si>
  <si>
    <t>SUMINISTRO Y LA ENTREGA DE MAXIMO DOS MIL CIENTO SESENTA (2160) ALMUERZOS Y DOS MIL CIENTO SESENTA (2160) REFRIGERIOS DIARIOS, DIRIGIDO A ESTUDIANTES QUE HAYAN SIDO SELECCIONADOS EN LA CONVOCATORIA DEL PROGRAMA DE ALMUERZOS Y REFRIGERIOS GRATUITOS DE UNIMAGDALENA CON CONDICION SOCIOECONOMICA CLASIFICADA COMO SIN ESTRATO YESTRATOS DEL 1 AL 3; YESTUDIANTES BENEFICIARIOS DEL PROGRAMA "TALENTO MAGDALENA"</t>
  </si>
  <si>
    <t>JESUS SUESCUN ARREGOCES</t>
  </si>
  <si>
    <t>https://community.secop.gov.co/Public/Tendering/ContractNoticePhases/View?PPI=CO1.PPI.23216922&amp;isFromPublicArea=True&amp;isModal=False</t>
  </si>
  <si>
    <t>CPS-VAD-0005-2023</t>
  </si>
  <si>
    <t>ALF TECHNOLOGIES SAS</t>
  </si>
  <si>
    <t>SERVICIO DE LICENCIAMIENTO DE LOS PRODUCTOS MICROSOFT PARA EQUIPOS DE COMPUTO Y SERVIDORES DE LA UNIVERSIDAD DEL MAGDALENA</t>
  </si>
  <si>
    <t>HILDEMAR QUINTANA</t>
  </si>
  <si>
    <t>https://community.secop.gov.co/Public/Tendering/ContractNoticePhases/View?PPI=CO1.PPI.23550982&amp;isFromPublicArea=True&amp;isModal=False</t>
  </si>
  <si>
    <t>CPS-VAD-0006-2023</t>
  </si>
  <si>
    <t>TRANSPORTE SENSACION SAS</t>
  </si>
  <si>
    <t>SERVICIOS DE TRANSPORTE TERRESTRES EN VEHICULOS TALES COMO BUSES, BUSETAS, VANS, CAMIONETAS O CAMPEROS, NECESARIOS PARA LA REALIZACION DE PRACTICAS ACADEMICAS Y DEMAS EVENTOS INSTITUCIONALES, DEPORTIVOS YCULTURALES QUE SE REALIZAN EN LA UNIVERSIDAD DEL MAGDALENA.</t>
  </si>
  <si>
    <t>2023/03/01</t>
  </si>
  <si>
    <t>2023/03/10</t>
  </si>
  <si>
    <t>https://community.secop.gov.co/Public/Tendering/ContractNoticePhases/View?PPI=CO1.PPI.23603347&amp;isFromPublicArea=True&amp;isModal=False</t>
  </si>
  <si>
    <t>CPS-VAD-0007-2023</t>
  </si>
  <si>
    <t>DIALNET DE COLOMBIA S.A. E.S.P.</t>
  </si>
  <si>
    <t>SERVICIOS DE CANAL DEDICADO PRINCIPAL DE 5GB PARA LA SEDE PRINCIPAL Y LAS SEDES ALTERNAS DE LA UNIVERSIDAD DEL MAGDALENA.</t>
  </si>
  <si>
    <t>2023/03/02</t>
  </si>
  <si>
    <t>2023/03/03</t>
  </si>
  <si>
    <t>2024/03/02</t>
  </si>
  <si>
    <t>https://community.secop.gov.co/Public/Tendering/ContractNoticePhases/View?PPI=CO1.PPI.23605427&amp;isFromPublicArea=True&amp;isModal=False</t>
  </si>
  <si>
    <t>CPS-VAD-0008-2023</t>
  </si>
  <si>
    <t>SERVICIOS DE INGENIERIA GLOBAL SAS</t>
  </si>
  <si>
    <t>SERVICIO DE MANTENIMIENTO PREVENTIVO Y CORRECTIVO DE LOS AIRES ACONDICIONADOS Y SISTEMAS DE REFRIGERACION DE LA UNIVERSIDAD DEL MAGDALENA Y SUS SEDES ALTERNAS EN LA CATEGORIA 2 AIRES ACONDICIONADOS ESPECIALIZADOS</t>
  </si>
  <si>
    <t>https://community.secop.gov.co/Public/Tendering/ContractNoticePhases/View?PPI=CO1.PPI.23743516&amp;isFromPublicArea=True&amp;isModal=False</t>
  </si>
  <si>
    <t>CPS-VAD-0009-2023</t>
  </si>
  <si>
    <t>REFRIMAGUS LTDA</t>
  </si>
  <si>
    <t>SERVICIO DE MANTENIMIENTO PREVENTIVO Y CORRECTIVO DE LOS AIRES ACONDICIONADOS Y SISTEMAS DE REFRIGERACION DE LA UNIVERSIDAD DEL MAGDALENA Y SUS SEDES ALTERNAS EN LA CATEGORIA 1 AIRES ACONDICIONADOS CONVENCIONALES</t>
  </si>
  <si>
    <t>CCO-VAD-0010-2023</t>
  </si>
  <si>
    <t>DATASALUD EN TICS DE LA COSTA SAS</t>
  </si>
  <si>
    <t>COMPRA DE EQUIPOS INSTRUMENTOS ELEMENTOS ARTICULOS Y DISPOSITIVOS MEDICOS Y ODONTOLOGICOS</t>
  </si>
  <si>
    <t>ANGELA ROMERO</t>
  </si>
  <si>
    <t>https://community.secop.gov.co/Public/Tendering/ContractNoticePhases/View?PPI=CO1.PPI.24438233&amp;isFromPublicArea=True&amp;isModal=False</t>
  </si>
  <si>
    <t>CPS-VAD-0011-2023</t>
  </si>
  <si>
    <t>GRUPO EMPRESARIAL ALQUIMONTAJES S.A.S.</t>
  </si>
  <si>
    <t>SERVICIO DE PRODUCCION TECNICA CON EQUIPOS ESPECIALIZADOS Y DE ULTIMA GENERACION, LA CUAL SE COMPONE DE SONIDO, BACK LINE, ILUMINACION, ESCENOGRAFIA, SOPORTE, STAFF Y ENTRETENIMIENTO, ENTRE OTROS ELEMENTOS NECESARIOS PARA EL DESARROLLO DE LAS ACTIVIDADES PROGRAMADAS PARA LA CELEBRACION DEL EVENTO INSTITUCIONAL DENOMINADO FESTIVAL DE LA VIDA Y LAS EMOCIONES EN EL MARCO DE LA XXIII SEMANA CULTURAL Y DEPORTIVA, DE CONFORMIDAD CON LAS ESPECIFICACIONES TECNICAS Y CANTIDADES DESCRITAS EN LOS ESTUDIOS Y DOCUMENTOS PREVIOS.</t>
  </si>
  <si>
    <t>2023/05/05</t>
  </si>
  <si>
    <t>2023/05/08</t>
  </si>
  <si>
    <t>2023/05/15</t>
  </si>
  <si>
    <t>JESUS DAVID SUESCUN ARREGOCES</t>
  </si>
  <si>
    <t>https://community.secop.gov.co/Public/Tendering/ContractNoticePhases/View?PPI=CO1.PPI.24740744&amp;isFromPublicArea=True&amp;isModal=False </t>
  </si>
  <si>
    <t>CPS-VAD-0012-2023</t>
  </si>
  <si>
    <t>CONSORCIO INTERFIBRA LA U</t>
  </si>
  <si>
    <t>SERVICIO DE CANAL DEDICADO SECUNDARIO DE 5GB PARA LA SEDE PRINCIPAL DE LA UNIVERSIDAD DEL MAGDALENA</t>
  </si>
  <si>
    <t>2023/05/26</t>
  </si>
  <si>
    <t>2023/05/30</t>
  </si>
  <si>
    <t>2024/05/30</t>
  </si>
  <si>
    <t>YELINE LIZETH GRANADOS RUIZ</t>
  </si>
  <si>
    <t>https://community.secop.gov.co/Public/Tendering/ContractNoticePhases/View?PPI=CO1.PPI.25255881&amp;isFromPublicArea=True&amp;isModal=False</t>
  </si>
  <si>
    <t>CSM-VAD-0013-2023</t>
  </si>
  <si>
    <t>AGENCIA DE VIAJES Y TURISMO AVIATUR S.A.S.</t>
  </si>
  <si>
    <t>SUMINISTRO DE TIQUETES AÉREOS NACIONALES E INTERNACIONALES PARA FUNCIONARIOS, DOCENTES, CATEDRÁTICOS, INVITADOS, CONTRATISTAS Y ESTUDIANTES DE LA UNIVERSIDAD DEL MAGDALENA</t>
  </si>
  <si>
    <t>NANGETH CASTILLO</t>
  </si>
  <si>
    <t>https://community.secop.gov.co/Public/Tendering/ContractNoticePhases/View?PPI=CO1.PPI.24538713&amp;isFromPublicArea=True&amp;isModal=False</t>
  </si>
  <si>
    <t>CPS-VAD-0014-2023</t>
  </si>
  <si>
    <t>CENTRO INVESTIGACION PARA EL FORTALECIMIENTO HUMANO Y EMPRESARIAL S.A.S.</t>
  </si>
  <si>
    <t>SERVICIO DE CONSULTORIA PARA LA REALIZACION DEL PLAN ESTRATEGICO DE COMUNICACIONES Y VISIBILIDAD EXTERNA DE TODA LA GESTION REALIZADA POR LA UNIVERSIDAD DEL MAGDALENA EN EL CUMPLIMIENTO DE SUS OBJETIVOS MISIONALES</t>
  </si>
  <si>
    <t>https://community.secop.gov.co/Public/Tendering/ContractNoticePhases/View?PPI=CO1.PPI.25711104&amp;isFromPublicArea=True&amp;isModal=False</t>
  </si>
  <si>
    <t>CCO-VAD-0015-2023</t>
  </si>
  <si>
    <t>EDITORA DE MEDIOS SAS</t>
  </si>
  <si>
    <t>COMPRA DE CUARENTA MIL (40.000) CUADERNOS ESCOLARES PLASTIFICADOS PARA SER ENTREGADOS A LOS ESTUDIANTES Y COMUNIDAD UNIVERSITARIA GENERAL DE LA UNIVERSIDAD DEL MAGDALENA E INVITADOS A LAS DIFERENTES ACTIVIDADES PROGRAMADAS POR LA INSTITUCIÓN, EN EL MARCO DEL PROYECTO DEL PLAN DE ACCIÓN: MEJORAMIENTO DE LA CALIDAD DE VIDA, BIENESTAR Y DESARROLLO PERSONAL DE LA COMUNIDAD UNIVERSITARIA</t>
  </si>
  <si>
    <t>https://community.secop.gov.co/Public/Tendering/ContractNoticePhases/View?PPI=CO1.PPI.25896532&amp;isFromPublicArea=True&amp;isModal=False</t>
  </si>
  <si>
    <t>CSM-VAD-0016-2023</t>
  </si>
  <si>
    <t>https://community.secop.gov.co/Public/Tendering/ContractNoticePhases/View?PPI=CO1.PPI.26387709&amp;isFromPublicArea=True&amp;isModal=False</t>
  </si>
  <si>
    <t>CPS-VAD-0017-2023</t>
  </si>
  <si>
    <t>LATIN ENTERPRISES FOR DEVELOPMENT SAS</t>
  </si>
  <si>
    <t>ADQUISICION DE LICENCIA EN LA NUBE VERSION CORE MODALIDAD MAU PARA 15000 MAU</t>
  </si>
  <si>
    <t>MAURICIO ARRIETA</t>
  </si>
  <si>
    <t>https://community.secop.gov.co/Public/Tendering/ContractNoticePhases/View?PPI=CO1.PPI.26444481&amp;isFromPublicArea=True&amp;isModal=False</t>
  </si>
  <si>
    <t>ODC-VAD-0001-2023</t>
  </si>
  <si>
    <t>CARLOS DANIEL RODRIGUEZ JAIMES</t>
  </si>
  <si>
    <t>COMPRA DE COMPRA DE 4500 EMPAQUES PLASTICOS TRANSPARENTES DE 32 X 42 CM CON DISEÑO INSTITUCIONAL Y ESCUDO EN ALTO RELIEVE ESTAMPADO AL CALOR. LA PROPUESTA HACE PARTE INTEGRAL DE LA PRESENTE ORDEN</t>
  </si>
  <si>
    <t>2023/03/06</t>
  </si>
  <si>
    <t>MERCEDES DE LA TORRE HASBUM</t>
  </si>
  <si>
    <t>https://community.secop.gov.co/Public/Tendering/ContractNoticePhases/View?PPI=CO1.PPI.23717314&amp;isFromPublicArea=True&amp;isModal=False</t>
  </si>
  <si>
    <t>ODC-VAD-0002-2023</t>
  </si>
  <si>
    <t>COMREDES DE COLOMBIA SAS</t>
  </si>
  <si>
    <t>COMPRA DE EQUIPOS Y SOFTWARE REQUERIDOS PARA EL DESARROLLO DE LAS ACTIVIDADES QUE CONTEMPLA EL PROYECTO CON CODIGO BPIN 2022000100019</t>
  </si>
  <si>
    <t>https://community.secop.gov.co/Public/Tendering/ContractNoticePhases/View?PPI=CO1.PPI.24580017&amp;isFromPublicArea=True&amp;isModal=False</t>
  </si>
  <si>
    <t>ODC-VAD-0003-2023</t>
  </si>
  <si>
    <t>EQUIPOS Y LABORATORIO DE COLOMBIA S.A.S.</t>
  </si>
  <si>
    <t>COMPRA DE UN 1 ESPECTROFOTOMETRO DE RAYOS ULTRAVIOLETA NANODROP ONE ONE VIS MICRO VOLUMEN CON WIFI Y UN 1 AUTOCLAVE ESTERILIZADOR VERTICAL 50 LITRES STURDY SA300VL PARA EL DESARROLLO DE LAS ACTIVIDADES PROPUESTAS EN EL OBJETIVO 1 ACTIVIDAD 1.2 RELACIONADOS EN EL DOCUMENTO CODIGO BPIN 2021000100084 FORTALECIMIENTO DE LAS CAPACIDADES INSTITUCIONALES PARA LA INVESTIGATION DEL CULTIVO Y REPRODUCTION INDUCIDA DE LA LISA MUGIL INCILIS COMO UNA ALTERNATIVA PARA SU CONSERVATION EN EL CARIBE COLOMBIANO. LA PROPUESTA HACE PARTE INTEGRAL DE LA PRESENTE ORDEN</t>
  </si>
  <si>
    <t>2023/05/10</t>
  </si>
  <si>
    <t>2023/05/12</t>
  </si>
  <si>
    <t>2023/09/09</t>
  </si>
  <si>
    <t>ADRIANA RODRIGUEZ FORERO</t>
  </si>
  <si>
    <t>https://community.secop.gov.co/Public/Tendering/ContractNoticePhases/View?PPI=CO1.PPI.24841406&amp;isFromPublicArea=True&amp;isModal=False</t>
  </si>
  <si>
    <t>ODC-VAD-0005-2023</t>
  </si>
  <si>
    <t>GENERACION ENERGETICA SAS</t>
  </si>
  <si>
    <t>COMPRA DE KIT PARA LA MEDICION DE PARAMETROS FISICOQUIMICOS</t>
  </si>
  <si>
    <t>CARLOS ARTURO ROBLES ALGARIN</t>
  </si>
  <si>
    <t>https://community.secop.gov.co/Public/Tendering/ContractNoticePhases/View?PPI=CO1.PPI.25501441&amp;isFromPublicArea=True&amp;isModal=False</t>
  </si>
  <si>
    <t>ODC-VAD-0006-2023</t>
  </si>
  <si>
    <t>LUIS ALBERTO HINCAPIE FRAGOSO</t>
  </si>
  <si>
    <t>COMPRA DE 1 TRES 3 NASAS REDONDAS 15 DE DIAMETRO, MALLAS SIN NUDO, TAMANO DE LA MALLA VZ. 2 UNA 1 ATARRAYA SIN CRECIDOS. PA 21012 TAMANO DE MALLA 2, DIAMETRO 4M Y 12 LIBRAS. 3 UN 1 CHINCHORRO RED NYLON MALLA SIN NUDO DE 12 DE 20M X 1.8M. CALIBRE 21024, APAREJADA CON BOYAS Y PLOMOS, PARA EL CUMPLIMIENTO DE LAS ACTIVIDADES MGA 1.1.1, EN DESARROLLO DEL PROYECTO BPIN 2020000100036, FINANCIADO CON RECURSOS SGR, DENOMINADO IMPLEMENTACI6N DE SISTEMAS PRODUCTIVOS EN LA PISCICULTURA MARINA DEL RDBALO PARA EL FOMENTO DE SU PRODUCCION EN EL DEPARTAMENTO DEL MAGDALENA</t>
  </si>
  <si>
    <t>SAEKO ISABEL GAITAN IBARRA</t>
  </si>
  <si>
    <t>https://community.secop.gov.co/Public/Tendering/ContractNoticePhases/View?PPI=CO1.PPI.25700096&amp;isFromPublicArea=True&amp;isModal=False</t>
  </si>
  <si>
    <t>ODC-VAD-0007-2023</t>
  </si>
  <si>
    <t>COMPRA DE QUINCE BULTOS DE ALIMENTO PARA PECES</t>
  </si>
  <si>
    <t>https://community.secop.gov.co/Public/Tendering/ContractNoticePhases/View?PPI=CO1.PPI.25935036&amp;isFromPublicArea=True&amp;isModal=False</t>
  </si>
  <si>
    <t>ODC-VAD-0008-2023</t>
  </si>
  <si>
    <t>LABORATORIOS PETROLEROS Y BIOLOGICOS DE COLOMBIA SAS</t>
  </si>
  <si>
    <t>COMPRA DE UN 1 TESTOSTERONE11KTESTO ELISA KIT FISH 11KETO TESTOSTERONE 11KTESTO ELISA KIT. 96 TEST Y UN 1 VTG VITELLOGENIN ELISA KIT MARCA MY BIOSOURCE. PRESENTACIBN 96 WELLS, PARA EL CUMPLIMIENTO DE LAS ACTIVIDADES MGA 1.1.1, EN EL DESARROLLO DEL PROYECTO BPIN 2020000100036 DENOMINADO IMPLEMENTACION DE SISTEMAS PRODUCTIVOS EN LA PISCICULTURA MARINA DEL ROBALO PARA EL FOMENTO DE SU PRODUCTION EN EL DEPARTAMENTO DEL MAGDALENA</t>
  </si>
  <si>
    <t>2023/07/10</t>
  </si>
  <si>
    <t>2023/09/08</t>
  </si>
  <si>
    <t>https://community.secop.gov.co/Public/Tendering/ContractNoticePhases/View?PPI=CO1.PPI.26098863&amp;isFromPublicArea=True&amp;isModal=False</t>
  </si>
  <si>
    <t>ODC-VAD-0009-2023</t>
  </si>
  <si>
    <t>COMREDES DE COLOMBIA S.A.S.</t>
  </si>
  <si>
    <t>COMPRA DE UN 1 COMPUTADOR DESKTOP 77V86LAABM HP PRO SFF 400 PROCESADOR INTEL CORE I7 12700 VPRO 12 VA GEN 12 Y TRES 3 DESKTOP DELL PRECISION 3660 I7 12700 T1000.</t>
  </si>
  <si>
    <t>2023/07/13</t>
  </si>
  <si>
    <t>2023/07/14</t>
  </si>
  <si>
    <t>2023/07/19</t>
  </si>
  <si>
    <t>https://community.secop.gov.co/Public/Tendering/ContractNoticePhases/View?PPI=CO1.PPI.26257165&amp;isFromPublicArea=True&amp;isModal=False</t>
  </si>
  <si>
    <t>OSM-VAD-0001-2023</t>
  </si>
  <si>
    <t>MARCO LOPEZ SIERRA</t>
  </si>
  <si>
    <t>LA PRESENTE ORDEN TIENE POR OBJETO, EL SUMINISTRO DE ALIMENTOS PREPARADOS Y BEBIDAS PARA SER ENTREGADOS EN LAS INSTALACIONES DE LA UNIVERSIDAD. LA PROPUESTA HACE PARTE INTEGRAL DE LA PRESENTE ORDEN.</t>
  </si>
  <si>
    <t>ALFA JAIMES</t>
  </si>
  <si>
    <t>https://community.secop.gov.co/Public/Tendering/ContractNoticePhases/View?PPI=CO1.PPI.23304146&amp;isFromPublicArea=True&amp;isModal=False</t>
  </si>
  <si>
    <t>OSM-VAD-0002-2023</t>
  </si>
  <si>
    <t>Graciela Ribaut Osorio</t>
  </si>
  <si>
    <t>SUMINISTRO DE HIDRATACION Y PRODUCTOS ALIMENTICIOS PREPARADOS PARA LOS MIEMBROS DE LA COMUNIDAD UNIVERSITARIA PARTICIPANTES DE ACTIVIDADES DEPORTIVAS Y CULTURALES, DE SALUD Y DESARROLLO HUMANO, ASI MISMO, SERVICIOS DE BENEFICIO ALIMENTICIO PARA FUNCIONARIOS QUE PERTENECEN AL SINDICATO.</t>
  </si>
  <si>
    <t>2023/03/04</t>
  </si>
  <si>
    <t>2023/04/28</t>
  </si>
  <si>
    <t>https://community.secop.gov.co/Public/Tendering/ContractNoticePhases/View?PPI=CO1.PPI.23601399&amp;isFromPublicArea=True&amp;isModal=False</t>
  </si>
  <si>
    <t>OSM-VAD-0003-2023</t>
  </si>
  <si>
    <t>AGENCIA DE VIAJES Y TURISMO AVIATUR S.A.S</t>
  </si>
  <si>
    <t>SUMINISTRO DE TIQUETES PARA TRANSPORTE AEREO NACIONAL E INTERNACIONAL, HOSPEDAJE Y ALIMENTACION PARA GARANTIZAR EL DESPLAZAMIENTO D ELA INVESTIGADORA PRINCIPAL, COINVESTIGADORES DE LA ENTIDAD ALIADA Y LOS ASESORES INTERNACIONALES, PARA DAR CUMPLIMIENTO A LAS ACTIVIDADES DEL PROYECTO BPIN 2020000100036</t>
  </si>
  <si>
    <t>https://community.secop.gov.co/Public/Tendering/ContractNoticePhases/View?PPI=CO1.PPI.24466070&amp;isFromPublicArea=True&amp;isModal=False</t>
  </si>
  <si>
    <t>OSM-VAD-0004-2023</t>
  </si>
  <si>
    <t>GRACIELA RIBAUTT OSORIO</t>
  </si>
  <si>
    <t xml:space="preserve">SUMINISTRO DE HIDRATACION Y PRODUCTOS ALIMENTICIOS </t>
  </si>
  <si>
    <t>https://community.secop.gov.co/Public/Tendering/ContractNoticePhases/View?PPI=CO1.PPI.25497473&amp;isFromPublicArea=True&amp;isModal=False</t>
  </si>
  <si>
    <t>OSM-VAD-0005-2023</t>
  </si>
  <si>
    <t>SUMINISTRO DE ALMUERZOS Y REFRIGERIOS</t>
  </si>
  <si>
    <t>WILSON VELASQUEZ</t>
  </si>
  <si>
    <t>https://community.secop.gov.co/Public/Tendering/ContractNoticePhases/View?PPI=CO1.PPI.25876932&amp;isFromPublicArea=True&amp;isModal=False</t>
  </si>
  <si>
    <t>OSM-VAD-0006-2023</t>
  </si>
  <si>
    <t>MARCO RAFAEL LOPEZ SIERRA</t>
  </si>
  <si>
    <t>SUMINISTRO DE ALIMENTOS PREPARADOS Y BEBIDAS</t>
  </si>
  <si>
    <t>https://community.secop.gov.co/Public/Tendering/ContractNoticePhases/View?PPI=CO1.PPI.26163650&amp;isFromPublicArea=True&amp;isModal=False</t>
  </si>
  <si>
    <t>OPS-VAD-0614-2023</t>
  </si>
  <si>
    <t>LUIS ALBERTO CAMARGO HERRERA</t>
  </si>
  <si>
    <t>SERVICIO DE DISEÑO E IMPRESIÓN DE MATERIAL PROMOCIONAL REQUERIDO EN EL PROYECTO BPIN 2022000100019</t>
  </si>
  <si>
    <t>https://community.secop.gov.co/Public/Tendering/ContractNoticePhases/View?PPI=CO1.PPI.24151486&amp;isFromPublicArea=True&amp;isModal=False</t>
  </si>
  <si>
    <t>OPS-VAD-0624-2023</t>
  </si>
  <si>
    <t>SOCIEDAD DE INNOVACION JURIDICA Y ECONOMICA LEGAX SAS</t>
  </si>
  <si>
    <t>SERVICIOS JURIDICOS ESPECIALIZADOS PARA LA ACTUALIZACION NORMATIVA DE LAS NORMAS INTERNAS DE LA UNIVERSIDAD DEL MAGDALENA, EN EJERCICIO DE LA AUTONOMIA UNIVERSITARIA Y EN COHERENCIA CON LAS NORMAS IMPERATIVAS APLICABLES DEL ORDENAMIENTO JURIDICO COLOMBIANO</t>
  </si>
  <si>
    <t>https://community.secop.gov.co/Public/Tendering/ContractNoticePhases/View?PPI=CO1.PPI.24523664&amp;isFromPublicArea=True&amp;isModal=False</t>
  </si>
  <si>
    <t>OPS-VAD-0625-2023</t>
  </si>
  <si>
    <t>MARTINEZ &amp; RUIZ SAS</t>
  </si>
  <si>
    <t>SERVICIO DE COMIDAS Y BEBIDAS PREPARADAS Y SERVICIO DE CATERING</t>
  </si>
  <si>
    <t>GLENDA ACOSTA</t>
  </si>
  <si>
    <t>https://community.secop.gov.co/Public/Tendering/ContractNoticePhases/View?PPI=CO1.PPI.24524993&amp;isFromPublicArea=True&amp;isModal=False</t>
  </si>
  <si>
    <t>OPS-VAD-0633-2023</t>
  </si>
  <si>
    <t>SERVICIO DE APOYO LOGISTICO PARA EL DESARROLLO DE LAS ACTIVIDADES PROGRAMADAS EN EL MARCO DE LA CELEBRACION DEL EVENTO DENOMINADO SEMANA CULTURAL 2023, QUE CONTEMPLA ACTIVIDADES DEPORTIVAS Y CULTURALES PARA TODA LA COMUNIDAD UNIVERSITARIA, DENTRO DEL PLAN DE MEJORAMIENTO DE LA CALIDAD DE VIDA, BIENESTAR Y DESARROLLO PERSONAL DE LA COMUNIDAD UNIVERSITARIA</t>
  </si>
  <si>
    <t>2023/05/02</t>
  </si>
  <si>
    <t>2023/05/03</t>
  </si>
  <si>
    <t>2023/05/17</t>
  </si>
  <si>
    <t>https://community.secop.gov.co/Public/Tendering/ContractNoticePhases/View?PPI=CO1.PPI.24664235&amp;isFromPublicArea=True&amp;isModal=False</t>
  </si>
  <si>
    <t>OPS-VAD-0634-2023</t>
  </si>
  <si>
    <t>MARIO JOSE MANJARREZ IMITOLA</t>
  </si>
  <si>
    <t>SERVICIO DE ORGANIZACION, COORDINACION DE LOS ARTISTAS INTERPRETES INVITADOS, APOYO LOGISTICO DE LAS AGRUPACIONES MUSICALES PARA EL DESARROLLO DE LAS ACTIVIDADES PROGRAMADAS EL DIA 11 DE MAYO DE 2023 EN EL MARCO DE LA CELEBRACION DEL EVENTO DENOMINADO FESTIVAL DE LA VIDA Y LAS EMOCIONES, EN EL MARCO DE LA SEMANA CULTURAL 2023</t>
  </si>
  <si>
    <t>https://community.secop.gov.co/Public/Tendering/ContractNoticePhases/View?PPI=CO1.PPI.24676674&amp;isFromPublicArea=True&amp;isModal=False</t>
  </si>
  <si>
    <t>OPS-VAD-0635-2023</t>
  </si>
  <si>
    <t>YURI MANJARREZ MARQUEZ</t>
  </si>
  <si>
    <t>SERVICIO DE ORGANIZACION, COORDINACION DE ARTISTAS INVITADOS, APOYO LOGISTICO DE LAS AGRUPACIONES MUSICALES Y GESTION DE LOS EVENTOS ARTISTICOS Y CULTURALES PARA EL DESARROLLO DE LAS ACTIVIDADES PROGRAMADAS PARA LOS DIAS 9 Y 10 DE MAYO DE 2023</t>
  </si>
  <si>
    <t>https://community.secop.gov.co/Public/Tendering/ContractNoticePhases/View?PPI=CO1.PPI.24681196&amp;isFromPublicArea=True&amp;isModal=False</t>
  </si>
  <si>
    <t>OPS-VAD-0659-2023</t>
  </si>
  <si>
    <t>TATIANA MILENA MARTINEZ TRUJILLO</t>
  </si>
  <si>
    <t>SERVICIO DE TRANSPORTE DE 360000 LITRO DE AGUA DE MAR</t>
  </si>
  <si>
    <t>ADRIANA RODRIGUEZ</t>
  </si>
  <si>
    <t>https://community.secop.gov.co/Public/Tendering/ContractNoticePhases/View?PPI=CO1.PPI.25415728&amp;isFromPublicArea=True&amp;isModal=False</t>
  </si>
  <si>
    <t>OPS-VAD-0671-2023</t>
  </si>
  <si>
    <t>ASESORIAS PROFESIONALES A SU SERVICIO SAS</t>
  </si>
  <si>
    <t>SERVICIO DE CAPACITACION EN MANIPULACION DE ALIMENTOS</t>
  </si>
  <si>
    <t>https://community.secop.gov.co/Public/Tendering/ContractNoticePhases/View?PPI=CO1.PPI.25842523&amp;isFromPublicArea=True&amp;isModal=False</t>
  </si>
  <si>
    <t>OPS-VAD-0672-2023</t>
  </si>
  <si>
    <t>ALBERTOLINEROGO BIG SAS</t>
  </si>
  <si>
    <t>PRESENTACION DE LA CONFERENCIA EQUIPOS QUE TRABAJAN TRABAJOS QUE HACEN EQUIPO</t>
  </si>
  <si>
    <t>CINDY ROJAS</t>
  </si>
  <si>
    <t>https://community.secop.gov.co/Public/Tendering/ContractNoticePhases/View?PPI=CO1.PPI.25961182&amp;isFromPublicArea=True&amp;isModal=False</t>
  </si>
  <si>
    <t>OPS-VAD-0696-2023</t>
  </si>
  <si>
    <t>CRISTIAM DE JESUS FERNANDEZ GUZMAN</t>
  </si>
  <si>
    <t>SERVICIO DE ORGANIZACION DEL EVENTO DIA DEL SERVIDOR PUBLICO DE LA UNIVERSIDAD DEL MAGDALENA 2023. EL SERVICIO COMPRENDE 1 SERVICIO DE ATENCION INDIVIDUAL PARA 300 PERSONAS, 2 ENTREGA DE 300 TERMOS PERSONALIZADOS CON LOGO INSTITUCIONAL IMPRESO EN TINTA NEGRA. 3 ENTREGA DE 16 BONOS DE REGALO, 4 2 ARREGLOS FLORALES ALTOS, 5 ATENCION A CONFERENCISTA. 6 AMBIENTACION DEL LUGAR DEL EVENTO.</t>
  </si>
  <si>
    <t>2023/07/06</t>
  </si>
  <si>
    <t>2023/07/07</t>
  </si>
  <si>
    <t>2023/07/08</t>
  </si>
  <si>
    <t>CINDY PATRICIA ROJAS MENDOZA</t>
  </si>
  <si>
    <t>https://community.secop.gov.co/Public/Tendering/ContractNoticePhases/View?PPI=CO1.PPI.26041852&amp;isFromPublicArea=True&amp;isModal=False</t>
  </si>
  <si>
    <t>OPS-VAD-0847-2023</t>
  </si>
  <si>
    <t>INTEGRAL V6 S.A.S</t>
  </si>
  <si>
    <t>SERVICIO DE ASESORIA, MANTENIMIENTO Y SOPORTE DEL SISTEMA DE INFORMACION FINANCIERO Y ADMINISTRATIVO SINAP V6 DE LA UNIVERSIDAD DEL MAGDALENA</t>
  </si>
  <si>
    <t>2023/07/12</t>
  </si>
  <si>
    <t>RONALD RAFAEL ROJAS DUICA</t>
  </si>
  <si>
    <t>https://community.secop.gov.co/Public/Tendering/ContractNoticePhases/View?PPI=CO1.PPI.26178091&amp;isFromPublicArea=True&amp;isModal=False</t>
  </si>
  <si>
    <t>OPS-VAD-0859-2023</t>
  </si>
  <si>
    <t>SERVICIO DE DIVULGACION EDICION Y DISEÑO DE MATERIAL PROMOCIONAL</t>
  </si>
  <si>
    <t>https://community.secop.gov.co/Public/Tendering/ContractNoticePhases/View?PPI=CO1.PPI.26204309&amp;isFromPublicArea=True&amp;isModal=False</t>
  </si>
  <si>
    <t>OPS-VAD-1001-2023</t>
  </si>
  <si>
    <t>TRASPORTE SENSACION SAS</t>
  </si>
  <si>
    <t>SERVICIO DE TRANSPORTE EN UN VEHLCULO CON CAPACIDAD PARA 30 A 35 PASAJEROS EN LA RUTA COMPRENDIDA ENTRE EL MUNICIPIO DE TASAJERA MAGDALENA SANTA MARTA TASAJERA MAGDALENA, PARA EL DESARROLLO DE LOS TALLERES PRACTICOS QUE SE LIEVARAN A CABO EN LAS INSTALACIONES DE LA UNIVERSIDAD DEL MAGDALENA, EN VIRTUD DE LA EJECUCION DEL PROYECTO BPIN 2021000100084 DENOMINADO FORTALECIMIENTO DE LAS CAPACIDADES INSTITUCIONALES PARA LA INVESTIGACION DEL CULTIVO Y REPRODUCTION INDUCIDA DE LA LISA MUGIL INCIUS COMO UNA ALTERNATIVA PARA SU CONSERVATION EN EL CARIBE COLOMBIANO MAGDALENA</t>
  </si>
  <si>
    <t>2023/07/27</t>
  </si>
  <si>
    <t>2023/08/27</t>
  </si>
  <si>
    <t>https://community.secop.gov.co/Public/Tendering/ContractNoticePhases/View?PPI=CO1.PPI.26409288&amp;isFromPublicArea=True&amp;isModal=False</t>
  </si>
  <si>
    <t>OPSP-VAD-0505-2023</t>
  </si>
  <si>
    <t>KATRINA MEDINA LAMBRAÑO</t>
  </si>
  <si>
    <t xml:space="preserve"> SERVICIOS PROFESIONALES INDEPENDIENTES COMO INGENIERO PESQUERO PARA ACOMPAÑAR EL DESARROLLO DEL PROYECTO BPIN 2021000100084</t>
  </si>
  <si>
    <t>https://community.secop.gov.co/Public/Tendering/ContractNoticePhases/View?PPI=CO1.PPI.23328033&amp;isFromPublicArea=True&amp;isModal=False</t>
  </si>
  <si>
    <t>OPSP-VAD-0506-2023</t>
  </si>
  <si>
    <t>CARLOS MOSCARELLA</t>
  </si>
  <si>
    <t xml:space="preserve"> SERVICIOS PROFESIONALE SINDEPENDIENTES DE INGENIERO PESQUERO PARA ACOMPAÑAR EL DESARROLLO DEL PROYECTO BPIN 2021000100084</t>
  </si>
  <si>
    <t>https://community.secop.gov.co/Public/Tendering/ContractNoticePhases/View?PPI=CO1.PPI.23330335&amp;isFromPublicArea=True&amp;isModal=False</t>
  </si>
  <si>
    <t>OPSP-VAD-0507-2023</t>
  </si>
  <si>
    <t>KATHERINE OBEID MANJARRES</t>
  </si>
  <si>
    <t>SERVICIOS PROFESIONALES INDEPENDIENTES DE INGENIERO QUIMICO PARA ACOMPAÑAR EL DESARROLLO DEL PROYECTO BPIN 2021000100084</t>
  </si>
  <si>
    <t>https://community.secop.gov.co/Public/Tendering/ContractNoticePhases/View?PPI=CO1.PPI.23330653&amp;isFromPublicArea=True&amp;isModal=False</t>
  </si>
  <si>
    <t>OPSP-VAD-0508-2023</t>
  </si>
  <si>
    <t>ARLON FONTALVO MARTINEZ</t>
  </si>
  <si>
    <t>SERVICIOS PROFESIONALES INDEPENDIENTES DE INGENIERO PESQUERO PARA ACOMPAÑAR EL DESARROLLO DEL PROYECTO BPIN 2021000100084</t>
  </si>
  <si>
    <t>https://community.secop.gov.co/Public/Tendering/ContractNoticePhases/View?PPI=CO1.PPI.23331204&amp;isFromPublicArea=True&amp;isModal=False</t>
  </si>
  <si>
    <t>OPSP-VAD-0509-2023</t>
  </si>
  <si>
    <t>YOLANDA DURAN DIAZ</t>
  </si>
  <si>
    <t>SERVICIOS PROFESIONALES INDEPENDIENTES DE MICROBIOLOGA PARA ACOMPAÑAR EL DESARROLLO DEL PROYECTO BPIN 2021000100084</t>
  </si>
  <si>
    <t>https://community.secop.gov.co/Public/Tendering/ContractNoticePhases/View?PPI=CO1.PPI.23331257&amp;isFromPublicArea=True&amp;isModal=False</t>
  </si>
  <si>
    <t>OPSP-VAD-0510-2023</t>
  </si>
  <si>
    <t>YAHIR MENDOZA VANEGAS</t>
  </si>
  <si>
    <t xml:space="preserve"> SERVICIOS PROFESIONALES INDEPENDIENTES DE INGENIERO PESQUERO PARA ACOMPAÑAR EL DESARROLLO DEL PROYECTO BPIN 2021000100084</t>
  </si>
  <si>
    <t>CARLOS ROBLES ALGARIN</t>
  </si>
  <si>
    <t>https://community.secop.gov.co/Public/Tendering/ContractNoticePhases/View?PPI=CO1.PPI.23332059&amp;isFromPublicArea=True&amp;isModal=False</t>
  </si>
  <si>
    <t>OPSP-VAD-0511-2023</t>
  </si>
  <si>
    <t>ANDRES VALLE GONZALEZ</t>
  </si>
  <si>
    <t>SERVICIOS PROFESIONALES INDEPENDIENTES DE INGENIERO ELECTRONICO PARA ACOMPAÑAR EL DESARROLLO DEL PROYECTO BPIN 2021000100084</t>
  </si>
  <si>
    <t>https://community.secop.gov.co/Public/Tendering/ContractNoticePhases/View?PPI=CO1.PPI.23332825&amp;isFromPublicArea=True&amp;isModal=False</t>
  </si>
  <si>
    <t>OPSP-VAD-0545-2023</t>
  </si>
  <si>
    <t>SARA ELISA CRUZ BOTTO</t>
  </si>
  <si>
    <t>SERVICIOS PROFESIONALES COMO COINVESTIGADOR EN EL PROYECTO BPIN 2020000100036</t>
  </si>
  <si>
    <t>https://community.secop.gov.co/Public/Tendering/ContractNoticePhases/View?PPI=CO1.PPI.23547377&amp;isFromPublicArea=True&amp;isModal=False</t>
  </si>
  <si>
    <t>OPSP-VAD-0546-2023</t>
  </si>
  <si>
    <t>ZAMIR BENITEZ POLO</t>
  </si>
  <si>
    <t>https://community.secop.gov.co/Public/Tendering/ContractNoticePhases/View?PPI=CO1.PPI.23549038&amp;isFromPublicArea=True&amp;isModal=False</t>
  </si>
  <si>
    <t>OPSP-VAD-0565-2023</t>
  </si>
  <si>
    <t>ENEILA LITH CAMPO MOVIL</t>
  </si>
  <si>
    <t>SERVICIOS PROFESIONALES COMO ASISTENTE DEL INVESTIGADOR EXPERTO EN VALORACION ECONBMICA PARA EL CUMPLIMIENTO DE LAS ACTIVIDADES 1.1.1, 1.2.1, 1.4.1, 1.4.3, 1.5.1, 3.1.1 CORRESPONDIENTE A LOS OBJETIVOS 1, 2 Y 3 DEL PROYECTO BPIN 2022000100019 DENOMINADO DISENO E IMPLEMENTACIDN DE ESTRATEGIAS PARA EL FORTALECIMIENTO DE CAPACIDADES LOCALES QUE PERMITAN REDUCIR LA VULNERABILIDAD FRENTE AL CAMBIO CLIMATICO EN LOS DEPARTAMENTOS DEL MAGDALENA Y LA GUAJIRA PARA PARTICIPAR EN LA ETAPA DE DIAGNOSTICO, IMPLEMENTACION, Y SOCIALIZACIDN DE RESULTADOS CUMPLIENDO CON LAS SIGUIENTES ACTIVIDADES 1 APOYAR LA COORDINACIBN DEL PROCESO DE CARACTERIZACION SOCIOECONOMICA DE LOS BENEFICIARIOS. 2 APOYAR LA PROYECCION DE LAS HOJAS DE RUTA DE INTERVENCION DEL PROYECTO. 3 PRESTAR APOYO AL COORDINADOR DE VALORACION ECONOMICA EN LA FORMULACION DEL PLAN DE INTERVENCION EN CADA PREDIO PARA LOS BENEFICIARIOS</t>
  </si>
  <si>
    <t>2024/08/31</t>
  </si>
  <si>
    <t>https://community.secop.gov.co/Public/Tendering/ContractNoticePhases/View?PPI=CO1.PPI.23658224&amp;isFromPublicArea=True&amp;isModal=False</t>
  </si>
  <si>
    <t>OPSP-VAD-0566-2023</t>
  </si>
  <si>
    <t>HENRY DAVID CARVAJAL SIMANCA</t>
  </si>
  <si>
    <t>LA PRESENTE ORDEN TIENE POR OBJETO PRESTAR SUS SERVICIOS PROFESIONALES COMO INGENIERO AGRBNOMO PARA EL CUMPLIMIENTO DE LAS ACTIVIDADES 1.1.1, 1.2.1, 1.3.1, 1.3.7, 1.4.1,1.4.3, 1.5.1, 3.1.1, 3.2.1, 3.3.1, CORRESPONDIENTES A LOS OBJETIVOS 1 Y 2 DEL PROYECTO DE CON CODIGO BPIN 2022000100019 DENOMINADO DISEHO E IMPLEMENTATION DE ESTRATEGIAS PARA EL FORTALECIMIENTO DE CAPACIDADES LOCALES QUE PERMITAN REDUCIR LA VULNERABILIDAD FRENTE AL CAMBIO CLIMATICO EN LOS DEPARTAMENTOS DEL MAGDALENA Y LA GUAJIRA PARA PARTICIPAR EN LA ETAPA DE DIAGNBSTICO E IMPLEMENTACION DE PARCELAS, CUMPLIENDO CON LAS SIGUIENTES ACTIVIDADES 1 APOYAR EL CUMPLIMIENTO A CABALIDAD DE CADA UNA DE LAS ACTIVIDADES DEL PROYECTO. 2 APOYAR LAS REUNIONES DE SOCIALIZACION DE ALCANCES Y OBJETIVOS DEL PROYECTO EN EL MUNICIPIO REMOLINO, MAGDALENA. 3 APOYAR LA COORDINACION DEL PROCESO DE SELECTION E INSCRIPCION DE LOS BENEFICIARIOS QUE SE ENCUENTRAN EN EL PROYECTO PARA EL MUNICIPIO DE REMOLINO, MAGDALENA</t>
  </si>
  <si>
    <t>https://community.secop.gov.co/Public/Tendering/ContractNoticePhases/View?PPI=CO1.PPI.23658745&amp;isFromPublicArea=True&amp;isModal=False</t>
  </si>
  <si>
    <t>OPSP-VAD-0573-2023</t>
  </si>
  <si>
    <t>RODRIGUEZ CASTAÑO ABOGADOS SAS</t>
  </si>
  <si>
    <t>SERVICIOS DE ASESORIA JURIDICA PARA DESARROLLAR LAS SIGUIENTES ACTIVIDADES 1. EMITIR LOS CONCEPTOS Y RESOLVER LAS CONSULTAS JURIDICAS QUE LE SEAN SOLICITADAS POR EL DESPACHO DEL SENOR RECTOR Y EL JEFE DE LA OFICINA ASESORA JURIDICA, EN MATERIA ADMINISTRATIVALABORAL, CONTRACTUAL Y EJECUTIVA, CUANDO ESTOS DEBAN SER ENTREGADOS POR ESCRITO, DEBERAN SER RUBRICADOS POR EL CONTRATISTA. 2. REALIZAR UN INFORME DIAGNOSTICO AL ESTATUTO GENERAL ACUERDO SUPERIOR 022 DE 2019 FRENTE A LA EXPEDICION DE NUEVAS NORMAS Y LOS REGLAMENTOS QUE HAN SIDO ADOPTADOS POR ESTA CASA DE ESTUDIOS QUE TIENEN DIRECTA RELACION CON LA POLITICA DE BUEN GOBIERNO. 3. PRESENTAR UNA PROPUESTA DE ESTATUTO GENERAL QUE RECOJA LAS RECOMENDACIONES ABORDADAS EN EL DIAGNOSTICO PRESENTADO. 4. PARTICIPAR EN LA DISCUSIDN DEL NUEVO PROYECTO DE ESTATUTO GENERAL. 5. ASESORAR A LA OFICINA ASESORA JURIDICA Y EL GRUPO DE CONTRATACION EN LOS PROCESOS SANCIONATORIOS</t>
  </si>
  <si>
    <t>2023/03/08</t>
  </si>
  <si>
    <t>2023/06/16</t>
  </si>
  <si>
    <t>OSCAR FERNANDO CASTILLO MOSCARELA</t>
  </si>
  <si>
    <t>https://community.secop.gov.co/Public/Tendering/ContractNoticePhases/View?PPI=CO1.PPI.23712531&amp;isFromPublicArea=True&amp;isModal=False</t>
  </si>
  <si>
    <t>OPSP-VAD-0586-2023</t>
  </si>
  <si>
    <t>ARLETH ESTHER MANJARRES TETE</t>
  </si>
  <si>
    <t>SERVICIOS PROFESIONALES INDEPENDIENTES EN EL DESARROLLO DE UN TALLER SOBRE FORMULATION DE PROYECTOS Y PLANES DE INVERSION DIRIGIDO A COMUNIDADES CON EL FIN DE TRASMITIR ELEMENTOS TEBRICOS, PRACTICOS Y METODOLBGICOS DE NUEVO CONOCIMIENTO QUE CONTRIBUIRB EN EL APRENDIZAJE Y FORMULACIBN DE SOLUCIONES QUE SATISFAGAN UNA NECESIDAD PUNTUAL, MEDIANTE PROYECTOS QUE RESPONDAN FINANCIERAMENTE Y AMBIENTALMENTE SOSTENIBLES EN EL MARCO DE LA EJECUCIBN DE LA ACTIVIDAD 2.3 PROPUESTA EN EL OBJETIVO 2 DEL PROYECTO BPIN 2021000100084 CUMPLIENDO CON LAS SIGUIENTES ACTIVIDADES 1 REALIZAR UN CURSO TEBRICOPRACTICO DIRIGIDO A LA COMUNIDAD LOCAL CON UNA INTENSIDAD DE VEINTICUATRO 24 HORAS EN EL HORARIO COMPRENDIDO ENTRE 800AM A 1200M Y 200 A 600PM INCLUYENDO DOS REFRIGERIOS PARA LOS ASISTENTES, CUADERNO Y BOLIGRAFO Y LA LOGFSTICA DEL CURSO. 2 CAPACITAR A 30 BENEFICIARIOS PESCADORES Y DEMAS ACTORES DE LA COMUNIDAD RELACIONADOS CON LA ACTIVIDAD ACUICOLA</t>
  </si>
  <si>
    <t>2023/03/16</t>
  </si>
  <si>
    <t>https://community.secop.gov.co/Public/Tendering/ContractNoticePhases/View?PPI=CO1.PPI.23861326&amp;isFromPublicArea=True&amp;isModal=False</t>
  </si>
  <si>
    <t>OPSP-VAD-0598-2023</t>
  </si>
  <si>
    <t>NIVER ALBERTO QUIROZ MORA</t>
  </si>
  <si>
    <t>SERVICIOS PROFESIONALES COMO INVESTIGADOR EXPERTO EN VALORACION ECONOMICA PARA EL DESARROLLO DE LAS ACTIVIDADES 1.1.1, 1.2.1, 1.4.1, 1.4.3, 1.5.1, 3.1.1 CORRESPONDIENTE A LOS OBJETIVOS 1, 2 Y 3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IMPLEMENTACION Y SOCIALIZACION DE RESULTADOS POR MEDIO DEL CUMPLIMIENTO DE LAS SIGUIENTES ACTIVIDADES 1 COORDINAR EL PROCESO DE CARACTERIZACION SOCIOECONOMICA DE LOS BENEFICIARIOS. 2 APOYAR LA PROYECCION DE LAS HOJAS DE RUTA DE INTERVENCION DEL PROYECTO. 3 APOYAR LA FORMULACIBN DEL PLAN DE INTERVENCIBN EN CADA PREDIO PARA LOS BENEFICIARIOS. 4 PARTICIPAR EN EL PROCESO DE VALIDACION Y CONSOLIDACION DE PLANES DE INTERVENCION CON LOS BENEFICIARIOS DEL PROYECTO</t>
  </si>
  <si>
    <t>2023/03/23</t>
  </si>
  <si>
    <t>https://community.secop.gov.co/Public/Tendering/ContractNoticePhases/View?PPI=CO1.PPI.23984205&amp;isFromPublicArea=True&amp;isModal=False</t>
  </si>
  <si>
    <t>OPSP-VAD-0599-2023</t>
  </si>
  <si>
    <t>YESENIA PAOLA VILLALOBOS ACUÑA</t>
  </si>
  <si>
    <t>SERVICIOS PROFESIONALES COMO TRABAJADOR SOCIAL PARA EL DESARROLLO DE LAS ACTIVIDADES 1.4.1, 1.5.1, 3.2.1, CORRESPONDIENTE A LOS OBJETIVOS 1 Y 2 DEL PROYECTO DE INVESTIGACION BPIN 2022000100019 DENOMINADO DISEHO E IMPLEMENTACION DE ESTRATEGIAS PARA EL FORTALECIMIENTO DE CAPACIDADES LOCALES QUE PERMITAN REDUCIR LA VULNERABILIDAD FRENTE AL CAMBIO CLIMATICO EN LOS DEPARTAMENTOS DEL MAGDALENA Y LA GUAJIRA PARA PARTICIPAR EN LA ETAPA DE DIAGNOSTICO E IMPLEMENTACION CUMPLIENDO CON LAS SIGUIENTES ACTIVIDADES 1 DISEÑAR LA ESTRUCTURA DE LAS ENCUESTAS PARA LA CARACTERIZACION SOCIAL DE LOS BENEFICIARIOS DEL PROYECTO. 2 APOYAR EN LA APLICACION DE ENCUESTAS PARA EL PROCESO DE CARACTERIZACION SOCIOECONBMICA DE LOS BENEFICIARIOS DEL PROYECTO. 3 APOYAR EL PROCESO FORMATIVO A LOS BENEFICIARIOS DEL PROYECTO</t>
  </si>
  <si>
    <t>2023/05/31</t>
  </si>
  <si>
    <t>https://community.secop.gov.co/Public/Tendering/ContractNoticePhases/View?PPI=CO1.PPI.23980552&amp;isFromPublicArea=True&amp;isModal=False</t>
  </si>
  <si>
    <t>OPSP-VAD-0600-2023</t>
  </si>
  <si>
    <t>DENIS MARGARITA MOLINA CERVANTES</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</si>
  <si>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FUNDACION, MAGDALENA. 2 REALIZAR MUESTREOS DE SUELOS EN LAS 40 PARCELAS Y APOYAR LOS PROCESOS DE ENVIO DE MUESTRAS DE SUELOS PREVIOS A LA SIEMBRA DEL MUNICIPIO DE FUNDACION, MAGDALENA, EN COORDINACION CON EL DIRECTOR E INVESTIGADOR DEL AREA AGRICOLA.</t>
  </si>
  <si>
    <t>https://community.secop.gov.co/Public/Tendering/ContractNoticePhases/View?PPI=CO1.PPI.23980566&amp;isFromPublicArea=True&amp;isModal=False</t>
  </si>
  <si>
    <t>OPSP-VAD-0601-2023</t>
  </si>
  <si>
    <t>VALENTINA VASQUEZ ZUÑIGA</t>
  </si>
  <si>
    <t>SERVICIOS PROFESIONALES INDEPENDIENTES PARA EL DESARROLLO DE LAS ACTIVIDADES 1.1.1, 1.2.1, 1.3.1, 1.3.7, 1.4.1,1.4.3, 1.5.1, 3.1.1, 3.2.1, 3.3.1, CORRESPONDIENTES A LOS OBJETIVOS 1 Y 2 DEL PROYECTO DE INVESTIGATION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SOCIALIZATCON DE ALCANCES Y OBJETIVOS DEL PROYECTO Y EL PROCESO DE IDENTIFICACION Y SELECCION DE BENEFICIARIOS EN EL MUNICIPIO DE EL RETEN, MAGDALENA. 2 REALIZAR MUESTREOS DE SUELOS EN LAS 40 PARCELAS Y APOYAR LOS PROCESOS DE ENVIO DE MUESTRAS DE SUELOS PREVIOS A LA SIEMBRA DEL MUNICIPIO DE EL RETEN, MAGDALENA EN COORDINACION CON EL DIRECTOR E INVESTIGADOR DEL REA AGRICOLA.</t>
  </si>
  <si>
    <t>https://community.secop.gov.co/Public/Tendering/ContractNoticePhases/View?PPI=CO1.PPI.23980583&amp;isFromPublicArea=True&amp;isModal=False</t>
  </si>
  <si>
    <t>OPSP-VAD-0602-2023</t>
  </si>
  <si>
    <t>SERVICIOS PROFESIONALES INDEPENDIENTES PARA EL DESARROLLO DE LAS ACTIVIDADES 1.1.1, 1.2.1, 1.3.1, 1.3.7, 1.4.1,1.4.3, 1.5.1, 3.1.1, 3.2.1, 3.3.1, CORRESPONDIENTES A LOS OBJETIVOS 1 Y 2 DEL PROYECTO DE INVESTIGACION BPIN 2022000100019 DENOMINADO DISENO E IMPLEMENTACITIN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SELECION DE BENEFICIARIOS EN EL MUNICIPIO DE REMOLINO, MAGDALENA. 2 REALIZAR MUESTREOS DE SUELOS EN LAS 40 PARCELAS Y APOYAR LOS PROCESOS DE ENVIO DE MUESTRAS DE SUELOS PREVIOS A LA SIEMBRA DEL MUNICIPIO DE REMOLINO, MAGDALENA EN COORDINACION CON EL DIRECTOR E INVESTIGADOR DEL AREA AGRICOLA.</t>
  </si>
  <si>
    <t>https://community.secop.gov.co/Public/Tendering/ContractNoticePhases/View?PPI=CO1.PPI.23980590&amp;isFromPublicArea=True&amp;isModal=False</t>
  </si>
  <si>
    <t>OPSP-VAD-0603-2023</t>
  </si>
  <si>
    <t>FREDY JOHAN QUINTERO RIVERA</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</si>
  <si>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ALBANIA LA GUAJIRA 2 REALIZAR MUESTREOS DE SUELOS EN LAS 40 PARCELAS Y APOYAR LOS PROCESOS DE ENVIO DE MUESTRAS DE SUELOS PREVIOS A LA SIEMBRA DEL MUNICIPIO DE ALBANIA, LA GUAJIRA EN COORDINACION CON EL DIRECTOR E INVESTIGADOR DEL BREA AGRICOLA.</t>
  </si>
  <si>
    <t>https://community.secop.gov.co/Public/Tendering/ContractNoticePhases/View?PPI=CO1.PPI.23986736&amp;isFromPublicArea=True&amp;isModal=False</t>
  </si>
  <si>
    <t>OPSP-VAD-0604-2023</t>
  </si>
  <si>
    <t>BERCELIO SUAREZ ACOSTA</t>
  </si>
  <si>
    <t>SERVICIOS PROFESIONALES INDEPENDIENTES PARA EL DESARROLLO DE LAS ACTIVIDADES 1.1.1, 1.2.1, 1.3.1, 1.3.7, 1.4.1,1.4.3, 1.5.1, 3.1.1, 3.2.1, 3.3.1, CORRESPONDIENTES A LOS OBJETIVOS 1 Y 2 DEL PROYECTO DE INVESTIGACIBN BPIN 2022000100019 DENOMINADO DISEÑO E IMPLEMENTACION DE ESTRATEGIAS PARA EL FORTALECIMIENTO DE CAPACIDADES LOCALES QUE PERMITAN REDUCIR LA VULNERABILIDAD 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SAN JUAN DEL CESAR. 2 REALIZAR MUESTREOS DE SUELOS EN LAS 40 PARCELAS Y APOYAR LOS PROCESOS DE ENVIO DE MUESTRAS DE SUELOS PREVIOS A LA SIEMBRA EN EL MUNICIPIO DE SAN JUAN DEL CESAR EN COORDINACION CON EL DIRECTOR E INVESTIGADOR DEL AREA AGRICOLA.</t>
  </si>
  <si>
    <t>https://community.secop.gov.co/Public/Tendering/ContractNoticePhases/View?PPI=CO1.PPI.23980598&amp;isFromPublicArea=True&amp;isModal=False</t>
  </si>
  <si>
    <t>OPSP-VAD-0605-2023</t>
  </si>
  <si>
    <t>ARMANDO OLMEDO LARRAZABAL</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</si>
  <si>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BENEFICIAROS EN EL MUNICIPIO DE FONSECA, LA GUAJIRA. 2 REALIZAR MUESTREOS DE SUELOS EN LAS 40 PARCELAS Y APOYAR LOS PROCESOS DE ENVIO DE MUESTRAS DE SUELOS PREVIOS A LA SIEMBRA DEL MUNICIPIO DE FONSECA, LA GUAJIRA EN COORDINACION CON EL DIRECTOR E INVESTIGADOR DEL AREA AGRICOLA.</t>
  </si>
  <si>
    <t>https://community.secop.gov.co/Public/Tendering/ContractNoticePhases/View?PPI=CO1.PPI.23982471&amp;isFromPublicArea=True&amp;isModal=False</t>
  </si>
  <si>
    <t>OPSP-VAD-0615-2023</t>
  </si>
  <si>
    <t>SERVICIOS PROFESIONALES INDEPENDIENTES PARA CUMPLIR CON ACTIVIDADES COMO COINVESTIGADOR DEL PROYECTO DE INVESTIGACIDN BPIN 2021000100084 DENOMINADO FORTALECIMIENTO DE LAS CAPACIDADES INSTITUCIONALES PARA LA INVESTIGACIDN DEL CULTIVO Y REPRODUCCIDN INDUCIDA DE LA LISA MUGIL INCILIS COMO UNA ALTERNATIVA PARA SU CONSERVATION EN EL CARIBE COLOMBIANO</t>
  </si>
  <si>
    <t>https://community.secop.gov.co/Public/Tendering/ContractNoticePhases/View?PPI=CO1.PPI.24341841&amp;isFromPublicArea=True&amp;isModal=False</t>
  </si>
  <si>
    <t>OPSP-VAD-0623-2023</t>
  </si>
  <si>
    <t>SERVICIOS PROFESIONALES COMO ASISTENTE DEL INVESTIGADOR EXPERTO EN VALORACION ECONDMICA PARA EL CUMPLIMIENTO DE LAS ACTIVIDADES 1.1.1, 1.2.1, 1.4.1, 1.4.3, 1.5.1, ,2.4.1, 3.1.1 CORRESPONDIENTE A LOS OBJETIVOS 1,2 Y 3 DEL PROYECTO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</si>
  <si>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https://community.secop.gov.co/Public/Tendering/ContractNoticePhases/View?PPI=CO1.PPI.24430725&amp;isFromPublicArea=True&amp;isModal=False</t>
  </si>
  <si>
    <t>OPSP-VAD-0627-2023</t>
  </si>
  <si>
    <t>SERVICIOS PROFESIONALES INDEPENDIENTES EN EL DESARROLLO DE UN TALLER BUENAS PRACTICAS DE MANEJO PARA ACUICULTURA</t>
  </si>
  <si>
    <t>https://community.secop.gov.co/Public/Tendering/ContractNoticePhases/View?PPI=CO1.PPI.24537963&amp;isFromPublicArea=True&amp;isModal=False</t>
  </si>
  <si>
    <t>OPSP-VAD-0629-2023</t>
  </si>
  <si>
    <t>DANNY DANIEL LOPEZ PATIÑO</t>
  </si>
  <si>
    <t>SERVICIOS PROFESIONALES COMO COINVESTIGADOR DE LAS ACTIVIDADES 1.2.2 1.2.4 2.3.1 Y 2.3.2 2.3.3 Y 2.3.4. RELACIONADAS CON LOS OBJETIVOS 1 Y 2 EN EL MARCO DE LA EJECUCION DEL PROYECTO BPIN 2020000100036 DENOMINADO IMPLEMENTACIBN DE SISTEMAS PRODUCTIVOS EN LA PISCICULTURA MARINA DEL RDBALO</t>
  </si>
  <si>
    <t>https://community.secop.gov.co/Public/Tendering/ContractNoticePhases/View?PPI=CO1.PPI.24577102&amp;isFromPublicArea=True&amp;isModal=False</t>
  </si>
  <si>
    <t>OPSP-VAD-0630-2023</t>
  </si>
  <si>
    <t>FITCH RATINGS COLOMBIA S.A SOCIEDAD CALIFICADORA DE VALORES</t>
  </si>
  <si>
    <t>SERVICIOS PROFESIONALES DE CALIFICACION DE CAPACIDAD DE PAGO DE LARGO PLAZO</t>
  </si>
  <si>
    <t>RONALD ROJAS</t>
  </si>
  <si>
    <t>https://community.secop.gov.co/Public/Tendering/ContractNoticePhases/View?PPI=CO1.PPI.24630672&amp;isFromPublicArea=True&amp;isModal=False </t>
  </si>
  <si>
    <t>OPSP-VAD-0653-2023</t>
  </si>
  <si>
    <t>YEISON DAVID DE LA TORRE CASILLO</t>
  </si>
  <si>
    <t>SERVICIOS PROFESIONALES INDEPENDIENTES PARA EL CUMPLIMIENTO DE LAS ACTIVIDADES DEL PROYECTO DE INVESTIGACION BPIN 2022000100019</t>
  </si>
  <si>
    <t>https://community.secop.gov.co/Public/Tendering/ContractNoticePhases/View?PPI=CO1.PPI.25334175&amp;isFromPublicArea=True&amp;isModal=False</t>
  </si>
  <si>
    <t>OPSP-VAD-0666-2023</t>
  </si>
  <si>
    <t>FABIO ANDRES MARIN CASTRO</t>
  </si>
  <si>
    <t>SERVICIOS COM PROFESIONAL AGRICOLA PARA EL CUMPLIMENTO DE LAS ACTIVIDADES DEL PROYECTO BPIN 2022000100019</t>
  </si>
  <si>
    <t>https://community.secop.gov.co/Public/Tendering/ContractNoticePhases/View?PPI=CO1.PPI.25681882&amp;isFromPublicArea=True&amp;isModal=False</t>
  </si>
  <si>
    <t>OPSP-VAD-1002-2023</t>
  </si>
  <si>
    <t>OBJETO 1. EMITIR LOS CONCEPTOS Y RESOLVER LAS CONSULTAS JURIDICAS QUE LE SEAN SOLICITADAS POR EL DESPACHO DEL SENOR RECTOR Y EL JEFE DE LA OFICINA ASESORA JURIDICA, EN MATERIA ADMINISTRATIVALABORAL, CONTRACTUAL Y EJECUTIVA, CUANDO ESTOS DEBAN SER ENTREGADOS POR ESCRITO, DEBERAN SER RUBRICADOS POR EL CONTRATISTA. 2. PROYECTAR Y PRESENTAR LA ACTUALIZACION DEL ESTATUTO GENERAL DE LA UNIVERSIDAD. 3^ ASESORAR A LA OFICINA ASESORA JURIDICA Y EL GRUPO DE CONTRATACION EN LOS PROCESOS SANCIONATORIOS QUE S^ INICIAN EN CONTRA DE LOS CONTRATISTAS QUE INCUMPLAN SUS OBLIGACIONES CONTRACTUALES. 4. ASESORAR A LA UNIVERSIDADV DEL MAGDALENA EN LOS PROCESOS DISCIPLINARIOS CUANDO SE LE REQUIERA. 5. REPRESENTAR A LA UNIVERSIDAD EN LAS ACTUACIONES ADMINISTRATIVAS ADELANTADAS EN LA CIUDAD DE BOGOTA. 6. CUANDO LAS CIRCUNSTANCIAS ASI IO INDIQUEN Y SE REQUIRIERA, DEBERA HACER PRESENCIA EN LAS INSTALACIONES DE LA UNIVERSIDAD</t>
  </si>
  <si>
    <t>2023/07/28</t>
  </si>
  <si>
    <t>2023/11/30</t>
  </si>
  <si>
    <t>https://community.secop.gov.co/Public/Tendering/ContractNoticePhases/View?PPI=CO1.PPI.26443023&amp;isFromPublicArea=True&amp;isModal=False</t>
  </si>
  <si>
    <t>OAG-VAD-0512-2023</t>
  </si>
  <si>
    <t>ANDREA BELLO MONTENEGRO</t>
  </si>
  <si>
    <t>SERVICIOS DE APOYO  A LA GESTION PARA EL DESARROLLO Y CUMPLIMIENTO DE LOS OBJETIVOS Y ACTIVIDADES DISPUESTAS EN LA MGA DEL PROYECTO BPIN 2021000100084</t>
  </si>
  <si>
    <t>https://community.secop.gov.co/Public/Tendering/ContractNoticePhases/View?PPI=CO1.PPI.23332888&amp;isFromPublicArea=True&amp;isModal=False</t>
  </si>
  <si>
    <t>OAG-VAD-0594-2023</t>
  </si>
  <si>
    <t>AARON ALI AARON TORREGROZA</t>
  </si>
  <si>
    <t>SERVICIOS DE APOYO A LA GESTION PARA EL DESARROLLO DE LAS ACTIVIDADES 1.1.1, 1.2.1, 1.4.1, 1.4.3, 1.5.1, 3.1.1 CORRESPONDIENTE A LOS OBJETIVOS 1 Y 2 DEL PROYECTO DE INVESTIGACIDN BPIN 2022000100019 DISENO E IMPLEMENTATION DE ESTRATEGIAS PARA EL FORTALECIMLENTO DE CAPACIDADES LOCALES QUE PERMITAN REDUCIR LA VULNERABILIDAD FRENTE AL CAMBIO CLIMATICO EN LOS DEPARTAMENTOS DEL MAGDALENA Y LA GUAJIRA PARA PARTICIPAR EN LA ETAPA DE DIAGNDSTICO E IMPLEMENTACIBN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FUNDACIDN, MAGDALENA. 4 APOYAR LAS ACTIVIDADES DE CAPACITACIDN EN EL MUNICIPIO DE FUNDACIDN, MAGDALENA.</t>
  </si>
  <si>
    <t>2023/03/17</t>
  </si>
  <si>
    <t>https://community.secop.gov.co/Public/Tendering/ContractNoticePhases/View?PPI=CO1.PPI.23889933&amp;isFromPublicArea=True&amp;isModal=False</t>
  </si>
  <si>
    <t>OAG-VAD-0595-2023</t>
  </si>
  <si>
    <t>ADALBERTO VALDEZ BUELVAS</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</si>
  <si>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REDUEIR LA VULNERABILIDAD FRENTE AL CAMBIO CLIMATICO EN LOS DEPARTAMENTOS DEL MAGDALENA Y LA GUAJIRA PARA PARTICIPAR EN LA ETAPA DE DIAGNDSTICO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EL RETEN, MAGDALENA. 4 APOYAR LAS ACTIVIDADES DE CAPACITACIDN EN EL MUNICIPIO DE EL RETEN, MAGDALENA.</t>
  </si>
  <si>
    <t>https://community.secop.gov.co/Public/Tendering/ContractNoticePhases/View?PPI=CO1.PPI.23889944&amp;isFromPublicArea=True&amp;isModal=False</t>
  </si>
  <si>
    <t>OAG-VAD-0596-2023</t>
  </si>
  <si>
    <t>JOSE TONCEL ATENCIO</t>
  </si>
  <si>
    <t>SERVICIOS DE APOYO A LA GESTIDN PARA EL DESARROLLO DE LAS ACTIVIDADES 1.1.1, 1.2.1, 1.4.1, 1.4.3, 1.5.1, 3.1.1 CORRESPONDIENTE A LOS OBJETIVOS 1 Y 2 DEL PROYECTO DE INVESTIGACION BPIN 2022000100019 DISEHO E IMPLEMENTACITIN DE ESTRATEGIAS PARA EL FORTALECIMIENTO DE CAPACIDADES LOCALES QUE PERMITAN REDUCIR LA VULNERABILIDAD 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FONSECA, LA GUAJIRA. 4 APOYAR LAS ACTIVIDADES DE CAPACITACION EN EL MUNICIPIO DE FONSECA, LA GUAJIRA</t>
  </si>
  <si>
    <t>https://community.secop.gov.co/Public/Tendering/ContractNoticePhases/View?PPI=CO1.PPI.23889953&amp;isFromPublicArea=True&amp;isModal=False</t>
  </si>
  <si>
    <t>OAG-VAD-0622-2023</t>
  </si>
  <si>
    <t>ANEISA YESITH PACHECO IBAÑEZ</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</si>
  <si>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</si>
  <si>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https://community.secop.gov.co/Public/Tendering/ContractNoticePhases/View?PPI=CO1.PPI.24442777&amp;isFromPublicArea=True&amp;isModal=False</t>
  </si>
  <si>
    <t>OAG-VAD-0638-2023</t>
  </si>
  <si>
    <t>RENETH ELIECER NAVARRO FONTALVO</t>
  </si>
  <si>
    <t>SERVICIOS DE APOYO A LA GESTION PARA EL DESARROLLO DE LAS ACTIVIDADES 1.1.1, 1.2.1, 1.4.1, 1.4.3, 1.5.1, 3.1.1 CORRESPONDIENTE A LOS OBJETIVOS 1 Y 2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REMOLINO, MAGDALENA. 4 APOYAR LAS ACTIVIDADES DE CAPACITACION EN EL MUNICIPIO DE REMOLINO, MAGDALENA.</t>
  </si>
  <si>
    <t>https://community.secop.gov.co/Public/Tendering/ContractNoticePhases/View?PPI=CO1.PPI.24733484&amp;isFromPublicArea=True&amp;isModal=False</t>
  </si>
  <si>
    <t>OAG-VAD-0649-2023</t>
  </si>
  <si>
    <t>HEYLER JAVIER CUELLO DAZA</t>
  </si>
  <si>
    <t>SERVICIOS DE APOYO A LA GESTION PARA EL DESARROLLO DE LAS ACTIVIDADES 1.1.1, 1.2.1, 1.4.1, 1.4.3, 1.5.1, 3.1.1 CORRESPONDIENTE A LOS OBJETIVOS 1 Y 2 DEL PROYECTO DE INVESTIGACION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SAN JUAN DEL CESAR, LA GUAJIRA. 4 APOYAR LAS ACTIVIDADES DE CAPACITACION EN EL MUNICIPIO DE SAN JUAN DEL CESAR, LA GUAJIRA.</t>
  </si>
  <si>
    <t>2023/05/18</t>
  </si>
  <si>
    <t>https://community.secop.gov.co/Public/Tendering/ContractNoticePhases/View?PPI=CO1.PPI.25038389&amp;isFromPublicArea=True&amp;isModal=False</t>
  </si>
  <si>
    <t>OPSP-FHU-0001</t>
  </si>
  <si>
    <t>EDGAR ANDRES PABON RUBIO</t>
  </si>
  <si>
    <t>Fortalecer los procesos logísticos y organizativos de las actividades relacionadas con el funcionamiento de las cohortes dentro del programa de la Maestría en Argumentación Jurídica para el periodo académico 2023 - 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16. Proyectar las respuestas de los derechos de petición y tutelas presentadas a la Facultad de Humanidades.
17.Asesorar la realización del Examen de Suficiencia en Derecho.
18. Proyectar los actos administrativos de la Facultad de Humanidades.
19. Asesorar la oferta de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</si>
  <si>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GIOVANNA MARIA SIMANCAS TINOCO</t>
  </si>
  <si>
    <t>https://community.secop.gov.co/Public/Tendering/OpportunityDetail/Index?noticeUID=CO1.NTC.3950331&amp;isFromPublicArea=True&amp;isModal=False</t>
  </si>
  <si>
    <t>OPSP-FHU-0002</t>
  </si>
  <si>
    <t>GINNA LIZETH GONZALEZ CAMPO</t>
  </si>
  <si>
    <t>Fortalecer los procesos logísticos y organizativos de las actividades relacionadas con el funcionamiento de las cohortes dentro del programa de la Maestría en Producción Audiovisual Creativa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</si>
  <si>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ARMANDO JOSE SILVA HAMBURGER</t>
  </si>
  <si>
    <t>https://community.secop.gov.co/Public/Tendering/OpportunityDetail/Index?noticeUID=CO1.NTC.3950648&amp;isFromPublicArea=True&amp;isModal=False</t>
  </si>
  <si>
    <t>OPSP-FHU-0003</t>
  </si>
  <si>
    <t>HIRAN DAVID RAMIREZ MONROY</t>
  </si>
  <si>
    <t>Fortalecer los procesos logísticos y organizativos de las actividades relacionadas con el funcionamiento de las cohortes dentro del programa de la Especialización en Derecho Procesal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</si>
  <si>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https://community.secop.gov.co/Public/Tendering/OpportunityDetail/Index?noticeUID=CO1.NTC.3951150&amp;isFromPublicArea=True&amp;isModal=False</t>
  </si>
  <si>
    <t>OPSP-FHU-0004</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</si>
  <si>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</si>
  <si>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</si>
  <si>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https://community.secop.gov.co/Public/Tendering/OpportunityDetail/Index?noticeUID=CO1.NTC.3951990&amp;isFromPublicArea=True&amp;isModal=False</t>
  </si>
  <si>
    <t>OPSP-FHU-0005</t>
  </si>
  <si>
    <t>Fortalecer los procesos logísticos y organizativos de las actividades relacionadas con el funcionamiento de las
cohortes dentro del programa de la Maestría en Escrituras Audiovisuales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16. Diseñar piezas, gráficas y presentaciones para procesos de acreditación, registros calificados y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</si>
  <si>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https://community.secop.gov.co/Public/Tendering/OpportunityDetail/Index?noticeUID=CO1.NTC.3952398&amp;isFromPublicArea=True&amp;isModal=False</t>
  </si>
  <si>
    <t>OPSP-FHU-0006</t>
  </si>
  <si>
    <t>OSWALTH ADRIAN ALZATE LOPEZ</t>
  </si>
  <si>
    <t>Fortalecer los procesos logísticos y organizativos de las actividades relacionadas con el funcionamiento de las cohortes dentro del programa de la Especialización en Derecho Administrativo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</si>
  <si>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https://community.secop.gov.co/Public/Tendering/OpportunityDetail/Index?noticeUID=CO1.NTC.3952818&amp;isFromPublicArea=True&amp;isModal=False</t>
  </si>
  <si>
    <t>OPSP-FHU-0007</t>
  </si>
  <si>
    <t>YAMILETH FLORIAN MARTINEZ</t>
  </si>
  <si>
    <t>Fortalecer los procesos logísticos y organizativos de las
actividades relacionadas con el funcionamiento de las cohortes dentro del programa de la Maestría en
Antropología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Antropología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Antropología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</si>
  <si>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HUGO DAVID DURAN GAMARRA</t>
  </si>
  <si>
    <t>https://community.secop.gov.co/Public/Tendering/OpportunityDetail/Index?noticeUID=CO1.NTC.3952774&amp;isFromPublicArea=True&amp;isModal=False</t>
  </si>
  <si>
    <t>OPSP-FHU-0008</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</si>
  <si>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</si>
  <si>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2023-1.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Decana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administrativa y financiera de los estudiantes del programa.
9.Mantener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</si>
  <si>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https://community.secop.gov.co/Public/Tendering/OpportunityDetail/Index?noticeUID=CO1.NTC.3953990&amp;isFromPublicArea=True&amp;isModal=False</t>
  </si>
  <si>
    <t>OPSP-FHU-0009</t>
  </si>
  <si>
    <t>DAYANA GUTIERREZ GUERRERO</t>
  </si>
  <si>
    <t>Asesorar jurídicamente los procesos de contratación de la Facultad de Humanidades en el periodo 2023-I cumpliendo con los requisitos establecidos en la ley, desarrollando las siguientes actividades:
1. Realizar activación de usuarios del personal a contratar en la Facultad de Humanidades en las plataformas GEDOCO y SIGEP II para la contratación del periodo 2023-I. 2. Revisar, validar y aprobar la información y soportes del personal a contratar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5.Revisar la documentación para elaboración de Resoluciones en el marco de la Resolución 308 del 12 de Julio de 2022. 9. Llenar los formatos requeridos por parte de la oficina de talento Humano para tramites de afiliación a la seguridad social de los Docentes catedráticos de Pregrado y Posgrados de la Facultad de Humanidades. 10. Revisar y dar trámite a las solicitudes recibidas en la correspondencia relacionada con la contratación de la Facultad de Humanidades. 11.Realizar seguimiento a los trámites de pago de los docentes en el marco de la Resolución 308 del 12 de Julio de 2022. 9.Rendir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</si>
  <si>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https://community.secop.gov.co/Public/Tendering/OpportunityDetail/Index?noticeUID=CO1.NTC.3955937&amp;isFromPublicArea=True&amp;isModal=False</t>
  </si>
  <si>
    <t>OPSP-FHU-0010</t>
  </si>
  <si>
    <t>ELIANA MARCELA POLO MALDONADO</t>
  </si>
  <si>
    <t>Apoyar la organización y logística, de las actividades administrativas y académicas relacionadas con los procesos de creación de Programas de los programas de Posgrados de la Facultad de Humanidades para el periodo 2023-I, desarrollando las siguientes actividades: 1. Realizar seguimiento a los procesos de creación de programas de los Posgrados de la Facultad de Humanidades. 2. Mantener actualizada la información relacionada con los procesos de creación de programas de los Posgrados de la Facultad de Humanidades. 3. Participar, apoyar, contribuir en la elaboración del proceso de creación de programas. 4. Mantener actualizado y organizado el archivo documental relacionado con los procesos de creación de programas de los Posgrados de la Facultad de Humanidades. 5.Presentar mensualmente a la Decana de la Facultad de Humanidades un informe detallado que dé cuenta sobre el cumplimiento de sus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</si>
  <si>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https://community.secop.gov.co/Public/Tendering/OpportunityDetail/Index?noticeUID=CO1.NTC.4011709&amp;isFromPublicArea=True&amp;isModal=False</t>
  </si>
  <si>
    <t>OPSP-FHU-0011</t>
  </si>
  <si>
    <t>MAGNELLYS PATRICIA VESGA ACOSTA</t>
  </si>
  <si>
    <t>Apoyar al Programa de Cine y Audiovisuales con los procesos
de matrícula e inscripción de cursos de los estudiantes de profesionalización. Proyectar informes de gestión
para Proimagenes. Diligenciar formatos, horarios, y reportes de notas de los cursos. Recibir comunicaciones de
estudiantes y docentes del proyecto de profesionalización.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</si>
  <si>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https://community.secop.gov.co/Public/Tendering/OpportunityDetail/Index?noticeUID=CO1.NTC.4209788&amp;isFromPublicArea=True&amp;isModal=False</t>
  </si>
  <si>
    <t>OAG-FHU-0012</t>
  </si>
  <si>
    <t>YURITZA MAILETH PACHECO PEREA</t>
  </si>
  <si>
    <t>Apoyar en la recolección de información documental para la construcción del documento de autoevaluación con fines de acreditación por alta calidad del programa de Antropología. 2) Apoyar en la aplicación de instrumentos de percepción a estudiantes, docentes, directivos y egresados del programa de Antropología para la construcción del documento de autoevaluación con fines de acreditación por alta calidad del programa. 3) Apoyar en la sistematización de información documental para la construcción del documento de autoevaluación con fines de acreditación por alta calidad del programa de Antropología. 4) Apoyar en la redacción de los informes por factor, construcción de plan de mejoramiento y
organización de anexos de los documentos de autoevaluación con fines de acreditación por alta calidad del programa de Antropología.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</si>
  <si>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https://community.secop.gov.co/Public/Tendering/OpportunityDetail/Index?noticeUID=CO1.NTC.4401021&amp;isFromPublicArea=True&amp;isModal=False</t>
  </si>
  <si>
    <t>OPSP-FHU-0013</t>
  </si>
  <si>
    <t>STEPHANIE DEL ROSARIO PEÑARANDA MEZA</t>
  </si>
  <si>
    <t>1. Apoyar programas de Posgrados de la Facultad de Humanidades con la Oficina de Aseguramiento de la Calidad los Procesos de autoevaluación, creación, modificación y renovación de los Registros Calificados. 2. Apoyar los siguientes procesos de creación de nuevos programas: Doctorado en Humanidades, Maestría en Derecho Procesal y Justicia Digital de la Facultad de Humanidades. 3.Apoyar la logística de las actividades de autoevaluación y planes de mejoramiento de los programas de Posgrados. 4.Apoyar la redacción y presentación de los informes de autoevaluación de los programas de posgrado de la Facultad de Humanidades. 5.Asistir a las reuniones programadas por la oficina de aseguramiento de la calidad, las Facultades, el Centro de Posgrados y Formación Continua y, el Ministerio de Educación Nacional correspondientes a procesos de autoevaluación, capacitación y socialización de la normatividad vigente. 6.Apoyar en la recopilación y organización de evidencias y documentos que requieran los informes de autoevaluación y renovación (consulta a páginas del gobierno nacional, planes de gobierno, planes de acción, SNIES, Observatorio laboral, Normatividad interna institucional, etc). 7.Rendir informes mensuales a la Decana de la Facultad de Humanidades, acerca de los procesos de autoevaluación, modificación y renovación de los Registros Calificados de los programas asignados y demás actividades de posgrados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</si>
  <si>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https://community.secop.gov.co/Public/Tendering/OpportunityDetail/Index?noticeUID=CO1.NTC.4584994&amp;isFromPublicArea=True&amp;isModal=False</t>
  </si>
  <si>
    <t>OPSP-FHU-0014</t>
  </si>
  <si>
    <t>Asesorar jurídicamente los procesos de contratación de la Facultad de Humanidades en el periodo 2023-II cumpliendo con los requisitos establecidos en la ley, desarrollando las siguientes actividades: 1. Realizar activación de usuarios del personal a contratar (Contratistas y Docentes) en la Facultad de Humanidades en las plataformas GEDOCO y SIGEP II para la contratación del periodo 2023-II. 2. Revisar, validar y aprobar la información y soportes del personal a contratar (Contratistas y Docentes)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9. Revisar y dar trámite a las solicitudes recibidas en la correspondencia relacionada con la contratación de la Facultad de Humanidades. 10.Rendir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</si>
  <si>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https://community.secop.gov.co/Public/Tendering/OpportunityDetail/Index?noticeUID=CO1.NTC.4728557&amp;isFromPublicArea=True&amp;isModal=False</t>
  </si>
  <si>
    <t>OAG-FHU-0015</t>
  </si>
  <si>
    <t>Organizar los archivos de los Programas de la Facultad de
Humanidades para transferencia documental, siguiendo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</si>
  <si>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https://community.secop.gov.co/Public/Tendering/OpportunityDetail/Index?noticeUID=CO1.NTC.4739203&amp;isFromPublicArea=True&amp;isModal=False</t>
  </si>
  <si>
    <t>OPSP-FHU-0016</t>
  </si>
  <si>
    <t>Apoyar los procesos logísticos, administrativos y jurídicos de las actividades relacionadas con la Facultad de Humanidades para el periodo académico 2023-II, a través de la implementación de las siguientes actividades:1. Proyectar las respuestas de los derechos de petición y tutelas presentadas a la Facultad de Humanidades. 2.Apoyar y asesorar la logística de realización del Examen de Suficiencia en Derecho en lo concerniente a gestión de espacios, y apoyo en la proyección de respuestas a cualquier requerimiento relacionado con el mismo 3. Apoyar la proyección de actos administrativos de la Facultad de Humanidades, así como también la proyección de los distintos convenios.4. Asesorar la oferta de Formación Continua de la Facultad de Humanidades. 5.Asesorar jurídicamente al Consejo de Facultad en los distintos procesos disciplinarios que se encuentran en curso.6. Apoyar en la construcción de la matriz de salidas de campo de los programas adscritos a la Facultad de Humanidades en el periodo 2023-ll.7.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</si>
  <si>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https://community.secop.gov.co/Public/Tendering/OpportunityDetail/Index?noticeUID=CO1.NTC.4738791&amp;isFromPublicArea=True&amp;isModal=False</t>
  </si>
  <si>
    <t>OPS -VEX -0639-2023</t>
  </si>
  <si>
    <t>900420942-1</t>
  </si>
  <si>
    <t>GONIMA TOPOGRAFIA S.A.S.</t>
  </si>
  <si>
    <t>SERVICIO DE LEVANTAMIENTO TOPOGRÁFICO DE TRECE (13) PREDIOS UBICADOS EN EL DEPARTAMENTO DE SUCRE, SEGÚN LOS LINEAMIENTOS DE ANT EN EL MARCO DEL CONTRATO ANT-20232685. Cada levantamiento topográfico deberá contener los siguientes ítems: 1. Sistema de Referencia Espacial 2. Materialización de puntos topográficos base 3. Georreferenciación puntos topográficos base 4. Metodología para levantamientos topográficos 5. Especificaciones mínimas de ortoimágenes 6. Especificaciones de Registro fotográfico 7. Acta de Mensura</t>
  </si>
  <si>
    <t>https://community.secop.gov.co/Public/Tendering/OpportunityDetail/Index?noticeUID=CO1.NTC.4627859&amp;isFromPublicArea=True&amp;isModal=False</t>
  </si>
  <si>
    <t>OPSP-VEX-0698-2023</t>
  </si>
  <si>
    <t>KAREN YULIETH GARZÓN DÍAZ</t>
  </si>
  <si>
    <t>1.GENERAR LOS INFORMES RESULTANTES DE LOS LEVANTAMIENTOS TOPOGRÁFICOS CORRESPONDIENTES A LOS DEPARTAMENTOS DE CÓRDOBA, EL ATLÁNTICO, Y OTROS DEPARTAMENTOS 2. CONTROLAR QUE EL PROCESO DE PLANOS E INFORMES DE LEVANTAMIENTOS TOPOGRÁFICOS PARA LOS DEPARTAMENTOS DE CÓRDOBA, EL ATLÁNTICO, Y OTROS DEPARTAMENTOS, SE REALICE DE ACUERDO CON LOS REQUERIMIENTOS DE LA AGENCIA NACIONAL DE TIERRAS CUMPLIENDO CON LA NORMATIVIDAD APLICABLE DEL IGAC. 3. GENERAR SOPORTES PARA EL PROCESO DE FACTURACIÓN REQUERIDOS EN EL MARCO DEL PROYECTO.</t>
  </si>
  <si>
    <t>https://community.secop.gov.co/Public/Tendering/OpportunityDetail/Index?noticeUID=CO1.NTC.4762057&amp;isFromPublicArea=True&amp;isModal=False</t>
  </si>
  <si>
    <t>OAG-VEX-0739-2023</t>
  </si>
  <si>
    <t>JAIRO GUSTAVO HERNANDEZ PRADO</t>
  </si>
  <si>
    <t>PRESTAR SERVICIOS DE APOYO A LA GESTIBN COMO OBSERVADOR PESQUERO, EN EL MARCO DEL CONVENIO NO. 343 DE 2023, SUSCRITO ENTRE LA AUTORIDAD NACIONAL DE ACUICULTURA Y PESCA (AUNAP) Y LA UNIVERSIDAD DEL MAGDALENA, PARA EL DESARROLLO DE LAS SIGUIENTES ACTIVIDADES: 1) RECOLECTAR INFORMACIBN A BORDO DE LAS EMBARCACIONES DE PESCA ARTESANALES EMBLEMATICAS RUCHE QUE OPERAN EN EL LITORAL PACIFICO COLOMBIANO DE CONFORMIDAD CON LOS FORMATES PREVISTOS PARA TAI EFECTO. 2) DISCRIMINAR LA CAPTURA DE CADA LANCE DE PESCA EN TRES CATEGORIAS (CAPTURA OBJETIVO, CAPTURA INCIDENTAL Y DESCARTE), SIGUIENDO EL PROTOCOLO DE MUESTREO ESTABLECIDO POR EL PROGRAMA DE OBSERVADORES PESQUEROS DE COLOMBIA - POPC. 3) EN CADA LANCE DE PESCA MUESTREADO, REGISTRAR DATES BIOLBGICOS DE LAS ESPECIES INDICADAS, DE ACUERDO CON EL TIPO DE FLOTA ARTESANAL MUESTREADA Y LOS RESPECTIVOS FORMATOS ESTABLECIDO PARA CADA CASO. 4) DILIGENCIAR Y ENTREGAR TODA LA INFORMACIBN EN LOS FORMATOS FISICOS ESTABLECIDOS PARA EL MUESTREO A BORDO DE LAS CAPTURAS EFECTUADAS POR LAS EMBARCACIONES DE PESCA ARTESANAL CORRESPONDIENTES. 5) PRESENTAR INFORMES DE ACTIVIDAD DE ACUERDO CON LOS LINEAMIENTOS ESTABLECIDOS POR LA COORDINACIBN DEL POPC Y DE CONFORMIDAD CON LA PERIODICIDAD DE LOS EMBARQUES EFECTUADOS. 6) ARCHIVAR LA INFORMACIBN GENERADA EN EL MARCO DEL PROYECTO EN LOS MEDIOS TECNOLBGICOS DESIGNADOS POR LA VICERRECTORIA DE EXTENSION Y PROYECCIBN SOCIAL.</t>
  </si>
  <si>
    <t>HARLEY ZUÑIGA CLAVIJO</t>
  </si>
  <si>
    <t>https://community.secop.gov.co/Public/Tendering/OpportunityDetail/Index?noticeUID=CO1.NTC.4780244&amp;isFromPublicArea=True&amp;isModal=False</t>
  </si>
  <si>
    <t>OPS-VEX-0748-2023</t>
  </si>
  <si>
    <t>LA PRESENTE ORDEN TIENE POR SERVICIO DE LEVANTAMIENTO TOPOGRÁFICO DE CINCO (5) PREDIOS UBICADOS EN EL DEPARTAMENTO DE SUCRE, SEGÚN LOS LINEAMIENTOS DE ANT EN EL MARCO DEL CONTRATO ANT-20232685. CADA LEVANTAMIENTO TOPOGRÁFICO DEBERÁ CONTENER LOS SIGUIENTES ÍTEMS: 1. SISTEMA DE REFERENCIA ESPACIAL 2. MATERIALIZACIÓN DE PUNTOS TOPOGRÁFICOS BASE 3. GEORREFERENCIACIÓN PUNTOS TOPOGRÁFICOS BASE 4. METODOLOGÍA PARA LEVANTAMIENTOS TOPOGRÁFICOS 5. ESPECIFICACIONES MÍNIMAS DE ORTOIMÁGENES 6. ESPECIFICACIONES DE REGISTRO FOTOGRÁFICO 7. ACTA DE MENSURA</t>
  </si>
  <si>
    <t>https://community.secop.gov.co/Public/Tendering/OpportunityDetail/Index?noticeUID=CO1.NTC.4784524&amp;isFromPublicArea=True&amp;isModal=False</t>
  </si>
  <si>
    <t>OAG-VEX-0740-2023</t>
  </si>
  <si>
    <t>LUIS ALBERTO BURBANO</t>
  </si>
  <si>
    <t>PRESTAR SERVICIOS DE APOYO A LA GESTIDN COMO OBSERVADOR PESQUERO, EN EL MARCO DEL CONVENIO NO. 343 DE 2023, SUSCRITO ENTRE LA AUTORIDAD NACIONAL DE ACUICULTURA Y PESCA (AUNAP) Y LA UNIVERSIDAD DEL MAGDALENA, PARA EL DESARROLLO DE LAS SIGUIENTES ACTIVIDADES: 1) RECOLECTAR INFORMACIBN A BORDO DE LAS EMBARCACIONES DE PESCA ARTESANALES EMBLEMATICAS RUCHE QUE OPERAN EN EL LITORAL PACIFICO COLOMBIANO DE CONFORMIDAD CON LOS FORMATOS PREVISTOS PARA TAI EFECTO. 2) DISCRIMINAR LA CAPTURA DE CADA LANCE DE PESCA EN TRES CATEGORIAS (CAPTURA OBJETIVO, CAPTURA INCIDENTAL Y DESCARTE), SIGUIENDO EL PROTOCOLO DE MUESTREO ESTABLECIDO POR EL PROGRAMA DE OBSERVADORES PESQUEROS DE COLOMBIA - POPC. 3) EN CADA LANCE DE PESCA MUESTREADO, REGISTRAR DATOS BIOLDGICOS DE LAS ESPECIES INDICADAS, DE ACUERDO CON EL TIPO DE FLOTA ARTESANAL MUESTREADA Y LOS RESPECTIVOS FORMATOS ESTABLECIDO PARA CADA CASO. 4) DILIGENCIAR Y ENTREGAR TODA LA INFORMACIBN EN LOS FORMATOS FISICOS ESTABLECIDOS PARA EL MUESTREO A BORDO DE LAS CAPTURAS EFECTUADAS POR LAS EMBARCACIONES DE PESCA ARTESANAL CORRESPONDIENTES. 5) PRESENTAR INFORMES DE ACTIVIDAD DE ACUERDO CON LOS LINEAMIENTOS ESTABLECIDOS POR LA COORDINACIBN DEL POPC Y DE CONFORMIDAD CON LA PERIODICIDAD DE LOS EMBARQUES EFECTUADOS. 6) ARCHIVAR LA INFORMACIBN GENERADA EN EL MARCO DEL PROYECTO EN LOS MEDIOS TECNOLBGICOS DESIGNADOS POR LA VICERRECTORIA DE EXTENSION Y PROYECCIBN SOCIAL</t>
  </si>
  <si>
    <t>https://community.secop.gov.co/Public/Tendering/OpportunityDetail/Index?noticeUID=CO1.NTC.4785127&amp;isFromPublicArea=True&amp;isModal=False</t>
  </si>
  <si>
    <t>OPSP-VEX-0747-2023</t>
  </si>
  <si>
    <t>1.REALIZAR LA REVISIÓN DE LA CARTOGRAFÍA Y DEMÁS PLANOS GENERADOS EN EL PROYECTO. 2. REALIZAR TALLERES DE CAPACITACIÓN AL PERSONAL VINCULADO AL PROYECTO SOBRE LAS TEMÁTICAS QUE LE SEAN REQUERIDAS. 3. ASISTIR A LAS REUNIONES QUE LE SEAN ASIGNADAS CON OCASIÓN DE SEGUIMIENTO DEL PROYECTO Y SU DESARROLLO. 4. APOYO A LA ELABORACIÓN DEL INFORME FINAL EN EL COMPONENTE CARTOGRÁFICO DEL PROYECTO CON MIRAS A SU FINALIZACIÓN Y LIQUIDACIÓN.</t>
  </si>
  <si>
    <t>https://community.secop.gov.co/Public/Tendering/OpportunityDetail/Index?noticeUID=CO1.NTC.4787765&amp;isFromPublicArea=True&amp;isModal=False</t>
  </si>
  <si>
    <t>OPSP-FCB-001</t>
  </si>
  <si>
    <t>OPSP-FCB-002</t>
  </si>
  <si>
    <t xml:space="preserve">OPSP-FCB-003 </t>
  </si>
  <si>
    <t>OPSP-FCB-004</t>
  </si>
  <si>
    <t>OPSP-FCB-005</t>
  </si>
  <si>
    <t>OPSP-FIN-0001</t>
  </si>
  <si>
    <t xml:space="preserve">LA PRESENTE ORDEN TIENE POR OBJETO LAS SIGUIENTES ACTIVIDADES1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t>
  </si>
  <si>
    <t>https://community.secop.gov.co/Public/Tendering/ContractNoticePhases/View?PPI=CO1.PPI.23000608&amp;isFromPublicArea=True&amp;isModal=False</t>
  </si>
  <si>
    <t>OPSP-FIN-0002</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</si>
  <si>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</si>
  <si>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t>
  </si>
  <si>
    <t>PEDRO LUIS SALCEDO RAMIREZ</t>
  </si>
  <si>
    <t>https://community.secop.gov.co/Public/Tendering/ContractNoticePhases/View?PPI=CO1.PPI.23001759&amp;isFromPublicArea=True&amp;isModal=False</t>
  </si>
  <si>
    <t>OPSP-FIN-0003</t>
  </si>
  <si>
    <t>CEINY GIMENA JIMENEZ TURIZO</t>
  </si>
  <si>
    <t>LA PRESENTE ORDEN TIENE POR OBJETO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t>
  </si>
  <si>
    <t>LILIANA MARGARITA CORTINA PEÑARANDA</t>
  </si>
  <si>
    <t>https://community.secop.gov.co/Public/Tendering/ContractNoticePhases/View?PPI=CO1.PPI.23002711&amp;isFromPublicArea=True&amp;isModal=False</t>
  </si>
  <si>
    <t>OPSP-FIN-0004</t>
  </si>
  <si>
    <t>ADRIANA MARIA PATIÑO LOPEZ</t>
  </si>
  <si>
    <t>LA PRESENTE ORDEN TIENE POR OBJETO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t>
  </si>
  <si>
    <t>https://community.secop.gov.co/Public/Tendering/ContractNoticePhases/View?PPI=CO1.PPI.23002728&amp;isFromPublicArea=True&amp;isModal=False</t>
  </si>
  <si>
    <t>OPSP-FIN-0005</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</si>
  <si>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</si>
  <si>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t>
  </si>
  <si>
    <t>KATHERINE YISETH OLIVOS COLLANTES</t>
  </si>
  <si>
    <t>https://community.secop.gov.co/Public/Tendering/ContractNoticePhases/View?PPI=CO1.PPI.23002772&amp;isFromPublicArea=True&amp;isModal=False</t>
  </si>
  <si>
    <t>OPSP-FIN-0006</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</si>
  <si>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t>
  </si>
  <si>
    <t>https://community.secop.gov.co/Public/Tendering/ContractNoticePhases/View?PPI=CO1.PPI.23021608&amp;isFromPublicArea=True&amp;isModal=False</t>
  </si>
  <si>
    <t>OPSP-FIN-0007</t>
  </si>
  <si>
    <t>DANIEL ESTEBAN BERMUDEZ VARGAS</t>
  </si>
  <si>
    <t xml:space="preserve">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t>
  </si>
  <si>
    <t>CARLOS ENRIQUE BARRAZA HERAS</t>
  </si>
  <si>
    <t>https://community.secop.gov.co/Public/Tendering/ContractNoticePhases/View?PPI=CO1.PPI.23022740&amp;isFromPublicArea=True&amp;isModal=False</t>
  </si>
  <si>
    <t>OPSP-FIN-0008</t>
  </si>
  <si>
    <t xml:space="preserve">LA PRESENTE ORDEN TIENE POR OBJETO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t>
  </si>
  <si>
    <t>AQUILES ALFONSO COHEN LLANES</t>
  </si>
  <si>
    <t>https://community.secop.gov.co/Public/Tendering/ContractNoticePhases/View?PPI=CO1.PPI.23023913&amp;isFromPublicArea=True&amp;isModal=False</t>
  </si>
  <si>
    <t>OPSP-FIN-0009</t>
  </si>
  <si>
    <t>DAGY ENRIQUE CABARCAS SAUMETH</t>
  </si>
  <si>
    <t>LA PRESENTE ORDEN TIENE POR OBJETO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3 APOYO EN ELABORACION DE MATRIZ DE INDICADORES POR FACTOR DE ALTA CALIDAD DE PROGRAMAS ACADEMICOS DE LA FACULTAD DE INGENIERIA.</t>
  </si>
  <si>
    <t>https://community.secop.gov.co/Public/Tendering/ContractNoticePhases/View?PPI=CO1.PPI.23024775&amp;isFromPublicArea=True&amp;isModal=False</t>
  </si>
  <si>
    <t>OAG-FIN-0010</t>
  </si>
  <si>
    <t>CAMILO DAVID QUINTANA GAMARRA</t>
  </si>
  <si>
    <t>LA PRESENTE ORDEN TIENE POR OBJETO 1 APOYAR EN LA RECOLECCION DE INFORMACION DOCUMENTAL PARA LA CONSTRUCCION DEL DOCUMENTO DE AUTOEVALUACION CON FINES DE ACREDITACION POR ALTA CALIDAD DE LOS PROGRAMAS DE LA FACULTAD DE INGENIERIA. 2 APOYAR EN LA APLICACION DE INSTRUMENTOS DE PERCEPCION A ESTUDIANTES, DOCENTES, DIRECTIVOS Y EGRESADOS DE LOS PROGRAMAS DE LA FACULTAD DE INGENIERIA PARA LA CONSTRUCCION DEL DOCUMENTO DE AUTOEVALUACION CON FINES DE ACREDITACION POR ALTA CALIDAD DEL PROGRAMA.</t>
  </si>
  <si>
    <t>RONALD MARTINEZ ABUABARA</t>
  </si>
  <si>
    <t>https://community.secop.gov.co/Public/Tendering/ContractNoticePhases/View?PPI=CO1.PPI.23025579&amp;isFromPublicArea=True&amp;isModal=False</t>
  </si>
  <si>
    <t>OAG-FIN-0011</t>
  </si>
  <si>
    <t>KRISTELL JOHANA MARTINEZ GARCIA</t>
  </si>
  <si>
    <t xml:space="preserve">LA PRESENTE ORDEN TIENE POR OBJETO 1 APOYAR EN LA RECOLECCION DE INFORMACION DOCUMENTAL PARA LA CONSTRUCCION DEL DOCUMENTO DE AUTOEVALUACION CON FINES DE ACREDITACION POR ALTA CALIDAD DEL PROGRAMA DE INGENIERIA INDUSTRIAL. 2 APOYAR EN LA APLICACION DE INSTRUMENTOS DE PERCEPCION A ESTUDIANTES, DOCENTES,DIRECTIVOS Y EGRESADOS DEL PROGRAMA DE INGENIERIA INDUSTRIAL PARA LA CONSTRUCCION DEL DOCUMENTO DE AUTOEVALUACION CON FINES DE ACREDITACION POR ALTA CALIDAD DEL PROGRAMA. </t>
  </si>
  <si>
    <t>https://community.secop.gov.co/Public/Tendering/ContractNoticePhases/View?PPI=CO1.PPI.23181813&amp;isFromPublicArea=True&amp;isModal=False</t>
  </si>
  <si>
    <t>OPSP-FIN-0012</t>
  </si>
  <si>
    <t>JUAN BAUTISTA RODRIGUEZ BARROS</t>
  </si>
  <si>
    <t>LA PRESENTE ORDEN TIENE POR OBJETO 1 ASESORAR Y APOYAR EN LA COORDINACION DE LA FORMACION EN EDUCACION CONTINUADA QUE OFERTA LA FACULTAD DE INGENIERIA. 2 APOYAR EN LA REALIZACION DE LOS COBROS POR VENTAS DE SERVICIOS DE EDUCACION CONTINUADA DE LA FACULTAD DE INGENIERIA.</t>
  </si>
  <si>
    <t>https://community.secop.gov.co/Public/Tendering/ContractNoticePhases/View?PPI=CO1.PPI.23182169&amp;isFromPublicArea=True&amp;isModal=False</t>
  </si>
  <si>
    <t>OPSP-FIN-0013</t>
  </si>
  <si>
    <t>JESUS DAVID SUAREZ LOBATO</t>
  </si>
  <si>
    <t>LA PRESENTE ORDEN TIENE POR OBJETO 1 RECOLECCION DE INFORMACION DOCUMENTAL PARA LA CONSTRUCCION DE LOS DOCUMENTOS QUE SE REQUIERAN EN LOS PROCESOS DE REGISTRO CALIFICADO Y DE ASEGURAMIENTO DE LA CALIDAD DE LOS PROGRAMAS DE LA FACULTAD DE INGENIERIA. 2 CONSTRUCCION Y APLICACION DE INSTRUMENTOS PARA RECOLECTAR INFORMACION COMO INSUMO A LOS PROCESOS REGISTRO CALIFICADO Y ASEGURAMIENTO DE LA CALIDAD DE LA FACULTAD DE INGENIERIA.</t>
  </si>
  <si>
    <t>https://community.secop.gov.co/Public/Tendering/ContractNoticePhases/View?PPI=CO1.PPI.23442909&amp;isFromPublicArea=True&amp;isModal=False</t>
  </si>
  <si>
    <t>ODC-FIN-0001</t>
  </si>
  <si>
    <t>DISTRIBUIDORA COLOMBIANA DE SOFTWARE S.A.S</t>
  </si>
  <si>
    <t>LA PRESENTE ORDEN TIENE POR OBJETO LA COMPRA DE 33 UNIDADES DE LICENCIA DEL SOFTWARE LUMION 12.X FACULTY  1 SEAT, SKU LUMION.FACULTY.12.PRO CON VIGENCIA POR 12 MESES, PARA ENTREGARLOS A LOS ESTUDIANTES QUE PARTICIPAN EN EL DIPLOMADO EN BUILDING INFORMATION MODELING BIM AVANZADO PARA LA  APLICACION EN EL DESARROLLO, GERENCIA Y CONSTRUCCION DE PROYECTOS DE INGENIERIA</t>
  </si>
  <si>
    <t>https://community.secop.gov.co/Public/Tendering/ContractNoticePhases/View?PPI=CO1.PPI.23472077&amp;isFromPublicArea=True&amp;isModal=False</t>
  </si>
  <si>
    <t>OPSP-FIN-0015</t>
  </si>
  <si>
    <t>ANA MARIA BARROS VEGA</t>
  </si>
  <si>
    <t>1 APOYO A LA CONSTRUCCION DEL DOCUMENTO DE REGISTRO CALIFICADO DEL PROGRAMA DE INGENIERIA AMBIENTAL Y SANITARIA. 2 APOYO EN LA RECOPILACION DE INFORMACION SECUNDARIA Y REDACCION DE DOCUMENTOS DE CONDICIONES INICIALES DE ACREDITACION INTERNACIONAL ABET DEL PROGRAMA DE INGENIERIA AMBIENTAL Y SANITARIA. 3 APOYO EN LA ELABORACION DE ACTAS, INFORMES, DOCUMENTOS Y ENVIO DE COMUNICACIONES INTERNAS Y EXTERNAS PARA LA ACREDITACION DE ENSAYOS DE LABORATORIO BAJO LA NORMA NTC ISO 170252017</t>
  </si>
  <si>
    <t>https://community.secop.gov.co/Public/Tendering/ContractNoticePhases/View?PPI=CO1.PPI.25389644&amp;isFromPublicArea=True&amp;isModal=False</t>
  </si>
  <si>
    <t>OPS-FIN-0014</t>
  </si>
  <si>
    <t>UNIVERSIDAD DE CARTAGENA</t>
  </si>
  <si>
    <t>LA PRESENTE ORDEN TIENE POR OBJETO EL PRESTACIÓN DE SERVICIOS PARA LA ORIENTACIÓN DE TALLERES A FUNCIONARIOS Y DOCENTES DE PLANTA DEL PROGRAMA DE INGENIERÍA PESQUERA CON EL FIN DE FORTALECER LOS PROCESOS DE ACREDITACIÓN ABET</t>
  </si>
  <si>
    <t>JOAQUIN POMARES BLAISE</t>
  </si>
  <si>
    <t>https://community.secop.gov.co/Public/Tendering/ContractNoticePhases/View?PPI=CO1.PPI.25388530&amp;isFromPublicArea=True&amp;isModal=False</t>
  </si>
  <si>
    <t>OPS-DAD-0001-2023</t>
  </si>
  <si>
    <t>IDOC SERVCIOS INTELIGENTES</t>
  </si>
  <si>
    <t>SERVICIO DE ALMACENAMIENTO, CUSTODIA, CONSULTA Y CODIFICACIÓN DE LOS DOCUMENTOS DEL ARCHIVO CENTRAL DE LA UNIVERSIDAD DEL MAGDALENA</t>
  </si>
  <si>
    <t>2023/01/25</t>
  </si>
  <si>
    <t>MILVIDA MARIA SUAREZ FLOREZ</t>
  </si>
  <si>
    <t>https://community.secop.gov.co/Public/Tendering/ContractNoticePhases/View?PPI=CO1.PPI.22821578&amp;isFromPublicArea=True&amp;isModal=False</t>
  </si>
  <si>
    <t>OPS-DAD-0002-2023</t>
  </si>
  <si>
    <t>CORPORACION RED NACIONAL ACADEMICA DE TECNOLOGIA AVANZADA -RENATA</t>
  </si>
  <si>
    <t>SERVICIO DE RENOVACION DE LA AFILIACION PARA LA CONEXIÓN A LA RED NACIONAL ACADEMICA DE TECNOLOGIA AVANZADA - RENATA</t>
  </si>
  <si>
    <t>https://community.secop.gov.co/Public/Tendering/ContractNoticePhases/View?PPI=CO1.PPI.22899277&amp;isFromPublicArea=True&amp;isModal=False</t>
  </si>
  <si>
    <t>OPS-DAD-0003-2023</t>
  </si>
  <si>
    <t>BUSSINES TECHNOLOGY HELP SAS</t>
  </si>
  <si>
    <t>SERVICIO DE MANTENIMIENTO DE LECTORAS BIOMÉTRICAS DEL CONTROL DE ACCESO INSTITUCIONAL</t>
  </si>
  <si>
    <t>2023/02/08</t>
  </si>
  <si>
    <t>2023/02/09</t>
  </si>
  <si>
    <t>2023/02/13</t>
  </si>
  <si>
    <t>https://community.secop.gov.co/Public/Tendering/ContractNoticePhases/View?PPI=CO1.PPI.23104929&amp;isFromPublicArea=True&amp;isModal=False</t>
  </si>
  <si>
    <t>OPS-DAD-0004-2023</t>
  </si>
  <si>
    <t>PANTOGLOT LTDA.</t>
  </si>
  <si>
    <t>SERVICIO DE INTERPRETACION SIMULTANEA INGLES ESPAÑOL INGLES EN LAS DIFERENTES REUNIONES PROGRAMADAS EN EL MARCO DE LA VISITA DE PARES EVALUADORES CON FINES ACREDITACION INTERNACIONAL INSTITUCIONAL UNIVERSIDAD COMPROMETIDA ENGAGED UNIVERSITY, LOS DIAS 16 Y 17 DE FEBRERO DE 2023 DE ACUERDO AL CRONOGRAMA ESTABLECIDO POR UNIMAGDALENA</t>
  </si>
  <si>
    <t>2023/02/16</t>
  </si>
  <si>
    <t>2023/02/17</t>
  </si>
  <si>
    <t>JULIETH ALEXANDRA LIZCANO PRADA</t>
  </si>
  <si>
    <t>https://community.secop.gov.co/Public/Tendering/ContractNoticePhases/View?PPI=CO1.PPI.23132207&amp;isFromPublicArea=True&amp;isModal=False</t>
  </si>
  <si>
    <t>OPS-DAD-0005-2023</t>
  </si>
  <si>
    <t>ASISTENCIA MEDICA S.A.S. SERVICIO DE AMBULANCIA PREPAGADO</t>
  </si>
  <si>
    <t>SERVICIO DE AREA PROTEGIDA DIRIGIDO A LOS MIEMBROS DE LA COMUNIDAD UNIVERSITARIA Y VISITANTES. EL CUAL COMPRENDE LA ATENCION MEDICA PRE HOSPITALARIA Y EL TRASLADO DE PACIENTES QUE PRESENTEN EMERGENCIAS Y URGENCIAS DENTRO DE LAS INSTALACIONES DEL CAMPUS PRINCIPAL DE LA UNIVERSIDAD DEL MAGDALENA Y DE LAS SEDES MUSEO ETNOGRAFICO CLAUSTRO SAN JUAN NEPOMUCENO, CENTRO DE DESARROLLO PESQUERO Y ACUICOLA, VILLA COUNTRY Y CREO Y CENTRO DE INNOVACION Y TRANSFERENCIA EN SALUD SEXTO PISO DEL HOSPITAL UNIVERSITARIO JULIO MENDEZ BARRENECHE, EN EL MARCO DEL PROYECTO DEL PLAN DE ACCION MEJORAMIENTO DE LA CALIDAD DE VIDA, BIENESTAR Y DESARROLLO PERSONAL DE LA COMUNIDAD UNIVERSITARIA</t>
  </si>
  <si>
    <t>2023/02/10</t>
  </si>
  <si>
    <t>https://community.secop.gov.co/Public/Tendering/ContractNoticePhases/View?PPI=CO1.PPI.23162619&amp;isFromPublicArea=True&amp;isModal=False</t>
  </si>
  <si>
    <t>OPS-DAD-0006-2023</t>
  </si>
  <si>
    <t>YOMIS PERDOMO FERNANDEZ</t>
  </si>
  <si>
    <t>SERVICIO DE PREPRODUCCION, PRODUCCION Y POST PRODUCCION DE PIEZAS AUDIOVISUALES DE CARACTER INSTITUCIONAL PARA TRANSMITIR CADA SEMANA DURANTE CUATRO 04 MESES POR LAS REDES SOCIALES, PAGINA WEB Y TODOS LOS ESPACIOS OFICIALES DE COMUNICACION AUDIOVISUAL E INTERACTIVA DE LA UNIMAGDALENA</t>
  </si>
  <si>
    <t>2023/06/13</t>
  </si>
  <si>
    <t>WILSON PACHECO</t>
  </si>
  <si>
    <t>https://community.secop.gov.co/Public/Tendering/ContractNoticePhases/View?PPI=CO1.PPI.23205381&amp;isFromPublicArea=True&amp;isModal=False</t>
  </si>
  <si>
    <t>OPS-DAD-0007-2023</t>
  </si>
  <si>
    <t>RICARDO ALONSO</t>
  </si>
  <si>
    <t>SERVICIO DE DRONE, CAMARA DE FOTOGRAFIA Y VIDEO, OPERACION DEL MISMO, PARA LAS DIFERENTES ACTIVIDADES QUE SE DESARROLLARAN EN LA UNIVERSIDAD DEL MAGDALENA Y QUE SERAN TRANSMITIDAS EN LAS REDES SOCIALES, PAGINA WEB Y TODOS LOS ESPACIOS OFICIALES</t>
  </si>
  <si>
    <t>https://community.secop.gov.co/Public/Tendering/ContractNoticePhases/View?PPI=CO1.PPI.23219469&amp;isFromPublicArea=True&amp;isModal=False</t>
  </si>
  <si>
    <t>OPS-DAD-0008-2023</t>
  </si>
  <si>
    <t>PRODUCCIONES TERRITORIO SAMARIO SAS</t>
  </si>
  <si>
    <t>SERVICIOS DE PREPRODUCCION, PRODUCCION Y POSTPRODUCCION DEL PROGRAMA INSTITUCIONAL DE LA UNIVERSIDAD DEL MAGDALENA EL CAMPUS TV, PROGRAMA SEMANAL PARA TRANSMITIR DURANTE CUATRO 04 MESES DE 2023, POR EL CANAL REGIONAL TELECARIBE, EL CANAL UNIVERSITARIO ZOOM Y EL CANAL TERRITORIO DE TELEVISION LOCAL CANAL 78 POR TV NORTE TELEVISION POR CABLE</t>
  </si>
  <si>
    <t>https://community.secop.gov.co/Public/Tendering/ContractNoticePhases/View?PPI=CO1.PPI.23232868&amp;isFromPublicArea=True&amp;isModal=False</t>
  </si>
  <si>
    <t>OPS-DAD-0009-2023</t>
  </si>
  <si>
    <t>GRUPO EMPRESARIAL ALQUIMONTAJES SAS</t>
  </si>
  <si>
    <t>SERVICIO DE ALQUILER DE ELEMENTOS LOGISTICOS PARA EVENTOS COMO SILLAS PLASTICAS, SILLAS VESTIDAS, MESAS PLASTICAS, MANTEL CORTO, MESON VESTIDO CARPAS 4X4 Y 5X5, TARIMAS, AMPLIFICACIONES PEQUEÑAS, AMPLIFICACIONES MEDIANAS, AMPLIFICACIONES GRANDES, SALAS LONG, BAÑOS PORTATILES Y DEMAS ELEMENTOS QUE SE REQUIERAN PARA LA REALIZACION DE EVENTOS ACADEMICO ADMINISTRATIVOS DE LA UNIVERSIDAD</t>
  </si>
  <si>
    <t>2023/02/14</t>
  </si>
  <si>
    <t>2023/02/15</t>
  </si>
  <si>
    <t>2023/06/30</t>
  </si>
  <si>
    <t>https://community.secop.gov.co/Public/Tendering/ContractNoticePhases/View?PPI=CO1.PPI.23241947&amp;isFromPublicArea=True&amp;isModal=False</t>
  </si>
  <si>
    <t>OPS-DAD-0010-2023</t>
  </si>
  <si>
    <t>ALBERTO ELIAS GONZALEZ IGUARAN</t>
  </si>
  <si>
    <t>SERVICIO DE CERRAJERIA PARA LA UNIVERSIDAD DEL MAGDALENA Y SUS SEDES ALTERNAS</t>
  </si>
  <si>
    <t>2023/02/22</t>
  </si>
  <si>
    <t>https://community.secop.gov.co/Public/Tendering/ContractNoticePhases/View?PPI=CO1.PPI.23290133&amp;isFromPublicArea=True&amp;isModal=False</t>
  </si>
  <si>
    <t>OPS-DAD-0011-2023</t>
  </si>
  <si>
    <t>EDITORIAL TIRANT LO BLANCH SAS</t>
  </si>
  <si>
    <t>SERVICIO DE RENOVACION POR 12 MESES DE LA SUSCRIPCION DE LA BASE DE DATOS TIRAN ONLINE COLOMBIA Y BIBLIOTECA VIRTUAL DE LA EDITORIAL TIRANT LO BLANCH SAS</t>
  </si>
  <si>
    <t>2023/02/23</t>
  </si>
  <si>
    <t>JULIO VEGA BAQUERO</t>
  </si>
  <si>
    <t>https://community.secop.gov.co/Public/Tendering/ContractNoticePhases/View?PPI=CO1.PPI.23299788&amp;isFromPublicArea=True&amp;isModal=False</t>
  </si>
  <si>
    <t>OPS-DAD-0012-2023</t>
  </si>
  <si>
    <t>SAKAL &amp; YARA SAS</t>
  </si>
  <si>
    <t>SERVICIO DE RENOVACIÓN POR 12 MESES, DE LA SUSCRIPCIÓN A LA BASE DE DATOS EBSCOHOST (HOSPITALITY &amp; TOURISM Y DENTISTRY &amp; ORAL SCIENCES SOURCE), DE LA EDITORIAL EBSCO</t>
  </si>
  <si>
    <t>https://community.secop.gov.co/Public/Tendering/ContractNoticePhases/View?PPI=CO1.PPI.23303011&amp;isFromPublicArea=True&amp;isModal=False</t>
  </si>
  <si>
    <t>OPS-DAD-0013-2023</t>
  </si>
  <si>
    <t>FULLMEX SEGURIDAD Y SALUD OCUPACIONAL LTDA</t>
  </si>
  <si>
    <t>SERVICIO DE MANTENIMIENTO Y RECARGAS DE LOS EXTINTORES DE LA UNIVERSIDAD DEL MAGDALENA, SUS SEDES ALTERNAS Y VEHICULOS INSTITUCIONALES</t>
  </si>
  <si>
    <t>https://community.secop.gov.co/Public/Tendering/ContractNoticePhases/View?PPI=CO1.PPI.23318036&amp;isFromPublicArea=True&amp;isModal=False</t>
  </si>
  <si>
    <t>OPS-DAD-0014-2023</t>
  </si>
  <si>
    <t>KAREN LORENA ZULUAGA PEREZ</t>
  </si>
  <si>
    <t>SERVICIO DE ALQUILER DE VESTUARIOS PARA EL DESARROLLO DE LAS ACTVIDADES REALIZADAS POR LAS AREAS DE CULTURA, DEPORTE, SALUD Y DESARROLLO HUMANO ADSCRITAS A LA DIRECCION DE BIENESTAR UNIVERSITARIO, EN EL MARCO DEL PROYECTO DEL PLAN DE ACCION MEJORAMIENTO DE LA CALIDAD DE VIDA, BIENESTAR Y DESARROLLO PERSONAL DE LA COMUNIDAD UNIVERSITARIA</t>
  </si>
  <si>
    <t>2023/08/31</t>
  </si>
  <si>
    <t>https://community.secop.gov.co/Public/Tendering/ContractNoticePhases/View?PPI=CO1.PPI.23417374&amp;isFromPublicArea=True&amp;isModal=False</t>
  </si>
  <si>
    <t>OPS-DAD-0015-2023</t>
  </si>
  <si>
    <t xml:space="preserve">DIDACTICOS Y LIBROS DIDACLIBROS LTDA </t>
  </si>
  <si>
    <t>MANTENIMIENTO PREVENTIVO YO CORRECTIVO Y ACTUALIZACION DE LICENCIA DE SIMULADORES MEDICOS PERTENECIENTES A CLINICA DE SIMULACION UBICADA EN EL HANGAR E Y EL CENTRO DE INNOVACION Y TRANSFERENCIA EN SALUD CITES DEL 6 PISO DEL HOSPITAL JULIO MENDEZ BARRENECHE ADSCRITOS A LA FACULTAD DE CIENCIAS DE LA SALUD DE LA UNIVERSIDAD</t>
  </si>
  <si>
    <t>2023/02/24</t>
  </si>
  <si>
    <t>2023/02/27</t>
  </si>
  <si>
    <t>2023/05/29</t>
  </si>
  <si>
    <t>LINA MARCELA CUAO GARCIA</t>
  </si>
  <si>
    <t>https://community.secop.gov.co/Public/Tendering/ContractNoticePhases/View?PPI=CO1.PPI.23487381&amp;isFromPublicArea=True&amp;isModal=False</t>
  </si>
  <si>
    <t>OPS-DAD-0016-2023</t>
  </si>
  <si>
    <t>INFORMESE S.A.S.</t>
  </si>
  <si>
    <t>SERVICIO DE RENOVACION DE LA LICENCIA PALA IBM SPSS STATITICS STANDARD VERSION 29 PARA 100 USUARIOS POR UN AÑO</t>
  </si>
  <si>
    <t>https://community.secop.gov.co/Public/Tendering/ContractNoticePhases/View?PPI=CO1.PPI.23551800&amp;isFromPublicArea=True&amp;isModal=False</t>
  </si>
  <si>
    <t>OPS-DAD-0017-2023</t>
  </si>
  <si>
    <t>EDITORA DE MEDIOS S.A.S.</t>
  </si>
  <si>
    <t>SERVICIO DE DIVULGACION DE LA OFERTA ACADEMICA DE POSTGRADO EN EL PERIODICO HOY DIARIO DEL MAGDALENA Y EN EL PORTAL WEB WWW.HOYDIARIODELMAGDALENA.COM.CO</t>
  </si>
  <si>
    <t>https://community.secop.gov.co/Public/Tendering/ContractNoticePhases/View?PPI=CO1.PPI.23551893&amp;isFromPublicArea=True&amp;isModal=False</t>
  </si>
  <si>
    <t>OPS-DAD-0018-2023</t>
  </si>
  <si>
    <t>LEGIS INFORMACIÓN PROFESIONAL S.A.</t>
  </si>
  <si>
    <t>SERVICIO DE PAQUETE BÁSICO SOFTWARE CONSTRUPLAN.NET Y CONSTRUCONTROL.NET VERSIÓN EN LA NUBE, CON LICENCIA DE USO DE UN (1) AÑO, INCLUYE SUSCRIPCIÓN A LA REVISTA DIGITAL CONSTRUDATA CIRCULACIÓN TRIMESTRAL POR UN (1) AÑO</t>
  </si>
  <si>
    <t>https://community.secop.gov.co/Public/Tendering/ContractNoticePhases/View?PPI=CO1.PPI.23631039&amp;isFromPublicArea=True&amp;isModal=False</t>
  </si>
  <si>
    <t>OPS-DAD-0019-2023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</si>
  <si>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WWW.HOYDIARIODELMAGDALENA.COM.CO</t>
  </si>
  <si>
    <t>https://community.secop.gov.co/Public/Tendering/ContractNoticePhases/View?PPI=CO1.PPI.23631245&amp;isFromPublicArea=True&amp;isModal=False</t>
  </si>
  <si>
    <t>OPS-DAD-0020-2023</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</si>
  <si>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</si>
  <si>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</si>
  <si>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https://community.secop.gov.co/Public/Tendering/ContractNoticePhases/View?PPI=CO1.PPI.23655910&amp;isFromPublicArea=True&amp;isModal=False</t>
  </si>
  <si>
    <t>OPS-DAD-0021-2023</t>
  </si>
  <si>
    <t>INGRID SULIANI APARICIO HERNANDEZ</t>
  </si>
  <si>
    <t>SERVICIO DE MANTENIMIENTO FÍSICO DE LOS CARGADORES ELÉCTRICOS DE LA INFRAESTRUCTURA INSTITUCIONAL DE LA UNIVERSIDAD DEL MAGDALENA</t>
  </si>
  <si>
    <t>https://community.secop.gov.co/Public/Tendering/ContractNoticePhases/View?PPI=CO1.PPI.23662762&amp;isFromPublicArea=True&amp;isModal=False</t>
  </si>
  <si>
    <t>OPS-DAD-0022-2023</t>
  </si>
  <si>
    <t>PROGRAMACIONES CAMPO TELEVISION S.A.S</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</si>
  <si>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</si>
  <si>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https://community.secop.gov.co/Public/Tendering/ContractNoticePhases/View?PPI=CO1.PPI.23668072&amp;isFromPublicArea=True&amp;isModal=False</t>
  </si>
  <si>
    <t>OPS-DAD-0023-2023</t>
  </si>
  <si>
    <t>ALF TECHNOLOGIES S.A.S</t>
  </si>
  <si>
    <t>SERVICIO DE RENOVACION DEL LICENCIAMIENTO DE 2000 PERMISOS DE USO DEL ANTIVIRUS SOPHOS Y 20 LICENCIAS PARA SERVIDOR, PARA PROTEGER DE AMENAZAS INFORMATICAS LA INFRAESTRUCTURA TECNOLOGICA INSTITUCIONAL DE LA UNIVERSIDAD DEL MAGDALENA</t>
  </si>
  <si>
    <t>https://community.secop.gov.co/Public/Tendering/ContractNoticePhases/View?PPI=CO1.PPI.23669096&amp;isFromPublicArea=True&amp;isModal=False</t>
  </si>
  <si>
    <t>OPS-DAD-0024-2023</t>
  </si>
  <si>
    <t>MCGRAW HILL INTERAMERICANA SA</t>
  </si>
  <si>
    <t>RENOVACIÓN POR 12 MESES DE LA SUSCRIPCIÓN A LA BASE DE DATOS ACCESS MEDICINA Y ACCESS MEDICINE QUE REQUIERE LA BIBLIOTECA GERMÁN BULA MEYER PARA DAR SOPORTE A LOS PROCESOS ACADÉMICOS Y DE INVESTIGACIÓN DE LA FACULTAD DE CIENCIAS DE LA SALUD FACILITANDO EL ACCESO A LA INFORMACIÓN</t>
  </si>
  <si>
    <t>https://community.secop.gov.co/Public/Tendering/ContractNoticePhases/View?PPI=CO1.PPI.23670704&amp;isFromPublicArea=True&amp;isModal=False</t>
  </si>
  <si>
    <t>OPS-DAD-0025-2023</t>
  </si>
  <si>
    <t>51785497</t>
  </si>
  <si>
    <t>MARTHA ROCIO CABALLERO ZAMBRANO</t>
  </si>
  <si>
    <t>SERVICIO DE MANTENIMIENTO PREVENTIVO Y CORRECTIVO DE LOS VEHÍCULOS PERTENECIENTES AL PARQUE AUTOMOTOR DE LA UNIVERSIDAD DEL MAGDALENA</t>
  </si>
  <si>
    <t>https://community.secop.gov.co/Public/Tendering/ContractNoticePhases/View?PPI=CO1.PPI.23696754&amp;isFromPublicArea=True&amp;isModal=False</t>
  </si>
  <si>
    <t>OPS-DAD-0026-2023</t>
  </si>
  <si>
    <t>57293412</t>
  </si>
  <si>
    <t>SANDRA MILENA MENDIETA PUGLIESE</t>
  </si>
  <si>
    <t>OBJETO 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SANTAMARTAALDÍA.CO Y EN REDES SOCIALES SANTA MARTA AL DÍA</t>
  </si>
  <si>
    <t>https://community.secop.gov.co/Public/Tendering/ContractNoticePhases/View?PPI=CO1.PPI.23699881&amp;isFromPublicArea=True&amp;isModal=False</t>
  </si>
  <si>
    <t>OPS-DAD-0027-2023</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</si>
  <si>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</si>
  <si>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WWW.ELARTICULO.CO.</t>
  </si>
  <si>
    <t>https://community.secop.gov.co/Public/Tendering/ContractNoticePhases/View?PPI=CO1.PPI.23700197&amp;isFromPublicArea=True&amp;isModal=False</t>
  </si>
  <si>
    <t>OPS-DAD-0028-2023</t>
  </si>
  <si>
    <t>819003317</t>
  </si>
  <si>
    <t>EDITORIAL MAGDALENA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</si>
  <si>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</si>
  <si>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https://community.secop.gov.co/Public/Tendering/ContractNoticePhases/View?PPI=CO1.PPI.23700083&amp;isFromPublicArea=True&amp;isModal=False</t>
  </si>
  <si>
    <t>OPS-DAD-0029-2023</t>
  </si>
  <si>
    <t>7144967</t>
  </si>
  <si>
    <t>SERVICIO DE DECORACIÓN Y AMBIENTACIÓN DE ESPACIOS INSTITUCIONALES CON TEMÁTICAS ALUSIVAS A CELEBRACIONES DE FECHAS ESPECIALES Y DE INTERÉS INSTITUCIONAL QUE COADYUVEN AL MEJORAMIENTO DE CALIDAD DE VIDA DE LOS MIEMBROS DE LA COMUNIDAD UNIVERSITARIA.</t>
  </si>
  <si>
    <t>https://community.secop.gov.co/Public/Tendering/ContractNoticePhases/View?PPI=CO1.PPI.23723116&amp;isFromPublicArea=True&amp;isModal=False</t>
  </si>
  <si>
    <t>OPS-DAD-0030-2023</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</si>
  <si>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</si>
  <si>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</si>
  <si>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t>
  </si>
  <si>
    <t>https://community.secop.gov.co/Public/Tendering/ContractNoticePhases/View?PPI=CO1.PPI.23746627&amp;isFromPublicArea=True&amp;isModal=False</t>
  </si>
  <si>
    <t>OPS-DAD-0031-2023</t>
  </si>
  <si>
    <t>900129305</t>
  </si>
  <si>
    <t>DOT LIB SUCURSAL COLOMBIA</t>
  </si>
  <si>
    <t xml:space="preserve">RENOVACIÓN POR DOCE (12) MESES, DE LA SUSCRIPCIÓN A LA BASE DE DATOS JSTOR PARA LA BIBLIOTECA GERMAN BULA MEYER. </t>
  </si>
  <si>
    <t>https://community.secop.gov.co/Public/Tendering/ContractNoticePhases/View?PPI=CO1.PPI.23747414&amp;isFromPublicArea=True&amp;isModal=False</t>
  </si>
  <si>
    <t>OPS-DAD-0032-2023</t>
  </si>
  <si>
    <t>900726297</t>
  </si>
  <si>
    <t xml:space="preserve">BUSSINES TECHNOLOGY HELP S.A.S. </t>
  </si>
  <si>
    <t>SERVICIO DE SOPORTE, MANTENIMIENTO PREVENTIVO Y CORRECTIVO DEL SISTEMA DE INFORMACIÓN SERIES, CORRESPONDIENTE A LA PLATAFORMA DE COMUNICACIONES OFICIALES DE LA UNIVERSIDAD DEL MAGDALENA.</t>
  </si>
  <si>
    <t>https://community.secop.gov.co/Public/Tendering/ContractNoticePhases/View?PPI=CO1.PPI.23769606&amp;isFromPublicArea=True&amp;isModal=False</t>
  </si>
  <si>
    <t>OPS-DAD-0033-2023</t>
  </si>
  <si>
    <t>12627106</t>
  </si>
  <si>
    <t>HUGO OMAR HERNANDEZ GRANADOS</t>
  </si>
  <si>
    <t xml:space="preserve">SERVICIO DE MANTENIMIENTO PREVENTIVO Y CORRECTIVO EN CARPINTERÍA DE MADERA PARA EL NORMAL FUNCIONAMIENTO DE LOS MUEBLES Y ESTRUCTURAS EN MADERA DE LAS DIFERENTES LOCACIONES DE LA UNIVERSIDAD DEL MAGDALENA Y SUS SEDES ALTERNAS. </t>
  </si>
  <si>
    <t>https://community.secop.gov.co/Public/Tendering/ContractNoticePhases/View?PPI=CO1.PPI.23794803&amp;isFromPublicArea=True&amp;isModal=False</t>
  </si>
  <si>
    <t>OPS-DAD-0034-2023</t>
  </si>
  <si>
    <t>901246775</t>
  </si>
  <si>
    <t>INDEXA SYSTEMS S.A.S.</t>
  </si>
  <si>
    <t>SERVICIO DE RENOVACIÓN DE LOS SOFTWARES: UNA (01) LICENCIA DE SPROUT SOCIAL UPGRADE P-AVANZADO Y UNA (01) LICENCIA DEL CERTIFICADO DE SEGURIDAD SSL KOMODO.</t>
  </si>
  <si>
    <t>https://community.secop.gov.co/Public/Tendering/ContractNoticePhases/View?PPI=CO1.PPI.23797988&amp;isFromPublicArea=True&amp;isModal=False</t>
  </si>
  <si>
    <t>OPS-DAD-0035-2023</t>
  </si>
  <si>
    <t>79418273</t>
  </si>
  <si>
    <t>CARLOS MARIO LOPERA PALACIO</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</si>
  <si>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SU PÁGINA WEB WWW.UNIVERSIDAD.EDU.CO.</t>
  </si>
  <si>
    <t>https://community.secop.gov.co/Public/Tendering/ContractNoticePhases/View?PPI=CO1.PPI.23805816&amp;isFromPublicArea=True&amp;isModal=False</t>
  </si>
  <si>
    <t>OPS-DAD-0036-2023</t>
  </si>
  <si>
    <t>901504428</t>
  </si>
  <si>
    <t>AUTOCLAVES DEL CARIBE S.A.S.</t>
  </si>
  <si>
    <t xml:space="preserve">SERVICIO DE MANTENIMIENTO Y SUMINISTRO DE REPUESTOS DE LOS AUTOCLAVES DE LAS CLÍNICAS ODONTOLÓGICAS UBICADAS EN EL PRIMERO Y SEGUNDO PISO DEL BLOQUE V DE LA UNIVERSIDAD DEL MAGDALENA. </t>
  </si>
  <si>
    <t>https://community.secop.gov.co/Public/Tendering/ContractNoticePhases/View?PPI=CO1.PPI.23832567&amp;isFromPublicArea=True&amp;isModal=False</t>
  </si>
  <si>
    <t>OPS-DAD-0037-2023</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</si>
  <si>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</si>
  <si>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</si>
  <si>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</si>
  <si>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https://community.secop.gov.co/Public/Tendering/ContractNoticePhases/View?PPI=CO1.PPI.23834703&amp;isFromPublicArea=True&amp;isModal=False</t>
  </si>
  <si>
    <t>OPS-DAD-0038-2023</t>
  </si>
  <si>
    <t>900244687</t>
  </si>
  <si>
    <t>INNOVACION &amp; DISEÑOS S.A.S.</t>
  </si>
  <si>
    <t>SERVICIO DE DIVULGACIÓN Y PROMOCIÓN DE LOS DISTINTOS PROCESOS ACADÉMICOS DE INVESTIGACIÓN Y EXTENSIÓN INSTITUCIONAL DE LA UNIVERSIDAD DEL MAGDALENA, EN LA RADIO, EN LAS EMISORAS RADIO MAGDALENA 1420 AM Y RADIO RODADERO 1480 AM.</t>
  </si>
  <si>
    <t>https://community.secop.gov.co/Public/Tendering/ContractNoticePhases/View?PPI=CO1.PPI.23835316&amp;isFromPublicArea=True&amp;isModal=False</t>
  </si>
  <si>
    <t>OPS-DAD-0039-2023</t>
  </si>
  <si>
    <t>860012336</t>
  </si>
  <si>
    <t>INSTITUTO COLOMBIANO DE NORMAS TÉCNICAS Y CERTIFICACIÓN ICONTEC</t>
  </si>
  <si>
    <t>SERVICIO DE AUDITORIA DE SEGUIMIENTO PARA LOS PROGRAMAS TÉCNICOS LABORALES DEL CENTRO PARA LA REGIONALIZACIÓN DE LA EDUCACIÓN Y LAS OPORTUNIDADES - CREO BAJO LA NORMA NTC 5555:2011, Y DE LOS PROGRAMAS DE FORMACIÓN PARA EL TRABAJO NTC 5581:2011, NTC 5663:2011.</t>
  </si>
  <si>
    <t>https://community.secop.gov.co/Public/Tendering/ContractNoticePhases/View?PPI=CO1.PPI.23849836&amp;isFromPublicArea=True&amp;isModal=False</t>
  </si>
  <si>
    <t>OPS-DAD-0040-2023</t>
  </si>
  <si>
    <t>SERVICIO DE AUDITORÍA DE SEGUIMIENTO BAJO LA NORMA NTC ISO 9001:2015 PARA LA MEJORA CONTINUA DEL SISTEMA DE GESTIÓN DE CALIDAD COGUI+. DE CONFORMIDAD CON LAS ESPECIFICACIONES ESTABLECIDAS EN LA PROPUESTA PRESENTADA POR EL CONTRATISTA, LA CUAL HACE PARTE INTEGRAL DE LA PRESENTE ORDEN.</t>
  </si>
  <si>
    <t>EIRA ROSARIO MADERA REYES</t>
  </si>
  <si>
    <t>https://community.secop.gov.co/Public/Tendering/ContractNoticePhases/View?PPI=CO1.PPI.23859687&amp;isFromPublicArea=True&amp;isModal=False</t>
  </si>
  <si>
    <t>OPS-DAD-0041-2023</t>
  </si>
  <si>
    <t>900053241</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</si>
  <si>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</si>
  <si>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</si>
  <si>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https://community.secop.gov.co/Public/Tendering/ContractNoticePhases/View?PPI=CO1.PPI.23878704&amp;isFromPublicArea=True&amp;isModal=False</t>
  </si>
  <si>
    <t>OPS-DAD-0042-2023</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</si>
  <si>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</si>
  <si>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</si>
  <si>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t>
  </si>
  <si>
    <t>https://community.secop.gov.co/Public/Tendering/ContractNoticePhases/View?PPI=CO1.PPI.23878793&amp;isFromPublicArea=True&amp;isModal=False</t>
  </si>
  <si>
    <t>OPS-DAD-0043-2023</t>
  </si>
  <si>
    <t>SERVICIO DE RENOVACIÓN POR 12 MESES DE LA SUITE ADOBE CREATIVE CLOUD PARA UNIMAGDALENA.</t>
  </si>
  <si>
    <t>https://community.secop.gov.co/Public/Tendering/ContractNoticePhases/View?PPI=CO1.PPI.23925584&amp;isFromPublicArea=True&amp;isModal=False</t>
  </si>
  <si>
    <t>OPS-DAD-0044-2023</t>
  </si>
  <si>
    <t>901251648</t>
  </si>
  <si>
    <t>AGENCIA &amp; PRODUCTORA DE MEDIOS S.A.S.</t>
  </si>
  <si>
    <t xml:space="preserve">SERVICIO DE DIVULGACIÓN Y PROMOCIÓN DE LOS DISTINTOS PROCESOS ACADÉMICOS DE INVESTIGACIÓN Y EXTENSIÓN INSTITUCIONAL DE LA UNIVERSIDAD DEL MAGDALENA  UTILIZANDO LAS PLATAFORMAS PERIODÍSTICAS DIGITALES DE CARÁCTER REGIONAL, COMO EL PORTAL WEB WWW.CANALTVCOSTA.CO.  </t>
  </si>
  <si>
    <t>https://community.secop.gov.co/Public/Tendering/ContractNoticePhases/View?PPI=CO1.PPI.23939586&amp;isFromPublicArea=True&amp;isModal=False</t>
  </si>
  <si>
    <t>OPS-DAD-0045-2023</t>
  </si>
  <si>
    <t>900938372</t>
  </si>
  <si>
    <t>TWO-WAY FOUNDATION</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</si>
  <si>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 CON LAS SIGUIENTES ESPECIFICACIONES: PACK GOLD: 1 ANUNCIO PÁG WEB EN PORTADA+ 10 POST REDES +PUBLIRREPORTAJES WEB +PUBLICACIÓN DE BOLETINES. </t>
  </si>
  <si>
    <t>https://community.secop.gov.co/Public/Tendering/ContractNoticePhases/View?PPI=CO1.PPI.23939954&amp;isFromPublicArea=True&amp;isModal=False</t>
  </si>
  <si>
    <t>OPS-DAD-0046-2023</t>
  </si>
  <si>
    <t>802005601</t>
  </si>
  <si>
    <t>FUMIABA S.A.S.</t>
  </si>
  <si>
    <t xml:space="preserve">SERVICIO DE FUMIGACIÓN Y CONTROL DE PLAGAS PARA LA UNIVERSIDAD DEL MAGDALENA, CAMPUS PRINCIPAL Y SUS SEDES ALTERNAS. </t>
  </si>
  <si>
    <t>https://community.secop.gov.co/Public/Tendering/ContractNoticePhases/View?PPI=CO1.PPI.23984294&amp;isFromPublicArea=True&amp;isModal=False</t>
  </si>
  <si>
    <t>OPS-DAD-0047-2023</t>
  </si>
  <si>
    <t>900749054</t>
  </si>
  <si>
    <t>METALMECANICA ELECTRICOS Y CIVILES S.A.S.</t>
  </si>
  <si>
    <t>SERVICIO DE MANTENIMIENTO PREVENTIVO Y CORRECTIVO EN CARPINTERÍA METÁLICA, VIDRIERÍA Y SOLDADURA, INCLUYE MATERIALES, PARA EL BUEN FUNCIONAMIENTO DE LOS MUEBLES Y ESTRUCTURAS EN METÁLICA Y VIDRIERÍA DE LAS DIFERENTES LOCACIONES DE LA UNIVERSIDAD DEL MAGDALENA Y SUS SEDES ALTERNAS.</t>
  </si>
  <si>
    <t>https://community.secop.gov.co/Public/Tendering/ContractNoticePhases/View?PPI=CO1.PPI.23984938&amp;isFromPublicArea=True&amp;isModal=False</t>
  </si>
  <si>
    <t>OPS-DAD-0048-2023</t>
  </si>
  <si>
    <t>900512637</t>
  </si>
  <si>
    <t>INTERLIFT S.A.S.</t>
  </si>
  <si>
    <t>SERVICIO DE MANTENIMIENTO PREVENTIVO, CORRECTIVO Y SUMINISTRO DE RESPUESTOS PARA EL ASCENSOR MARCA INTERLIFT UBICADO EN EL EDIFICIO DE BIENESTAR UNIVERSITARIO DE LA UNIVERSIDAD DEL MAGDALENA.</t>
  </si>
  <si>
    <t>https://community.secop.gov.co/Public/Tendering/ContractNoticePhases/View?PPI=CO1.PPI.23987594&amp;isFromPublicArea=True&amp;isModal=False</t>
  </si>
  <si>
    <t>OPS-DAD-0049-2023</t>
  </si>
  <si>
    <t>900724151</t>
  </si>
  <si>
    <t>SOLAB S.A.S.</t>
  </si>
  <si>
    <t>SERVICIO DE REALIZACIÓN DE EXÁMENES MÉDICOS OCUPACIONALES, PRUEBAS COMPLEMENTARIAS, DIAGNÓSTICO DE CONDICIONES DE SALUD DEL PERSONAL ADMINISTRATIVO, DOCENTES DE PLANTA, CATEDRÁTICOS Y OCASIONALES DE LA UNIVERSIDAD DEL MAGDALENA. ASÍ COMO ASESORÍA EN MEDICINA PREVENTIVA Y DEL TRABAJO.</t>
  </si>
  <si>
    <t>HAROLD ROMERO CAHUANA</t>
  </si>
  <si>
    <t>https://community.secop.gov.co/Public/Tendering/ContractNoticePhases/View?PPI=CO1.PPI.24041827&amp;isFromPublicArea=True&amp;isModal=False</t>
  </si>
  <si>
    <t>OPS-DAD-0050-2023</t>
  </si>
  <si>
    <t>900197421</t>
  </si>
  <si>
    <t>JARINOX S.A.S.</t>
  </si>
  <si>
    <t>SERVICIO DE MANTENIMIENTO PREVENTIVO Y/O CORRECTIVO Y SUMINISTRO DE REPUESTOS PARA LOS IMPLEMENTOS Y MAQUINARIA PARA LA INDUSTRIA DE ALIMENTOS: MEZCLADORA JAVAR, MEZCLADOR, MOLINO 32 DE PISO JAVAR, EMPACADORA AL VACIO JAVAR, PROCESADOR DE VEGETALES TALSA, EMBUTIDORA MANUAL DICK, EMBUTIDORA HIDRAULICA, CUTTER 15 LITROS JAVAR, CUTTER JARINOX, SIERRA TALSA, EMPACADORA AL VACIO EUROVAC, AUTOCLAVE, TAJADORA, HORNOS Y AUTOCLAVE PHOENIX UBICADOS EN LA PLANTA DE PROCESAMIENTO DE PRODUCTOS PESQUEROS</t>
  </si>
  <si>
    <t>https://community.secop.gov.co/Public/Tendering/ContractNoticePhases/View?PPI=CO1.PPI.24058113&amp;isFromPublicArea=True&amp;isModal=False</t>
  </si>
  <si>
    <t>OPS-DAD-0051-2023</t>
  </si>
  <si>
    <t>PUBLICACIÓN DE UN AVISO EN EL PERIÓDICO EL INFORMADOR, CONCERNIENTE A LA PEDAGOGÍA PARA EVITAR PROCESOS ANÓMALOS EN LAS INSCRIPCIONES DE PREGRADO PARA EL SEGUNDO SEMESTRE ACADÉMICO DEL AÑO 2023</t>
  </si>
  <si>
    <t>https://community.secop.gov.co/Public/Tendering/ContractNoticePhases/View?PPI=CO1.PPI.24093152&amp;isFromPublicArea=True&amp;isModal=False</t>
  </si>
  <si>
    <t>OPS-DAD-0052-2023</t>
  </si>
  <si>
    <t>EDITORA DE MEDIOS S.A.S</t>
  </si>
  <si>
    <t>SERVICIO DE PUBLICACIÓN DE UN (01) AVISO EN EL PERIÓDICO HOY DIARIO DEL MAGDALENA, CONCERNIENTE A LA PEDAGOGÍA PARA EVITAR PROCESOS ANÓMALOS EN LAS INSCRIPCIONES DE PREGRADO PARA EL SEGUNDO SEMESTRE ACADÉMICO DEL AÑO 2023</t>
  </si>
  <si>
    <t>https://community.secop.gov.co/Public/Tendering/ContractNoticePhases/View?PPI=CO1.PPI.24094061&amp;isFromPublicArea=True&amp;isModal=False</t>
  </si>
  <si>
    <t>OPS-DAD-0053-2023</t>
  </si>
  <si>
    <t>85472129</t>
  </si>
  <si>
    <t>ELFRED DE JESUS RODRIGUEZ DIAZ</t>
  </si>
  <si>
    <t xml:space="preserve">SERVICIO DE MANTENIMIENTO PREVENTIVO Y CORRECTIVO DE LOS EQUIPOS DE SONIDO PERTENECIENTES A LA UNIVERSIDAD DEL MAGDALENA. </t>
  </si>
  <si>
    <t>https://community.secop.gov.co/Public/Tendering/ContractNoticePhases/View?PPI=CO1.PPI.24094378&amp;isFromPublicArea=True&amp;isModal=False</t>
  </si>
  <si>
    <t>OPS-DAD-0054-2023</t>
  </si>
  <si>
    <t>860005289</t>
  </si>
  <si>
    <t>ASCENSORES SCHINDLER DE COLOMBIA S.A.S.</t>
  </si>
  <si>
    <t xml:space="preserve">SERVICIO DE MANTENIMIENTO PREVENTIVO, CORRECTIVO, SUMINISTRO DE REPUESTOS Y ACCESORIOS NO INCLUIDOS DENTRO DE LA MODALIDAD CONTRATADA PARA EL ASCENSOR MARCA SCHINDLER UBICADO EN EL EDIFICIO MAR CARIBE DE LA UNIVERSIDAD DEL MAGDALENA. LA MODALIDAD ES MANTENIMINETO SUPERIOR, DE ACUERDO A LO ESTABLECIDO EN LA PROPUESTA NO. 131917514 DE FECHA 03 DE MARZO DE 2023, LA CUAL HACE PARTE INTEGRAL DE LA PRESENTE ORDEN. </t>
  </si>
  <si>
    <t>https://community.secop.gov.co/Public/Tendering/ContractNoticePhases/View?PPI=CO1.PPI.24103992&amp;isFromPublicArea=True&amp;isModal=False</t>
  </si>
  <si>
    <t>OPS-DAD-0055-2023</t>
  </si>
  <si>
    <t>900637852</t>
  </si>
  <si>
    <t>DIGITAL CONTENT S.A.S.</t>
  </si>
  <si>
    <t>SERVICIO DE RENOVACIÓN POR 12 MESES DE LA SUSCRIPCIÓN AL APLICATIVO WEB EBOOK 7/24 QUE REQUIERE LA BIBLIOTECA GERMÁN BULA MEYER PARA DAR SOPORTE A TODOS LOS PROGRAMAS DE LA OFERTA ACADÉMICA INSTITUCIONAL EN LOS NIVELES DE FORMACIÓN DE PREGRADO Y POSTGRADOS.</t>
  </si>
  <si>
    <t>https://community.secop.gov.co/Public/Tendering/ContractNoticePhases/View?PPI=CO1.PPI.24108014&amp;isFromPublicArea=True&amp;isModal=False</t>
  </si>
  <si>
    <t>OPS-DAD-0056-2023</t>
  </si>
  <si>
    <t>900557235</t>
  </si>
  <si>
    <t>CONSORTIA S.A.S.</t>
  </si>
  <si>
    <t>SERVICIO DE RENOVACIÓN DE LA SUSCRIPCIÓN A LA BASE DE DATOS: UPTODATE - ANYWHERE, QUE REQUIERE LA BIBLIOTECA GERMÁN BULA MEYER PARA DAR SOPORTE A LOS PROCESOS ACADÉMICOS Y INVESTIGACIÓN DE LA FACULTAD DE CIENCIAS DE LA SALUD FACILITANDO EL ACCESO A RECURSOS DE INFORMACIÓN.</t>
  </si>
  <si>
    <t>https://community.secop.gov.co/Public/Tendering/ContractNoticePhases/View?PPI=CO1.PPI.24135916&amp;isFromPublicArea=True&amp;isModal=False</t>
  </si>
  <si>
    <t>OPS-DAD-0057-2023</t>
  </si>
  <si>
    <t>830005448</t>
  </si>
  <si>
    <t>OTIS ELEVATOR COMPANY COLOMBIA S.A.S.</t>
  </si>
  <si>
    <t>SERVICIO DE MANTENIMIENTO PREVENTIVO, CORRECTIVO Y SUMINISTRO DE REPUESTOS PARA EL ASCENSOR MARCA OTIS UBICADO EN EL EDIFICIO DE INNOVACIÓN Y EMPRENDIMIENTO DE LA UNIVERSIDAD DEL MAGDALENA.</t>
  </si>
  <si>
    <t>https://community.secop.gov.co/Public/Tendering/ContractNoticePhases/View?PPI=CO1.PPI.24136111&amp;isFromPublicArea=True&amp;isModal=False</t>
  </si>
  <si>
    <t>OPS-DAD-0058-2023</t>
  </si>
  <si>
    <t>819005027</t>
  </si>
  <si>
    <t>PRODUCCIONES JOV S.A.S.</t>
  </si>
  <si>
    <t>SERVICIO DE PUBLICACIÓN DE UN (01) AVISO EN EL PERIÓDICO "EL VOCERO DE LA PROVINCIA" Y EN SUS REDES SOCIALES; FACEBOOK: EL VOCERO DE LA PROVINCIA, TWITTER: @VOCEROPROVINCIA E LNSTAGRAM: @ELVOCERODELAPROVINCIA CONCERNIENTE A LA PEDAGOGÍA PARA EVITAR PROCESOS ANÓMALOS EN LAS INSCRIPCIONES DE PREGRADO PARA EL SEGUNDO SEMESTRE ACADÉMICO DEL AÑO 2023.</t>
  </si>
  <si>
    <t>https://community.secop.gov.co/Public/Tendering/ContractNoticePhases/View?PPI=CO1.PPI.24136127&amp;isFromPublicArea=True&amp;isModal=False</t>
  </si>
  <si>
    <t>OPS-DAD-0059-2023</t>
  </si>
  <si>
    <t>84081892</t>
  </si>
  <si>
    <t>OSCAR LUIS PALACIO PEÑA</t>
  </si>
  <si>
    <t xml:space="preserve">SERVICIO DE PUBLICACIÓN DE UN AVISO  EN EL  "DIARIO LA PRENSA", CONCERNIENTE A LA PEDAGOGÍA PARA EVITAR PROCESOS ANÓMALOS EN LAS INSCRIPCIONES DE PREGRADO PARA EL SEGUNDO SEMESTRE ACADÉMICO DEL AÑO 2023.   CON LAS SIGUIENTES ESPECIFICACIONES: UN (01) AVISO DE  TAMAÑO ½ PÁGINA, CON  MEDIDAS DE 25.5 CMT. ANCHO X 20 CMT. ALTO, EN POLICROMÍA AL 100%. </t>
  </si>
  <si>
    <t>https://community.secop.gov.co/Public/Tendering/ContractNoticePhases/View?PPI=CO1.PPI.24270866&amp;isFromPublicArea=True&amp;isModal=False</t>
  </si>
  <si>
    <t>OPS-DAD-0060-2023</t>
  </si>
  <si>
    <t>84457251</t>
  </si>
  <si>
    <t>JAVIER DAVID PINTO DELGHANS</t>
  </si>
  <si>
    <t>SERVICIO DE LIMPIEZA Y DESINFECCIÓN DE LOS ESTANQUES DE ALMACENAMIENTO DE AGUA PERTENECIENTES A UNIVERSIDAD DEL MAGDALENA Y SUS SEDES ALTERNAS.</t>
  </si>
  <si>
    <t>https://community.secop.gov.co/Public/Tendering/ContractNoticePhases/View?PPI=CO1.PPI.24280136&amp;isFromPublicArea=True&amp;isModal=False</t>
  </si>
  <si>
    <t>OPS-DAD-0061-2023</t>
  </si>
  <si>
    <t>1082897035</t>
  </si>
  <si>
    <t>JULIO ALBERTO CAMARGO PULIDO</t>
  </si>
  <si>
    <t>SERVICIO DE POLARIZADO PARA VENTANAS DE SALONES, OFICINAS, LABORATORIOS Y VEHÍCULOS INSTITUCIONALES PERTENECIENTES A LA UNIVERSIDAD DEL MAGDALENA. LA PROPUESTA HACE PARTE INTEGRAL DE LA PRESENTE ORDEN.</t>
  </si>
  <si>
    <t>https://community.secop.gov.co/Public/Tendering/ContractNoticePhases/View?PPI=CO1.PPI.24328057&amp;isFromPublicArea=True&amp;isModal=False</t>
  </si>
  <si>
    <t>OPS-DAD-0062-2023</t>
  </si>
  <si>
    <t>1082881269</t>
  </si>
  <si>
    <t>GENESIS DILENA ROBLES VARGAS</t>
  </si>
  <si>
    <t>SERVICIO DE IMPRESIÓN DE: DIPLOMAS, CERTIFICADOS DE APTITUD POR COMPETENCIAS, MENCIONES HONORIFICAS CUM LAUDEN, SUMA CUM LAUDE, BECAS, MENCIÓN DE HONOR POR SABER PRO DE PREGRADO, MENCIÓN DE HONOR POR TRABAJO DE GRADO DE POSTGRADOS MERITORIA PARA SER ENTREGADAS EN LAS CEREMONIAS DE GRADUACIÓN DE PREGRADO PRESENCIAL, POSTGRADOS Y DEL CREO,  IMPRESIÓN DE CERTIFICADOS DE DIPLOMADOS, ACUERDOS ACADÉMICOS PARA HONORIS CAUSAS, MENCIONES DE HONOR Y RECONOCIMIENTOS ACADÉMICOS, DUPLICADOS DE DIPLOMAS Y DE CERTIFICADOS DE APTITUD POR COMPETENCIA PARA ATENDER SOLICITUDES DE USUARIOS DEL SERVICIO EN LA UNIVERSIDAD DEL MAGDALENA. LA UNIVERSIDAD PAGARÁ LAS CANTIDADES EFECTIVAMENTE ENTREGADAS AL SUPERVISOR. LA PROPUESTA HACE PARTE INTEGRAL DE LA PRESENTE ORDEN.</t>
  </si>
  <si>
    <t>https://community.secop.gov.co/Public/Tendering/ContractNoticePhases/View?PPI=CO1.PPI.24403567&amp;isFromPublicArea=True&amp;isModal=False</t>
  </si>
  <si>
    <t>OPS-DAD-0063-2023</t>
  </si>
  <si>
    <t>901024882</t>
  </si>
  <si>
    <t>INGENIERIAS AVANZADAS DE COLOMBIA S.A.S.</t>
  </si>
  <si>
    <t>SERVICIO DE MANTENIMIENTO PREVENTIVO Y/O CORRECTIVO INCLUIDO REPUESTOS DE EQUIPOS ÓPTICOS UBICADOS EN LOS DIFERENTES LABORATORIOS DE LA UNIVERSIDAD DEL MAGDALENA. LA PROPUESTA HACE PARTE INTEGRAL DE LA PRESENTE ORDEN.</t>
  </si>
  <si>
    <t>https://community.secop.gov.co/Public/Tendering/ContractNoticePhases/View?PPI=CO1.PPI.24407685&amp;isFromPublicArea=True&amp;isModal=False</t>
  </si>
  <si>
    <t>OPS-DAD-0064-2023</t>
  </si>
  <si>
    <t>SERVICIO DE DIVULGACIÓN EN PRENSA DE LA OFERTA ACADÉMICA CORRESPONDIENTE AL PERIODO 2023-II, CAMPAÑAS DE PROMOCIÓN INSTITUCIONAL EN  EL PERIÓDICO DIGITAL "EL VOCERO DE LA PROVINCIA" WWW.ELVOCERODELAPROVINCIA.COM, MEDIANTE LA PUBLICACIÓN DE DOS (02) AVISOS, Y EN SUS REDES SOCIALES, INTERCALANDO EN FACEBOOK EL VOCERO DE LA PROVINCIA; INSTAGRAM @ELVOCERODELAPROVINCIA Y TWITTER @VOCEROPROVINCIA. DE CONFORMIDAD CON LAS ESPECIFICACIONES ESTABLECIDAS EN LA PROPUESTA PRESENTADA POR EL CONTRATISTA, LA CUAL HACE PARTE INTEGRAL DE LA PRESENTE ORDEN.</t>
  </si>
  <si>
    <t>https://community.secop.gov.co/Public/Tendering/ContractNoticePhases/View?PPI=CO1.PPI.24454342&amp;isFromPublicArea=True&amp;isModal=False</t>
  </si>
  <si>
    <t>OPS-DAD-0065-2023</t>
  </si>
  <si>
    <t xml:space="preserve">SERVICIO DE DIVULGACIÓN EN PRENSA DE LA OFERTA ACADÉMICA CORRESPONDIENTE AL PERIODO 2023-II, CAMPAÑAS DE PROMOCIÓN INSTITUCIONAL EN EL PERIÓDICO "EL INFORMADOR", MEDIANTE LA PUBLICACIÓN DE TRES (3) AVISOS. CON LAS SIGUIENTES ESPECIFICACIONES:  TAMAÑO 27 CMS X 3 COL (27 CMS ALTO X 13 CMS ANCHO) EN COLOR POLICROMÍA. LA PROPUESTA HACE PARTE INTEGRAL DE LA PRESENTE ORDEN. </t>
  </si>
  <si>
    <t>https://community.secop.gov.co/Public/Tendering/ContractNoticePhases/View?PPI=CO1.PPI.24455775&amp;isFromPublicArea=True&amp;isModal=False</t>
  </si>
  <si>
    <t>OPS-DAD-0066-2023</t>
  </si>
  <si>
    <t>819004091</t>
  </si>
  <si>
    <t xml:space="preserve">SERVICIO DE DIVULGACIÓN EN PRENSA DE LA OFERTA ACADÉMICA CORRESPONDIENTE AL PERIODO 2023-II, CAMPAÑAS DE PROMOCIÓN INSTITUCIONAL EN EL PERIÓDICO "HOY DIARIO DEL MAGDALENA", MEDIANTE LA PUBLICACIÓN DE CINCO (05) AVISOS.  CON LAS SIGUIENTES ESPECIFICACIONES: ESPACIO DE 3 COLUMNAS X 20 CM, CON TINTA A COLOR Y UBICACIÓN EN PÁGINA IMPAR. LA PROPUESTA HACE PARTE INTEGRAL DE LA PRESENTE ORDEN. </t>
  </si>
  <si>
    <t>https://community.secop.gov.co/Public/Tendering/ContractNoticePhases/View?PPI=CO1.PPI.24456374&amp;isFromPublicArea=True&amp;isModal=False</t>
  </si>
  <si>
    <t>OPS-DAD-0067-2023</t>
  </si>
  <si>
    <t xml:space="preserve">SERVICIO DE DIVULGACIÓN EN PRENSA DE LA OFERTA ACADÉMICA CORRESPONDIENTE AL PERIODO 2023-II, CAMPAÑAS DE PROMOCIÓN INSTITUCIONAL EN  EL  "DIARIO LA PRENSA", MEDIANTE LA PUBLICACIÓN DE DOS (02) AVISOS. LA PROPUESTA HACE PARTE INTEGRAL DE LA PRESENTE ORDEN. </t>
  </si>
  <si>
    <t>https://community.secop.gov.co/Public/Tendering/ContractNoticePhases/View?PPI=CO1.PPI.24456808&amp;isFromPublicArea=True&amp;isModal=False</t>
  </si>
  <si>
    <t>OPS-DAD-0068-2023</t>
  </si>
  <si>
    <t>901617504</t>
  </si>
  <si>
    <t>CASA GLAMEL EXCLUSIVE S.A.S.</t>
  </si>
  <si>
    <t xml:space="preserve">SERVICIO DE ALQUILER DE 2.123 TOGAS, DISEÑO Y CONFECCIÓN DE ESTOLAS PARA LAS CEREMONIAS DE GRADOS DE LA UNIVERSIDAD DEL MAGDALENA A DESARROLLARSE SEGÚN EL CALENDARIO ACADÉMICO DE 2023. LA PROPUESTA HACE PARTE INTEGRAL DE LA PRESENTE ORDEN. </t>
  </si>
  <si>
    <t>https://community.secop.gov.co/Public/Tendering/ContractNoticePhases/View?PPI=CO1.PPI.24511098&amp;isFromPublicArea=True&amp;isModal=False</t>
  </si>
  <si>
    <t>OPS-DAD-0069-2023</t>
  </si>
  <si>
    <t>900512750</t>
  </si>
  <si>
    <t>INGENIERIA DE BIOSERVICIOS S.A.S.</t>
  </si>
  <si>
    <t>SERVICIO DE MANTENIMIENTO PREVENTIVO Y/O CORRECTIVO, INCLUYE REPUESTOS, DE LOS EQUIPOS BIOMÉDICOS UBICADOS EN LA CLÍNICA ODONTOLÓGICA Y BIENESTAR UNIVERSITARIO, QUE SON UTILIZADOS POR ESTUDIANTES, DOCENTES Y PERSONAL MÉDICO PARA LAS PRÁCTICAS ACADÉMICAS Y ATENCIÓN EN SALUD DE LA COMUNIDAD UNIVERSITARIA. LA PROPUESTA HACE PARTE INTEGRAL DE ESTE DOCUMENTO.</t>
  </si>
  <si>
    <t>https://community.secop.gov.co/Public/Tendering/ContractNoticePhases/View?PPI=CO1.PPI.24565922&amp;isFromPublicArea=True&amp;isModal=False</t>
  </si>
  <si>
    <t>OPS-DAD-0070-2023</t>
  </si>
  <si>
    <t>900047589</t>
  </si>
  <si>
    <t>VISION 21 S.A.S.</t>
  </si>
  <si>
    <t>SERVICIO DE DIVULGACIÓN DE LA OFERTA ACADÉMICA CORRESPONDIENTE AL PERIODO 2023-II, COMO TAMBIÉN REALIZAR CAMPAÑAS DE PROMOCIÓN INSTITUCIONAL DE LA UNIVERSIDAD SOBRE DISTINTOS PROCESOS EN LA RADIO LOCAL Y REGIONAL. CON LAS SIGUIENTES ESPECIFICACIONES:  982 CUÑAS CON UNA DURACION DE 35 SEGUNDOS EN MEDIOS RADIALES DEL CARIBE ALUSIVAS A LA OFERTA ACADEMICA 2023- II Y 333 CUÑAS DE 35 SEGUNDOS EN MEDIOS RADIALES VIRTUALES DEL CARIBE ALUSIVAS A LA OFERTA ACADEMICAS</t>
  </si>
  <si>
    <t>https://community.secop.gov.co/Public/Tendering/ContractNoticePhases/View?PPI=CO1.PPI.24568373&amp;isFromPublicArea=True&amp;isModal=False</t>
  </si>
  <si>
    <t>OPS-DAD-0071-2023</t>
  </si>
  <si>
    <t>900906931</t>
  </si>
  <si>
    <t>GENERACIÓN ENERGÉTICA S.A.S. “GENERGY S.A.S.”</t>
  </si>
  <si>
    <t xml:space="preserve">SERVICIO DE RECONFIGURACIÓN DE SERVIDOR, MANTENIMIENTOS PREVENTIVO Y CALIBRACIÓN DE DATALOGGERS Y MANTENIMIENTO CORRECTIVO MEDIANTE EL CAMBIO DE ELEMENTOS Y PIEZAS EN MAL ESTADO, NECESARIO EN LOS SIGUIENTES EQUIPOS DEL LABORATORIO DE MECÁNICA DE FLUIDOS E HIDRÁULICA: 1) TABLERO DE PÉRDIDAS EN TUBERÍAS COMERCIALES EN PVC, 2) CANAL DE PENDIENTE VARIABLE, 3) BANCO HIDROSTÁTICO, 4) BOMBAS EN SERIE Y PARALELO, 5) EQUIPO DE ORIFICIOS, 6) BOMBA PRINCIPAL Y 7) PLATAFORMA. LA PROPUESTA HACE PARTE INTEGRAL DE LA PRESENTE ORDEN. </t>
  </si>
  <si>
    <t>https://community.secop.gov.co/Public/Tendering/ContractNoticePhases/View?PPI=CO1.PPI.24569169&amp;isFromPublicArea=True&amp;isModal=False</t>
  </si>
  <si>
    <t>OPS-DAD-0072-2023</t>
  </si>
  <si>
    <t>85469041</t>
  </si>
  <si>
    <t>SERVICIO DE ALQUILER DE MÓDULOS METÁLICOS (CONTENEDORES) DE 6 MTS, CON EL FIN DE CUBRIR LOS REQUERIMIENTOS DE ESPACIOS PARA OFICINAS ALTERNAS Y BODEGAS NECESARIAS PARA EL BUEN FUNCIONAMIENTO DE LAS UNIDADES ADMINISTRATIVAS. LA PROPUESTA HACE PARTE INTEGRAL DE LA PRESENTE ORDEN.</t>
  </si>
  <si>
    <t>BETTY PATIÑO URIELES</t>
  </si>
  <si>
    <t>https://community.secop.gov.co/Public/Tendering/ContractNoticePhases/View?PPI=CO1.PPI.24662493&amp;isFromPublicArea=True&amp;isModal=False</t>
  </si>
  <si>
    <t>OPS-DAD-0073-2023</t>
  </si>
  <si>
    <t>84450925</t>
  </si>
  <si>
    <t>DARWIN DE JESUS STEBA CASTILLA</t>
  </si>
  <si>
    <t>SERVICIO DE MANTENIMIENTO PREVENTIVO Y/O CORRECTIVO DEL DESIONIZADOR  MARCA SIMPLICITY UV, INCLUYE LOS SIGUIENTES REPUESTOS:  LAMPARA UV LAMP 185 NM - 6W; MARCA MILLIPORE, FILTRO CARTUCHO PARA IONIZADOR MARCA THERMES REF: SIMPLIPAK 1, FILTRO DE BOQUILLA DE 1 MICRA REF:SIMFILTER MARCA MILLIPORE, PARA GARANTIZAR EL NORMAL DESARROLLO DE LAS ACTIVIDADES ACADÉMICAS E INVESTIGATIVAS, LA VIDA ÚTIL Y CONDICIONES DE OPERACIÓN SEGURAS EN EL LABORATORIO DE QUÍMICA DE LA UNIVERSIDAD DEL MAGDALENA.  DE CONFORMIDAD CON LAS ESPECIFICACIONES ESTABLECIDAS EN LA PROPUESTA PRESENTADA POR EL CONTRATISTA, LA CUAL HACE PARTE INTEGRAL DE LA PRESENTE ORDEN.</t>
  </si>
  <si>
    <t>https://community.secop.gov.co/Public/Tendering/ContractNoticePhases/View?PPI=CO1.PPI.24694914&amp;isFromPublicArea=True&amp;isModal=False</t>
  </si>
  <si>
    <t>OPS-DAD-0074-2023</t>
  </si>
  <si>
    <t>900307707</t>
  </si>
  <si>
    <t>EMSEALTEC S.A.S.</t>
  </si>
  <si>
    <t>SERVICIO DE MANTENIMIENTO PREVENTIVO Y CORRECTIVO DE LAS PUERTAS AUTOMATIZADAS DE LA UNIVERSIDAD DEL MAGDALENA Y SUS SEDES ALTERNAS.  DE CONFORMIDAD CON LAS ESPECIFICACIONES ESTABLECIDAS EN LA PROPUESTA PRESENTADA POR EL CONTRATISTA, LA CUAL HACE PARTE INTEGRAL DE LA PRESENTE ORDEN.</t>
  </si>
  <si>
    <t>https://community.secop.gov.co/Public/Tendering/ContractNoticePhases/View?PPI=CO1.PPI.24696313&amp;isFromPublicArea=True&amp;isModal=False</t>
  </si>
  <si>
    <t>OPS-DAD-0075-2023</t>
  </si>
  <si>
    <t>901346015</t>
  </si>
  <si>
    <t>LIGHTBOX S.A.S.</t>
  </si>
  <si>
    <t>SERVICIO DE MANTENIMIENTO PREVENTIVO Y/O CORRECTIVO PARCIAL PARA LOS EQUIPOS ESPECIALIZADOS DE FOTOGRAFÍA Y SONIDO PERTENECIENTES AL PROGRAMA CINE Y AUDIOVISUALES DE LA UNIVERSIDAD. LA PROPUESTA HACE PARTE INTEGRAL DE ESTE DOCUMENTO.</t>
  </si>
  <si>
    <t>https://community.secop.gov.co/Public/Tendering/ContractNoticePhases/View?PPI=CO1.PPI.24699205&amp;isFromPublicArea=True&amp;isModal=False</t>
  </si>
  <si>
    <t>OPS-DAD-0076-2023</t>
  </si>
  <si>
    <t>901086965</t>
  </si>
  <si>
    <t>RADIO HOY S.A.S.</t>
  </si>
  <si>
    <t>SERVICIO DE PUBLICACIÓN DE PAUTAS RADIALES PARA LA PROMOCIÓN Y DIVULGACIÓN DE LOS DIFERENTES PROGRAMAS INSTITUCIONALES EN LA PROGRAMACIÓN GENERAL DE LA EMISORA RADIOHOY.COM Y UN (1) BANNER DE 1000 X 100 EN LA PÁGINA PRINCIPAL DEL PORTAL WEB WWW.RADIOHOY.COM</t>
  </si>
  <si>
    <t>https://community.secop.gov.co/Public/Tendering/ContractNoticePhases/View?PPI=CO1.PPI.24701619&amp;isFromPublicArea=True&amp;isModal=False</t>
  </si>
  <si>
    <t>OPS-DAD-0077-2023</t>
  </si>
  <si>
    <t>901283655</t>
  </si>
  <si>
    <t>COPY´S STUDENT S.A.S.</t>
  </si>
  <si>
    <t>SERVICIO DE FOTOCOPIAS, EMPASTES Y ARGOLLADO QUE SE REQUIERAN PARA LAS OFICINAS ACADÉMICAS Y ADMINISTRATIVAS DE LA UNIVERSIDAD</t>
  </si>
  <si>
    <t>https://community.secop.gov.co/Public/Tendering/ContractNoticePhases/View?PPI=CO1.PPI.24703034&amp;isFromPublicArea=True&amp;isModal=False</t>
  </si>
  <si>
    <t>OPS-DAD-0078-2023</t>
  </si>
  <si>
    <t>890100477</t>
  </si>
  <si>
    <t>EL HERALDO S.A.</t>
  </si>
  <si>
    <t>SERVICIO DE DIVULGACIÓN EN PRENSA DE LA OFERTA ACADÉMICA CORRESPONDIENTE AL PERIODO 2023-II, CAMPAÑAS DE PROMOCIÓN INSTITUCIONAL EN LOS PERIÓDICOS EL HERALDO Y AL DÍA, MEDIANTE LA PUBLICACIÓN DE CINCO (05) AVISOS</t>
  </si>
  <si>
    <t>https://community.secop.gov.co/Public/Tendering/ContractNoticePhases/View?PPI=CO1.PPI.24720749&amp;isFromPublicArea=True&amp;isModal=False</t>
  </si>
  <si>
    <t>OPS-DAD-0079-2023</t>
  </si>
  <si>
    <t>819004970</t>
  </si>
  <si>
    <t>OXIMED - MEISER SAS</t>
  </si>
  <si>
    <t>SERVICIO DE RECARGA DE GASES MEDICINALES, INDUSTRIALES Y ESPECIALES, ACCESORIOS Y SERVICIOS ASOCIADOS AL SUMINISTRO DE GASES QUE GARANTICEN EL NORMAL FUNCIONAMIENTO DE LOS SERVICIOS DE LABORATORIOS Y CONSULTORIOS DE LA INSTITUCIÓN. INCLUYE ACCESORIOS Y SERVICIOS ASOCIADOS DE CONFORMIDAD CON LAS ESPECIFICACIONES TÉCNICAS DEL SERVICIO ESTABLECIDAS POR UNIMAGDALENA</t>
  </si>
  <si>
    <t>https://community.secop.gov.co/Public/Tendering/ContractNoticePhases/View?PPI=CO1.PPI.24722325&amp;isFromPublicArea=True&amp;isModal=False</t>
  </si>
  <si>
    <t>OPS-DAD-0080-2023</t>
  </si>
  <si>
    <t>860001022</t>
  </si>
  <si>
    <t>CASA EDITORIAL EL TIEMPO S.A.</t>
  </si>
  <si>
    <t>SERVICIO DE LA DIVULGACIÓN EN PRENSA DE LA OFERTA ACADÉMICA CORRESPONDIENTE AL PERIODO 2023-II, CAMPAÑAS DE PROMOCIÓN INSTITUCIONAL EN EL PERIÓDICO EL TIEMPO MEDIANTE LA PUBLICACIÓN DE TRES 3 AVISOS CON LAS SIGUIENTES ESPECIFICACIONES: 3 COL X 20 CMS CORRIENTE - POLICROMÍA -SECCIÓN CULTURA</t>
  </si>
  <si>
    <t>https://community.secop.gov.co/Public/Tendering/ContractNoticePhases/View?PPI=CO1.PPI.24763724&amp;isFromPublicArea=True&amp;isModal=False</t>
  </si>
  <si>
    <t>OPS-DAD-0081-2023</t>
  </si>
  <si>
    <t>900794405</t>
  </si>
  <si>
    <t>CALIBRAR S.A.S.</t>
  </si>
  <si>
    <t>SERVICIO DE CALIBRACION PARA LOS EQUIPOS BIOMEDICOS UBICADOS EN LAS CLINICAS ODONTOLOGICAS Y DE BIENESTAR UNIVERSITARIO QUE SON UTILIZADOS POR ESTUDIANTES, DOCENTES Y PERSONAL MEDICO PARA LAS PRACTICAS ACADEMICAS Y ATENCION EN SALUD DE LA COMUNIDAD UNIVERSITARIA</t>
  </si>
  <si>
    <t>https://community.secop.gov.co/Public/Tendering/ContractNoticePhases/View?PPI=CO1.PPI.24764577&amp;isFromPublicArea=True&amp;isModal=False</t>
  </si>
  <si>
    <t>OPS-DAD-0082-2023</t>
  </si>
  <si>
    <t>900570454</t>
  </si>
  <si>
    <t>SOCIEDAD CARIBE TELECOMUNICACIONES CATEL S.A.S.</t>
  </si>
  <si>
    <t>SERVICIO DE CANAL DEDICADO DE BANDA ANCHA DE 40MG EN CADA UNO DE LOS CENTROS ZONALES DE AGUACHICA Y PELAYA CESAR</t>
  </si>
  <si>
    <t>https://community.secop.gov.co/Public/Tendering/ContractNoticePhases/View?PPI=CO1.PPI.24791053&amp;isFromPublicArea=True&amp;isModal=False</t>
  </si>
  <si>
    <t>OPS-DAD-0083-2023</t>
  </si>
  <si>
    <t>901265585</t>
  </si>
  <si>
    <t>NCN BIOINGENIERIA S.A.S.</t>
  </si>
  <si>
    <t>SERVICIO DE MANTENIMIENTO PREVENTIVO YO CORRECTIVO DE DOS 2 AUTOCLAVES MARCA TUTTNAUER, MODELOS 5075EL UBICADA EN EL LABORATORIO DE MICROBIOLOGIA BLOQUE VI SERIAL 1106909 CODIGO ALMACEN 01827 Y 3140 E UBICADA EN EL LABORATORIO DE FITOPATOLOGIA HANGAR B SERIAL 128067 CODIGO ALMACEN 3041 Y SUMINISTRO DE LOS EMPAQUE PARA PUERTAS Y FILTRO DE AIRE DE AUTOCLAVE 3140E</t>
  </si>
  <si>
    <t>https://community.secop.gov.co/Public/Tendering/ContractNoticePhases/View?PPI=CO1.PPI.24844767&amp;isFromPublicArea=True&amp;isModal=False</t>
  </si>
  <si>
    <t>OPS-DAD-0084-2023</t>
  </si>
  <si>
    <t>900530916</t>
  </si>
  <si>
    <t>SISTEMAS INTEGRADOS WORLD S.A.S.</t>
  </si>
  <si>
    <t>SERVICIO DE SOPORTE PARA EL MANTENIMIENTO DE LOS SISTEMAS DE INFORMACION CON BASES DE DATOS INSTITUCIONALES EN ORACLE COMO SINAP V6 Y AYRE</t>
  </si>
  <si>
    <t>https://community.secop.gov.co/Public/Tendering/ContractNoticePhases/View?PPI=CO1.PPI.24847261&amp;isFromPublicArea=True&amp;isModal=False</t>
  </si>
  <si>
    <t>OPS-DAD-0085-2023</t>
  </si>
  <si>
    <t>SERVICIO DE IMPRESOS, PUBLICACIONES, IMPRESION LITOGRAFICA, IMPRESION DIGITAL Y DEMAS SERVICIOS RELACIONADOS, REQUERIDOS PARA LA ELABORACION DE PUBLICACIONES OFICIALES Y DE INFORMACION EN GENERAL PARA DIFUSION DE LOS PROGRAMAS, ACTIVIDADES Y PROYECTOS INSTITUCIONALES DE LA UNIVERSIDAD DEL MAGDALENA</t>
  </si>
  <si>
    <t>https://community.secop.gov.co/Public/Tendering/ContractNoticePhases/View?PPI=CO1.PPI.24940229&amp;isFromPublicArea=True&amp;isModal=False</t>
  </si>
  <si>
    <t>OPS-DAD-0086-2023</t>
  </si>
  <si>
    <t>900239396</t>
  </si>
  <si>
    <t>ISOLUCION SISTEMAS INTEGRADOS DE GESTION S.A.</t>
  </si>
  <si>
    <t>SERVICIO DE SOPORTE Y MANTENIMIENTO DEL SOFTWARE ISOLUCION BASICO</t>
  </si>
  <si>
    <t>https://community.secop.gov.co/Public/Tendering/ContractNoticePhases/View?PPI=CO1.PPI.24982738&amp;isFromPublicArea=True&amp;isModal=False</t>
  </si>
  <si>
    <t>OPS-DAD-0087-2023</t>
  </si>
  <si>
    <t>830122983</t>
  </si>
  <si>
    <t>ESRI COLOMBIA S.A.S.</t>
  </si>
  <si>
    <t>SERVICIO DE LICENCIAMIENTO DEL SOFTWARE ARCGIS EDUCATIONAL ACADEMIC DEPARTMENTAL LARGE SINGLE USE TERM LICENSE 200 USERS</t>
  </si>
  <si>
    <t>https://community.secop.gov.co/Public/Tendering/ContractNoticePhases/View?PPI=CO1.PPI.25014256&amp;isFromPublicArea=True&amp;isModal=False</t>
  </si>
  <si>
    <t>OPS-DAD-0087A-2023</t>
  </si>
  <si>
    <t>PUBLICACION DE UN AVISO A TRAVES DE UNA SEPARATA ESPECIAL DEDICADA A PROCESOS UNIVERSITARIOS DE UNO DE LOS PRINCIPALES PERIODICOS A NIVEL REGIONAL, CON REPLICA EN SUS PLATAFORMAS DIGITALES, Y TAMBIEN NUEVAS FUENTES DIFUSORAS DE RADIO ON LINE QUE MARCAN PREFERENCIA EN LA ACTUALIDAD, BUSCANDO DAR A CONOCER EL DESARROLLO DE LA ALMA MATER EN LAS CONDICIONES ESPECIALES DE LA ACTUALIDAD MUNDIAL A TRAVES DE LOS PROCESOS ACADEMICOS E INSTITUCIONALES Y EL IMPACTO EN SU ENTORNO INMEDIATO Y LEJANO</t>
  </si>
  <si>
    <t>https://community.secop.gov.co/Public/Tendering/ContractNoticePhases/View?PPI=CO1.PPI.25386425&amp;isFromPublicArea=True&amp;isModal=False</t>
  </si>
  <si>
    <t>OPS-DAD-0088-2023</t>
  </si>
  <si>
    <t>891702681</t>
  </si>
  <si>
    <t>BOMBAS Y REPUESTOS S.A.S.</t>
  </si>
  <si>
    <t>SERVICIO TECNICO ESPECIALIZADO PARA EL MANTENIMIENTO PREVENTIVO Y CORRECTIVO DE LOS EQUIPOS DE CORTE Y FUMIGACION MARCA STIHL Y HUSQVARNA</t>
  </si>
  <si>
    <t>https://community.secop.gov.co/Public/Tendering/ContractNoticePhases/View?PPI=CO1.PPI.25044057&amp;isFromPublicArea=True&amp;isModal=False</t>
  </si>
  <si>
    <t>OPS-DAD-0089-2023</t>
  </si>
  <si>
    <t>85452167</t>
  </si>
  <si>
    <t>EMIRO ALFONSO OCHOA CASTILLO</t>
  </si>
  <si>
    <t>SERVICIO DE DIVULGACION DE LA OFERTA ACADEMICA CORRESPONDIENTE AL PERIODO 2023II, COMO TAMBIEN REALIZAR CAMPAÑAS DE PROMOCION INSTITUCIONAL DE LA UNIVERSIDAD SOBRE DISTINTOS PROCESOS EN LA RADIO LOCAL Y REGIONAL</t>
  </si>
  <si>
    <t>https://community.secop.gov.co/Public/Tendering/ContractNoticePhases/View?PPI=CO1.PPI.25092752&amp;isFromPublicArea=True&amp;isModal=False</t>
  </si>
  <si>
    <t>OPS-DAD-0090-2023</t>
  </si>
  <si>
    <t>901036615</t>
  </si>
  <si>
    <t>AUDITBRAIN S.A.S</t>
  </si>
  <si>
    <t>SERVICIO DE RENOVACION DE LA LICENCIA AUDITBRAIN POR UN AÑO.</t>
  </si>
  <si>
    <t>https://community.secop.gov.co/Public/Tendering/ContractNoticePhases/View?PPI=CO1.PPI.25234679&amp;isFromPublicArea=True&amp;isModal=False</t>
  </si>
  <si>
    <t>OPS-DAD-0091-2023</t>
  </si>
  <si>
    <t>SERVICIO DE MANTENIMIENTO PREVENTIVO Y CORRECTIVO DE LOS SISTEMAS DE TRATAMIENTO DE AGUA POTABLE PERTENECIENTES A LA UNIVERSIDAD DEL MAGDALENA.</t>
  </si>
  <si>
    <t>https://community.secop.gov.co/Public/Tendering/ContractNoticePhases/View?PPI=CO1.PPI.25367810&amp;isFromPublicArea=True&amp;isModal=False</t>
  </si>
  <si>
    <t>OPS-DAD-0092-2023</t>
  </si>
  <si>
    <t>9012794482</t>
  </si>
  <si>
    <t>SERVICIO DE ALQUILER DE EQUIPOS ESPECIALIZADOS Y ELEMENTOS DE PRODUCCIÓN TÉCNICA (SONIDO, BACK LINE, ILUMINACIÓN, MODULARES Y ESCENOGRAFÍA, VIDEO Y SOPORTE) PARA LA REALIZACIÓN DE DOS (02) CEREMONIAS DE GRADUACIÓN DE LA UNIVERSIDAD</t>
  </si>
  <si>
    <t>https://community.secop.gov.co/Public/Tendering/ContractNoticePhases/View?PPI=CO1.PPI.25373897&amp;isFromPublicArea=True&amp;isModal=False</t>
  </si>
  <si>
    <t>OPS-DAD-0093-2023</t>
  </si>
  <si>
    <t>830048145</t>
  </si>
  <si>
    <t>SIIGO S.A.S.</t>
  </si>
  <si>
    <t>SERVICIO DE RENOVACIÓN DE LICENCIAS DE USO DEL SOFTWARE SIIGO POR 12 MESES.</t>
  </si>
  <si>
    <t>https://community.secop.gov.co/Public/Tendering/ContractNoticePhases/View?PPI=CO1.PPI.25399223&amp;isFromPublicArea=True&amp;isModal=False</t>
  </si>
  <si>
    <t>OPS-DAD-0094-2023</t>
  </si>
  <si>
    <t>PROQUEST COLOMBIA S.A.S.</t>
  </si>
  <si>
    <t xml:space="preserve">SERVICIO DE SUSCRIPCIÓN POR 12 MESES DE LA BASE DE DATOS O'REILLY PARA FORTALECER LOS PROCESOS ACADÉMICOS Y DE INVESTIGACIÓN DE LA AMPLIA OFERTA ACADÉMICA DE LA UNIVERSIDAD
</t>
  </si>
  <si>
    <t>https://community.secop.gov.co/Public/Tendering/ContractNoticePhases/View?PPI=CO1.PPI.25402571&amp;isFromPublicArea=True&amp;isModal=False</t>
  </si>
  <si>
    <t>OPS-DAD-0095-2023</t>
  </si>
  <si>
    <t>12549201</t>
  </si>
  <si>
    <t>ALBERTO DE JESUS MENDEZ LINERO</t>
  </si>
  <si>
    <t>SERVICIO DE LAVADO Y PLANCHADO DE MANTELES PEQUEÑOS Y GRANDES, BANDERAS DE LA UNIVERSIDAD DEL MAGDALENA QUE SON UTILIZADOS EN EVENTOS Y ACTIVIDADES INSTITUCIONALES</t>
  </si>
  <si>
    <t>https://community.secop.gov.co/Public/Tendering/ContractNoticePhases/View?PPI=CO1.PPI.25403072&amp;isFromPublicArea=True&amp;isModal=False</t>
  </si>
  <si>
    <t>OPS-DAD-0096-2023</t>
  </si>
  <si>
    <t>901279448</t>
  </si>
  <si>
    <t>SERVICIO DE ALQUILER DE EQUIPOS ESPECIALIZADOS Y ELEMENTOS DE PRODUCCIÓN TÉCNICA (SONIDO, BACK LINE, ILUMINACIÓN, MODULARES Y ESCENOGRAFÍA, VIDEO Y SOPORTE), PARA LA REALIZACIÓN DE LA SOCIALIZACIÓN DE RESULTADOS DE PROCESO DE ACREDITACIÓN INTERNACIONAL</t>
  </si>
  <si>
    <t>https://community.secop.gov.co/Public/Tendering/ContractNoticePhases/View?PPI=CO1.PPI.25486298&amp;isFromPublicArea=True&amp;isModal=False</t>
  </si>
  <si>
    <t>OPS-DAD-0097-2023</t>
  </si>
  <si>
    <t>891780093</t>
  </si>
  <si>
    <t>CAJA DE COMPENSACION FAMILIAR DEL MAGDALENA “CAJAMAG”</t>
  </si>
  <si>
    <t>SERVICIO DE ALQUILER DE TEATRO PARA LA REALIZACIÓN DEL EVENTO ENCUENTRO DOCENTE 2023 COMO CONMEMORACIÓN DEL DÍA DEL MAESTRO, EL CUAL SE LLEVARÁ ACABO EL 09 DE JUNIO DE 2023, ORGANIZADO POR LA DIRECCIÓN CURRICULAR Y DE DOCENCIA Y LA DIRECCIÓN DE BIENESTAR UNIVERSITARIO.</t>
  </si>
  <si>
    <t>https://community.secop.gov.co/Public/Tendering/ContractNoticePhases/View?PPI=CO1.PPI.25505660&amp;isFromPublicArea=True&amp;isModal=False</t>
  </si>
  <si>
    <t>OPS-DAD-0098-2023</t>
  </si>
  <si>
    <t>819005937</t>
  </si>
  <si>
    <t>MEZA MOTORES E.U.</t>
  </si>
  <si>
    <t>SERVICIO DE MANTENIMIENTO PREVENTIVO Y CORRECTIVO DE LOS MOTORES ELÉCTRICOS Y DE LAS PLANTAS ELÉCTRICAS PERTENECIENTES A LA UNIVERSIDAD DEL MAGDALENA Y SUS SEDES ALTERNAS</t>
  </si>
  <si>
    <t>https://community.secop.gov.co/Public/Tendering/ContractNoticePhases/View?PPI=CO1.PPI.25632975&amp;isFromPublicArea=True&amp;isModal=False</t>
  </si>
  <si>
    <t>OPS-DAD-0099-2023</t>
  </si>
  <si>
    <t>SISTEMAS INTEGRADOS WORLD WIDE S.A.S.</t>
  </si>
  <si>
    <t>SERVICIO DE MANTENIMIENTO Y SOPORTE ESPECIALIZADO SOBRE LA PLATAFORMA DE TELEFONÍA IP INSTITUCIONAL</t>
  </si>
  <si>
    <t>https://community.secop.gov.co/Public/Tendering/ContractNoticePhases/View?PPI=CO1.PPI.25710156&amp;isFromPublicArea=True&amp;isModal=False</t>
  </si>
  <si>
    <t>OPS-DAD-0100-2023</t>
  </si>
  <si>
    <t>85469738</t>
  </si>
  <si>
    <t>SERVICIO DE PREPRODUCCIÓN, PRODUCCIÓN Y POST PRODUCCIÓN DE PIEZAS AUDIOVISUALES DE CARÁCTER INSTITUCIONAL PARA TRANSMITIR EN EL PERIODO INTERSEMESTRAL, POR LAS REDES SOCIALES, PÁGINA WEB Y TODOS LOS ESPACIOS OFICIALES DE COMUNICACIÓN AUDIOVISUAL E INTERACTIVA DE UNIMAGDALENA.</t>
  </si>
  <si>
    <t>https://community.secop.gov.co/Public/Tendering/ContractNoticePhases/View?PPI=CO1.PPI.25762110&amp;isFromPublicArea=True&amp;isModal=False</t>
  </si>
  <si>
    <t>OPS-DAD-0101-2023</t>
  </si>
  <si>
    <t>901050213</t>
  </si>
  <si>
    <t>SERVICIO DE LA PREPRODUCCIÓN, PRODUCCIÓN Y POST PRODUCCIÓN DEL PROGRAMA INSTITUCIONAL DE LA UNIVERSIDAD DEL MAGDALENA: “EL CAMPUS TV”, ESTE SE TRANSMITIRÁ DURANTE UN (01) MES EN EL PERIODO INTERSEMENSTRAL, POR EL CANAL REGIONAL TELECARIBE, EL CANAL UNIVERSITARIO ZOOM Y  EL CANAL TERRITORIO DE TELEVISIÓN LOCAL- CANAL 78 POR TV NORTE TELEVISIÓN POR CABLE.</t>
  </si>
  <si>
    <t>https://community.secop.gov.co/Public/Tendering/ContractNoticePhases/View?PPI=CO1.PPI.25876643&amp;isFromPublicArea=True&amp;isModal=False</t>
  </si>
  <si>
    <t>OPS-DAD-0102-2023</t>
  </si>
  <si>
    <t>830074291</t>
  </si>
  <si>
    <t>CENGAGE LEARNING DE COLOMBIA SAS</t>
  </si>
  <si>
    <t>SERVICIO DE RENOVACIÓN POR 12 MESES, DE LA SUSCRIPCIÓN A LA BASE DE DATOS GALE RESEARCH COMPLETE QUE REQUIERE LA BIBLIOTECA GERMÁN BULA MEYER PARA DAR SOPORTE A TODOS LOS PROGRAMAS DE LA OFERTA ACADÉMICA INSTITUCIONAL EN LOS NIVELES DE FORMACIÓN DE PREGRADO Y POSTGRADOS.</t>
  </si>
  <si>
    <t>https://community.secop.gov.co/Public/Tendering/ContractNoticePhases/View?PPI=CO1.PPI.25840286&amp;isFromPublicArea=True&amp;isModal=False</t>
  </si>
  <si>
    <t>OPS-DAD-0103-2023</t>
  </si>
  <si>
    <t>INDEXA SYSTEMS SAS</t>
  </si>
  <si>
    <t>SERVICIO DE RENOVACIÓN POR 12 MESES DEL SOFTWARE LABVIEW, PARA LOS PROGRAMAS DE LA FACULTAD DE INGENIERÍA.</t>
  </si>
  <si>
    <t>https://community.secop.gov.co/Public/Tendering/ContractNoticePhases/View?PPI=CO1.PPI.25879344&amp;isFromPublicArea=True&amp;isModal=False</t>
  </si>
  <si>
    <t>OPS-DAD-0104-2023</t>
  </si>
  <si>
    <t>HIGH QUALITY TECHNOLOGY S.A.S.</t>
  </si>
  <si>
    <t>SERVICIO DE RENOVACIÓN POR 12 MESES DE 40 LICENCIAS DEL SOFTWARE HARMONY 16 PREMIUM - ANNUAL TERM LICENSE PARA EL PROGRAMA DE CINE Y AUDIOVISUALES, 5 LICENCIAS DE CRISTAL REPORT PARA DIFERENTES SISTEMAS DE INFORMACIÓN, 4 LICENCIA DE WIRECAST PARA TRANSMISIÓN DE VIDEO EN VIVO PARA COMUNICACIONES Y RENOVACIÓN DEL ASN SISTEMA AUTÓNOMO DE DIRECCIONAMIENTO IP</t>
  </si>
  <si>
    <t>https://community.secop.gov.co/Public/Tendering/ContractNoticePhases/View?PPI=CO1.PPI.25881049&amp;isFromPublicArea=True&amp;isModal=False</t>
  </si>
  <si>
    <t>OPS-DAD-0105-2023</t>
  </si>
  <si>
    <t>AMADEUS IT GROUP COLOMBIA S.A.S.</t>
  </si>
  <si>
    <t>SERVICIO DE RENOVACIÓN PARA EL USO DE LA PLATAFORMA DE ENTRENAMIENTO AMADEUS PARA 100 USUARIOS Y SOPORTE TÉCNICO POR UN AÑO DEL SOFTWARE AMADEUS, REQUERIDAS PARA EL PROGRAMA ACADÉMICO ADMINISTRACIÓN DE EMPRESAS TURÍSTICAS Y HOTELERAS DE LA UNIVERSIDAD DEL MAGDALENA</t>
  </si>
  <si>
    <t>https://community.secop.gov.co/Public/Tendering/ContractNoticePhases/View?PPI=CO1.PPI.25882082&amp;isFromPublicArea=True&amp;isModal=False</t>
  </si>
  <si>
    <t>OPS-DAD-0106-2023</t>
  </si>
  <si>
    <t>LEGIS EDITORES S.A</t>
  </si>
  <si>
    <t>SERVICIO DE RENOVACIÓN POR 12 MESES DE LA SUSCRIPCIÓN A LA BASE DE DATOS MULTILEGIS PARA DAR SOPORTE EN PROCESOS ACADÉMICOS Y DE INVESTIGACIÓN A LOS PROGRAMAS DE DERECHO Y CONTADURÍA PÚBLICA; Y LA RENOVACIÓN DEL SISTEMA DE INTELIGENCIA COMERCIAL PARA LA GESTIÓN Y ANÁLISIS DEL COMERCIO EXTERIOR LEGISCOMEX, PARA DAR SOPORTE EN PROCESOS ACADÉMICOS Y DE INVESTIGACIÓN AL PROGRAMA DE NEGOCIOS INTERNACIONALES Y ADICIONALMENTE A CUALQUIER PROGRAMA DE PREGRADO</t>
  </si>
  <si>
    <t>2023/06/29</t>
  </si>
  <si>
    <t>https://community.secop.gov.co/Public/Tendering/ContractNoticePhases/View?PPI=CO1.PPI.25936915&amp;isFromPublicArea=True&amp;isModal=False</t>
  </si>
  <si>
    <t>OPS-DAD-0107-2023</t>
  </si>
  <si>
    <t>GACAR INGENIERIA Y CONSULTORIA S.A.S</t>
  </si>
  <si>
    <t>SERVICIO PARA LA ATENCIÓN DE EVENTOS DE EMERGENCIA PRESENTADA POR FALLA DE ENERGÍA ELÉCTRICA DE DISTRIBUCCIÓN INTERNA DEL CAMPUS UNIVERSITARIO FRENTE A FALLA DEL SERVICIO DE SUMINISTRO ELÉCTRICO CON RESPALDO DE ATENCIÓN RÁPIDA CON PERSONAL Y EQUIPO ESPECIALIZADO EN LA LABOR</t>
  </si>
  <si>
    <t>2023/07/11</t>
  </si>
  <si>
    <t>LEONARDO RUIZ JIMENEZ</t>
  </si>
  <si>
    <t>https://community.secop.gov.co/Public/Tendering/ContractNoticePhases/View?PPI=CO1.PPI.25953084&amp;isFromPublicArea=True&amp;isModal=False</t>
  </si>
  <si>
    <t>OPS-DAD-0108-2023</t>
  </si>
  <si>
    <t>INDEXA SYSTEMS S.A.S</t>
  </si>
  <si>
    <t>SERVICIO DE RENOVACIÓN SOPORTE Y MANTENIMIENTO DE LA LICENCIA ACADÉMICA DEL SOFTWARE ATLAS TI POR DOCE (12) MESES</t>
  </si>
  <si>
    <t>2023/07/05</t>
  </si>
  <si>
    <t>2023/07/21</t>
  </si>
  <si>
    <t>https://community.secop.gov.co/Public/Tendering/ContractNoticePhases/View?PPI=CO1.PPI.26042341&amp;isFromPublicArea=True&amp;isModal=False</t>
  </si>
  <si>
    <t>OPS-DAD-0109-2023</t>
  </si>
  <si>
    <t>901039840</t>
  </si>
  <si>
    <t>ADVANCED TECHNOLOGIES SOLUTIONS SAS</t>
  </si>
  <si>
    <t>2023/11/11</t>
  </si>
  <si>
    <t>https://community.secop.gov.co/Public/Tendering/ContractNoticePhases/View?PPI=CO1.PPI.26097071&amp;isFromPublicArea=True&amp;isModal=False</t>
  </si>
  <si>
    <t>OPS-DAD-0110-2023</t>
  </si>
  <si>
    <t>900724546</t>
  </si>
  <si>
    <t>INSTAELECTRICA INGENIERIA SAS</t>
  </si>
  <si>
    <t xml:space="preserve">SERVICIO DE MANTENIMIENTO PREVENTIVO, OPTIMIZACIÓN Y MEJORAMIENTO DE TABLEROS ELECTRÓNICO Y ELÉCTRICO DE VOLTAJE VARIABLE DE DC Y AC DE LOS LABORATORIOS DE FÍSICA, UBICADOS EN EL EDIFICIO MODULAR. </t>
  </si>
  <si>
    <t>https://community.secop.gov.co/Public/Tendering/ContractNoticePhases/View?PPI=CO1.PPI.26213144&amp;isFromPublicArea=True&amp;isModal=False</t>
  </si>
  <si>
    <t>OPS-DAD-0111-2023</t>
  </si>
  <si>
    <t>INSTITUTO COLOMBIANO DE NORMAS TECNICAS Y CERTIFICACION ICONTEC</t>
  </si>
  <si>
    <t>SERVICIO DE AUDITORIA COMPLEMETARIA NTC 5581 PARA LOS PROGRAMAS TÉCNICOS LABORALES DEL CENTRO PARA LA REGIONALIZACIÓN DE LA EDUCACIÓN Y LAS OPORTUNIDADES - CREO, Y DE LOS PROGRAMAS DE FORMACIÓN PARA EL TRABAJO.</t>
  </si>
  <si>
    <t>2023/07/18</t>
  </si>
  <si>
    <t>2023/07/22</t>
  </si>
  <si>
    <t>https://community.secop.gov.co/Public/Tendering/ContractNoticePhases/View?PPI=CO1.PPI.26237352&amp;isFromPublicArea=True&amp;isModal=False</t>
  </si>
  <si>
    <t>OPS-DAD-0112-2023</t>
  </si>
  <si>
    <t>860516281</t>
  </si>
  <si>
    <t>DIRIMPEX SAS</t>
  </si>
  <si>
    <t>SERVICIO DE MANTENIMIENTO Y CALIBRACIÓN A CINCO (5) COMPARADORES DE CARÁTULA MARCA ELE, MANTENIMIENTO PREVENTIVO A UNA (1) CAZUELA DE CASAGRANDE ELÉCTRICA DIGITAL, MANTENIMIENTO CORRECTIVO A UN (1) ANILLO DE CARGA, MANTENIMIENTO PREVENTIVO A UN (1) BAÑO MARÍA HAMILTON BEACH, MANTENIMIENTO PREVENTIVO A UNA (1) BOMBA DE VACÍO, MANTENIMIENTO Y CALIBRACIÓN A UN (1) CONSOLIDÓMETRO, MANTENIMIENTO PREVENTIIVO A UN (1) CUARTO DE CURADO, MANTENIMIENTO A UN (1) DUCTILÍMETRO, MANTENIMIETNO PREVENTIVO Y VERIFICACIÓN A UN (1) ESCLERÓMETRO, MANTENIMIENTO CORRECTIVO A UN (1) GIROCOMP, MANTENIMIENTO CORRECTIVO A UN (1) COMPRESOR, MANTENIMIENTO PREVENTIVO A UN (1) EQUIPO RICE, MANTENIMIENTO PREVENTIVO A DOS(2) HORNOS HUMBOLDT, MANTENIMIENTO CORRECTIVO A UN (1) APARATO BLAINE, MANTENIMIENTO PREVENTIVO A UN (1) AGITADOR MAGNÉTICO, MANTENIMIENTO PREVENTIVO A UN (1) COMPACTADOR AUTOMÁTICO, MANTENIMIENTO PREVENTIVO A UNA (1) CORTADORA, MANTENIMIENTO PREVENTIVO A UNA (1) MÁQUINA DE ENSAYOS DE COMPRESIÓN DE CILINDRO Y CALIBRACIÓN Y CALIBRACIÓN TRAZADA A MARCOS DE CARGA, MANTENIMIENTO A UNA (1) MÁQUINA DIGITAL  HM 3000, CALIBRACIÓN A CELDA DE CARGA DE 50 KN, CALIBRACIÓN A LVDT Y CELDA DE CARGA DE 2,5KN, MANTENIMIENTO PREVENTIVO A UNA (1) MESA DE FLUIDEZ, MANTENIMIENTO PREVENTIVO A UNA (1) MEZCLADORA DE ASFALTO, MANTENIMIENTO CORRECTIVO A UN (1) PENETRÓMETRO DE ASFALTO, MANTENIMIENTO Y VERIFICACIÓN A UNA (1) PLACA DE CALENTAMIENTO, CALIBRACIÓN A UN (1) LDVT Y MANTENIMIENTO PREVENTIVO A UNA (1) TAMIZADORA DE ALTA CAPACIDAD QUE PRESTAN SERVICIOS PARA LAS PRÁCTICAS ACADÉMICAS EN EL LABORATORIO INTEGRADO DE INGENIERÍA CIVIL.</t>
  </si>
  <si>
    <t>2023/08/12</t>
  </si>
  <si>
    <t>https://community.secop.gov.co/Public/Tendering/ContractNoticePhases/View?PPI=CO1.PPI.26245237&amp;isFromPublicArea=True&amp;isModal=False</t>
  </si>
  <si>
    <t>OPS-DAD-0113-2023</t>
  </si>
  <si>
    <t>METALMECANICA ELECTRICOS Y CIVILES SAS</t>
  </si>
  <si>
    <t xml:space="preserve">SERVICIO DE MANTENIMIENTO CORRECTIVO PARA 153 M2 DE BARANDAS O PASAMANOS DE LOS PASILLOS EN LOS PISOS DOS, TRES Y CUATRO TORRE SUR FACHADA INTERNA, EN EL TRAMO COMPRENDIDO ENTRE ESCALERAS Y ASCENSOR, DE LAS PLATAFORMAS DE LLEGADA Y DESCANSO QUE UNEN LAS RAMPAS DE CADA PISO, DEL EDIFICIO DE AULAS “MAR CARIBE” DE LA UNIVERSIDAD EL MAGDALENA. </t>
  </si>
  <si>
    <t>2023/08/09</t>
  </si>
  <si>
    <t>HECTOR ALEXANDER VARGAS CARDONA</t>
  </si>
  <si>
    <t>https://community.secop.gov.co/Public/Tendering/ContractNoticePhases/View?PPI=CO1.PPI.26271624&amp;isFromPublicArea=True&amp;isModal=False</t>
  </si>
  <si>
    <t>OPS-DAD-0114-2023</t>
  </si>
  <si>
    <t>901413801</t>
  </si>
  <si>
    <t>SCHALLER DESIGN LAB SAS</t>
  </si>
  <si>
    <t>SERVICIO DE MANTENIMIENTO PREVENTIVO Y/O CORRECTIVO DE LOS SISTEMAS AUDIOVISUALES DE LOS AUDITORIOS Y SALONES TIPO TORREÓN DEL EDIFICIO MAR CARIBE, CIENAGA GRANDE, LABORATORIOS DE GASTRONOMÍA Y ANÁLISIS DE FINANZAS UBICADOS EN EL EDIFICIO MODULAR, SALA DE JUNTAS DE VICERRECTORÍA ADMINISTRATIVA UBICADA EN BLOQUE VIII Y SISTEMAS DE STREAMING UBICADOS EN LA SEDE DEL HOSPITAL JULIO MÉNDEZ BARRENECHE, DIVISIONES MÓVILES AUDITORIOS MAR CARIBE Y MANTENIMIENTO CORRECTIVO DE SALAS ESPECIALIZADAS.</t>
  </si>
  <si>
    <t>2023/07/17</t>
  </si>
  <si>
    <t>2024/01/18</t>
  </si>
  <si>
    <t>https://community.secop.gov.co/Public/Tendering/ContractNoticePhases/View?PPI=CO1.PPI.26282279&amp;isFromPublicArea=True&amp;isModal=False</t>
  </si>
  <si>
    <t>OPS-DAD-0115-2023</t>
  </si>
  <si>
    <t>900192835</t>
  </si>
  <si>
    <t>SERVICIO DE TRADUCCIÓN E INTERPRETACIÓN SIMULTÁNEA Y CONSECUTIVA DE IDIOMAS INGLÉS – ESPAÑOL - INGLÉS EN LAS DIFERENTES ACTIVIDADES, REUNIONES, CONFERENCIAS, PONENCIAS Y CONVERSATORIOS PROGRAMADOS EN EL MARCO DEL XI ENCUENTRO DE GESTIÓN UNIVERSITARIO SUE 2023.</t>
  </si>
  <si>
    <t>PENDIENTE</t>
  </si>
  <si>
    <t>https://community.secop.gov.co/Public/Tendering/ContractNoticePhases/View?PPI=CO1.PPI.26313255&amp;isFromPublicArea=True&amp;isModal=False</t>
  </si>
  <si>
    <t>OPS-DAD-0116-2023</t>
  </si>
  <si>
    <t>860076580</t>
  </si>
  <si>
    <t>SOFTWARE SHOP DE COLOMBIA SAS</t>
  </si>
  <si>
    <t>SERVICIO DE RENOVACIÓN DE LA LICENCIA ACADÉMICA DEL SOFTWARES NVIVO POR 12 MESES PARA EL LABORATORIO INTEGRADO DE PSICOLOGÍA DE LA UNIVERSIDAD DEL MAGDALENA.</t>
  </si>
  <si>
    <t>https://community.secop.gov.co/Public/Tendering/ContractNoticePhases/View?PPI=CO1.PPI.26354524&amp;isFromPublicArea=True&amp;isModal=False</t>
  </si>
  <si>
    <t>OPS-DAD-0117-2023</t>
  </si>
  <si>
    <t>900393949</t>
  </si>
  <si>
    <t>GALILEO INSTRUMENTS SAS</t>
  </si>
  <si>
    <t>SERVICIO DE MANTENIMIENTO PREVENTIVO A SIETE (07) ESTACIONES TOTALES CON LIMPIEZA GENERAL, AJUSTE DE COMPONENTES, MANTENIMIENTO A BASE NIVELANTE Y ENTREGA DE CERTIFICADO, MANTENIMIENTO A DIEZ (10) TEODOLITOS QUE INCLUYE LIMPIEZA GENERAL, AJUSTE DE COMPONENTES, MANTENIMIENTO A BASE NIVELANTE Y ENTREGA DE CERTIFICADO, MANTENIMIENTO A SIETE (07) NIVELES AUTOMÁTICOS QUE INCLUYE LIMPIEZA GENERAL, AJUSTE DE COMPONENTES, MANTENIMIENTO A BASE NIVELANTE Y ENTREGA DE CERTIFICADO.</t>
  </si>
  <si>
    <t>2023/07/25</t>
  </si>
  <si>
    <t>2023/08/13</t>
  </si>
  <si>
    <t>https://community.secop.gov.co/Public/Tendering/ContractNoticePhases/View?PPI=CO1.PPI.26402102&amp;isFromPublicArea=True&amp;isModal=False</t>
  </si>
  <si>
    <t>OPS-DAD-0118-2023</t>
  </si>
  <si>
    <t>EDITORIAL MAGDALENA SA</t>
  </si>
  <si>
    <t>SERVICIO DE PUBLICACIÓN DE INFORMACIÓN INSTITUCIONAL EN MEDIO IMPRESO, DIGITAL Y PLATAFORMA YOUTUBE DEL DIARIO EL INFORMADOR, EN EL MARCO DE LA CONMEMORACIÓN DEL ANIVERSARIO NÚMERO 498 DE LA CIUDAD DE SANTA MARTA Y CONMEMORACION DE LOS 65 AÑOS DE FUNDACIÓN DE EL INFORMADOR.</t>
  </si>
  <si>
    <t>2023/08/08</t>
  </si>
  <si>
    <t>https://community.secop.gov.co/Public/Tendering/ContractNoticePhases/View?PPI=CO1.PPI.26415141&amp;isFromPublicArea=True&amp;isModal=False</t>
  </si>
  <si>
    <t>OPS-DAD-0119-2023</t>
  </si>
  <si>
    <t>SERVICIO DE PUBLICACIÓN DE INFORMACIÓN INSTITUCIONAL EN MEDIO IMPRESO EN EL PERIÓDICO HOY DIARIO DEL MAGDALENA Y PORTAL WEB WWW.HOYDIARIODELMAGDALENA.COM.CO, EN EL MARCO DE LA CONMEMORACIÓN DEL ANIVERSARIO NÚMERO 498 DE LA CIUDAD DE SANTA MARTA Y LOS 30 AÑOS DE CREACIÓN DEL PERIÓDICO HOY DIARIO DEL MAGDALENA.</t>
  </si>
  <si>
    <t>2023/07/26</t>
  </si>
  <si>
    <t>2023/07/29</t>
  </si>
  <si>
    <t>https://community.secop.gov.co/Public/Tendering/ContractNoticePhases/View?PPI=CO1.PPI.26416116&amp;isFromPublicArea=True&amp;isModal=False</t>
  </si>
  <si>
    <t>OPS-DAD-0120-2023</t>
  </si>
  <si>
    <t>900243200</t>
  </si>
  <si>
    <t>E-LIBRO LTDA</t>
  </si>
  <si>
    <t>SERVICIO DE RENOVACIÓN DE LA SUSCRIPCIÓN A LA BASE DE DATOS E-LIBRO CÁTEDRA Y BIBLIOTECA DIGITAL ECOE QUE REQUIERE LA BIBLIOTECA GERMÁN BULA MEYER PARA DAR SOPORTE A TODOS LOS PROGRAMAS DE LA OFERTA ACADÉMICA INSTITUCIONAL EN LOS NIVELES DE FORMACIÓN DE PREGRADO Y POSTGRADOS.</t>
  </si>
  <si>
    <t>https://community.secop.gov.co/Public/Tendering/ContractNoticePhases/View?PPI=CO1.PPI.26416194&amp;isFromPublicArea=True&amp;isModal=False</t>
  </si>
  <si>
    <t>OPS-DAD-0121-2023</t>
  </si>
  <si>
    <t>IMPORTECNICAL S.A.S.</t>
  </si>
  <si>
    <t>SERVICIO DE MANTENIMIENTO PREVENTIVO DE MAQUINA UNIVERSAL DE ENSAYOS MARCA SHIMADZU UH1000KNX QUE PRESTA SERVICIOS PARA LAS PRACTICAS ACADEMICAS EN EL LABORATORIO INTEGRADO DE INGENIERIA CIVIL</t>
  </si>
  <si>
    <t>2023/09/28</t>
  </si>
  <si>
    <t>https://community.secop.gov.co/Public/Tendering/ContractNoticePhases/View?PPI=CO1.PPI.26416442&amp;isFromPublicArea=True&amp;isModal=False</t>
  </si>
  <si>
    <t>OPS-DAD-0122-2023</t>
  </si>
  <si>
    <t>SERVICIO DE ALQUILER DE ELEMENTOS LOGISTICOS PARA EVENTOS COMO SILLAS PLASTICAS, SILLAS VESTIDAS, MESAS PLASTICAS, MANTELCORTO, MESON VESTIDO CARPAS 4X4 Y 5X5, TARIMAS, AMPLIFICACIONES PEQUEÑAS, MEDIANAS Y GRANDES,SALAS LONG, BAÑOS PORTATILES Y DEMAS ELEMENTOS QUE SE REQUIERAN PARA LA REALIZACION DE EVENTOS ACADEMICOADMINISTRATIVO DE LA UNIVERSIDAD DEL MAGDALENA</t>
  </si>
  <si>
    <t>https://community.secop.gov.co/Public/Tendering/ContractNoticePhases/View?PPI=CO1.PPI.26492712&amp;isFromPublicArea=True&amp;isModal=False</t>
  </si>
  <si>
    <t>OPS-DAD-0123-2023</t>
  </si>
  <si>
    <t>KAREN ZULUAGA</t>
  </si>
  <si>
    <t>SERVICIO DE ALQUILER DE VESTUARIOS PARA EL DESARROLLO DE LAS ACTIVIDADES REALIZADAS POR LAS AREAS DE CULTURA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</si>
  <si>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https://community.secop.gov.co/Public/Tendering/ContractNoticePhases/View?PPI=CO1.PPI.26504282&amp;isFromPublicArea=True&amp;isModal=False</t>
  </si>
  <si>
    <t>ODC-DAD-0002-2023</t>
  </si>
  <si>
    <t>FRANCISCO ALEJANDRO GAVIRIA QUINTERO</t>
  </si>
  <si>
    <t>COMPRA DE 150 SILLAS UNIVERSITARIAS TIPO PUPITRE CON BRAZO Y 165 SILLAS SEMI ACOLCHADAS TIPO INTERLOCUTORAS PARA LA REPOSICIÓN DE MOBILIARIO EN SALONES DE CLASES Y SALAS INFORMÁTICAS DE LA UNIVERSIDAD</t>
  </si>
  <si>
    <t>https://community.secop.gov.co/Public/Tendering/ContractNoticePhases/View?PPI=CO1.PPI.23117396&amp;isFromPublicArea=True&amp;isModal=False</t>
  </si>
  <si>
    <t>ODC-DAD-0003-2023</t>
  </si>
  <si>
    <t>LUIS DIAZ ACEVEDO</t>
  </si>
  <si>
    <t>COMPRA DE (4.500) PINES PARA ENTREGAR EN LAS CEREMONIAS DE GRADUACIÓN A LOS EGRESADOS DE LA UNIVERSIDAD DEL MAGDALENA</t>
  </si>
  <si>
    <t>2023/03/28</t>
  </si>
  <si>
    <t>https://community.secop.gov.co/Public/Tendering/ContractNoticePhases/View?PPI=CO1.PPI.23308294&amp;isFromPublicArea=True&amp;isModal=False</t>
  </si>
  <si>
    <t>ODC-DAD-0004-2023</t>
  </si>
  <si>
    <t>COMPRA DE TRECE 13 TABLEROS PARA LA REPOSICION Y DOTACION DE ESPACIOS ACADEMICOS DE LA UNIVERSIDAD DEL MAGDALENA</t>
  </si>
  <si>
    <t>2023/02/21</t>
  </si>
  <si>
    <t>https://community.secop.gov.co/Public/Tendering/ContractNoticePhases/View?PPI=CO1.PPI.23429520&amp;isFromPublicArea=True&amp;isModal=False</t>
  </si>
  <si>
    <t>ODC-DAD-0005-2023</t>
  </si>
  <si>
    <t>COMPRA DE 5000 HOJAS DE REFERENCIA NACARADO FINO ELEGANTE PARA IMPRESION DE ACTAS DE GRADOS PARA LA UNIVERSIDAD DEL MAGDALENA</t>
  </si>
  <si>
    <t>https://community.secop.gov.co/Public/Tendering/ContractNoticePhases/View?PPI=CO1.PPI.23475365&amp;isFromPublicArea=True&amp;isModal=False</t>
  </si>
  <si>
    <t>ODC-DAD-0006-2023</t>
  </si>
  <si>
    <t>EDITORIAL EL MANUAL MODERNO COLOMBIA S.A.S.</t>
  </si>
  <si>
    <t>COMPRA DE MATERIAL DE EVALUACION PSICOLOGICA REQUERIDOS Y UTILIZADOS POR ESTUDIANTES Y DOCENTES DEL PROGRAMA DE PSICOLOGIA DE LA UNIVERSIDAD DEL MAGDALENA PARA GARANTIZAR LAS PRACTICAS ACADEMICAS EN EL PRIMER SEMESTRE DE 2023</t>
  </si>
  <si>
    <t>https://community.secop.gov.co/Public/Tendering/ContractNoticePhases/View?PPI=CO1.PPI.23541002&amp;isFromPublicArea=True&amp;isModal=False</t>
  </si>
  <si>
    <t>ODC-DAD-0007-2023</t>
  </si>
  <si>
    <t>PSICOLOGOS ESPECIALISTAS ASOCIADOS S.A.S.</t>
  </si>
  <si>
    <t>COMPRA DE MATERIAL DE EVALUACION QUE SON REQUERIDOS Y UTILIZADOS POR ESTUDIANTES Y DOCENTES DEL PROGRAMA DE PSICOLOGIA DE LA UNIVERSIDAD DEL MAGDALENA PARA GARANTIZAR LAS PRACTICAS ACADEMICAS EN EL PRIMER SEMESTRE DE 2023</t>
  </si>
  <si>
    <t>2023/02/28</t>
  </si>
  <si>
    <t>2023/04/14</t>
  </si>
  <si>
    <t>https://community.secop.gov.co/Public/Tendering/ContractNoticePhases/View?PPI=CO1.PPI.23553474&amp;isFromPublicArea=True&amp;isModal=False</t>
  </si>
  <si>
    <t>ODC-DAD-0008-2023</t>
  </si>
  <si>
    <t>1083028924</t>
  </si>
  <si>
    <t>ATI GUNNAWI VIVIAM MISSLIN VILLAFAÑA IZQUIERDO</t>
  </si>
  <si>
    <t>COMPRA DE TREINTA (30) MOCHILAS ARHUACAS GRANDES, TEJIDAS A MANO, PARA LA ENTREGA DE SOUVENIRS EN LA REALIZACIÓN DE REUNIONES, EVENTOS Y DEMÁS ASISTENCIAS EN QUE LA INSTITUCIÓN PARTICIPE COMO ORGANIZADORA.</t>
  </si>
  <si>
    <t>GLENDA BEATRIZ ACOSTA MOLINA</t>
  </si>
  <si>
    <t>https://community.secop.gov.co/Public/Tendering/ContractNoticePhases/View?PPI=CO1.PPI.23654669&amp;isFromPublicArea=True&amp;isModal=False</t>
  </si>
  <si>
    <t>ODC-DAD-0009-2023</t>
  </si>
  <si>
    <t>900121223</t>
  </si>
  <si>
    <t>T&amp;B SYSTEM S.A.S.</t>
  </si>
  <si>
    <t>COMPRA DE DISPOSITIVOS PARA EL SERVIDOR CISCO UCS 3205 DE LA INFRAESTRUCTURA TECNOLOGICA INSTITUCIONAL DE UNIMAGDALENA.</t>
  </si>
  <si>
    <t>https://community.secop.gov.co/Public/Tendering/ContractNoticePhases/View?PPI=CO1.PPI.23719464&amp;isFromPublicArea=True&amp;isModal=False</t>
  </si>
  <si>
    <t>ODC-DAD-0010-2023</t>
  </si>
  <si>
    <t>1005369102</t>
  </si>
  <si>
    <t>JHOAN BANNER DUARTE BARRIOS</t>
  </si>
  <si>
    <t>COMPRA DE BATAS EN GABARDINA Y ANTIFLUIDO, UNIFORME DE BRIGADA DE EMERGENCIA Y UNIFORME ANTIFLUIDOS EN TELA LAFAYETTE, PARA EL PERSONAL DE LOS DISTINTOS LABORATORIOS Y CLÍNICA ODONTOLÓGICA DE LA UNIVERSIDAD DEL MAGDALENA.</t>
  </si>
  <si>
    <t>https://community.secop.gov.co/Public/Tendering/ContractNoticePhases/View?PPI=CO1.PPI.23721184&amp;isFromPublicArea=True&amp;isModal=False</t>
  </si>
  <si>
    <t>ODC-DAD-0011-2023</t>
  </si>
  <si>
    <t>1082881164</t>
  </si>
  <si>
    <t>COMPRA DE (2.000) CARPETAS PARA LA DOTACIÓN Y CONSERVACIÓN DE LAS HISTORIAS CLÍNICAS DE LA CLÍNIA ODONTOLÓGICA DE LA UNIVERSIDAD DEL MAGDALENA.</t>
  </si>
  <si>
    <t>https://community.secop.gov.co/Public/Tendering/ContractNoticePhases/View?PPI=CO1.PPI.23830750&amp;isFromPublicArea=True&amp;isModal=False</t>
  </si>
  <si>
    <t>ODC-DAD-0012-2023</t>
  </si>
  <si>
    <t>900763287</t>
  </si>
  <si>
    <t>LAHERAL S.A.S BIC</t>
  </si>
  <si>
    <t xml:space="preserve">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 </t>
  </si>
  <si>
    <t>MAURICIO ARRIETA FONTANILLA</t>
  </si>
  <si>
    <t>https://community.secop.gov.co/Public/Tendering/ContractNoticePhases/View?PPI=CO1.PPI.23978060&amp;isFromPublicArea=True&amp;isModal=False</t>
  </si>
  <si>
    <t>ODC-DAD-0013-2023</t>
  </si>
  <si>
    <t>7629009</t>
  </si>
  <si>
    <t>JORGE ELIECER DEWDNEY PRADO</t>
  </si>
  <si>
    <t xml:space="preserve">COMPRA DE INSUMOS PARA LA REALIZACIÓN DE PRÁCTICAS ACADÉMICAS DE LABORATORIO CORRESPONDIENTE A LAS ASIGANTURAS DEL PROGRAMA DE INGENIERÍA PESQUERA. </t>
  </si>
  <si>
    <t>JOAQUIN ALBERTO POMARES BLAISE</t>
  </si>
  <si>
    <t>https://community.secop.gov.co/Public/Tendering/ContractNoticePhases/View?PPI=CO1.PPI.23941122&amp;isFromPublicArea=True&amp;isModal=False</t>
  </si>
  <si>
    <t>ODC-DAD-0014-2023</t>
  </si>
  <si>
    <t>800109197</t>
  </si>
  <si>
    <t>PAPEL MUEBLE LTDA.</t>
  </si>
  <si>
    <t xml:space="preserve">COMPRA DE CUATRO (4) SILLAS ERGONÓMICAS PARA LA RECTORÍA DE LA UNIVERSIDAD DEL MAGDALENA. </t>
  </si>
  <si>
    <t>https://community.secop.gov.co/Public/Tendering/ContractNoticePhases/View?PPI=CO1.PPI.23980526&amp;isFromPublicArea=True&amp;isModal=False</t>
  </si>
  <si>
    <t>ODC-DAD-0015-2023</t>
  </si>
  <si>
    <t>900967434</t>
  </si>
  <si>
    <t>INTEGRA SOLUCIONES ESTRATEGICAS S.A.S. BIC</t>
  </si>
  <si>
    <t xml:space="preserve">COMPRA DE 3 TELEVISORES SMART TV DE 65 PULGADAS, CON SUS SOPORTES PARA LAS ÁREAS DEL DOCTORADO DE CIENCIAS DE LA EDUCACIÓN, OFICINA DE ASEGURAMIENTO DE LA CALIDAD Y DIRECCIÓN ADMINISTRATIVA. </t>
  </si>
  <si>
    <t>https://community.secop.gov.co/Public/Tendering/ContractNoticePhases/View?PPI=CO1.PPI.23986878&amp;isFromPublicArea=True&amp;isModal=False</t>
  </si>
  <si>
    <t>ODC-DAD-0016-2023</t>
  </si>
  <si>
    <t>901550798</t>
  </si>
  <si>
    <t>GP TECHNOLOGICAL ASSISTANCE S.A.S.</t>
  </si>
  <si>
    <t>COMPRA DE ELEMENTOS Y SUMINISTROS AUDIOVISUALES (CABLES, CONECTORES, PLACAS, BATERIAS ENTRE OTROS)  NECESARIOS PARA EL GARANTIZAR EL NORMAL FUNCIONAMIENTO DE LOS EQUIPOS AUDIOVISUALES DE LA UNIVERSIDAD DE MAGDALENA.</t>
  </si>
  <si>
    <t>https://community.secop.gov.co/Public/Tendering/ContractNoticePhases/View?PPI=CO1.PPI.24052032&amp;isFromPublicArea=True&amp;isModal=False</t>
  </si>
  <si>
    <t>ODC-DAD-0017-2023</t>
  </si>
  <si>
    <t>890101806</t>
  </si>
  <si>
    <t>HIJOS DE ENRIQUE ROCA S.A.S.</t>
  </si>
  <si>
    <t>COMPRA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t>
  </si>
  <si>
    <t>https://community.secop.gov.co/Public/Tendering/ContractNoticePhases/View?PPI=CO1.PPI.24058185&amp;isFromPublicArea=True&amp;isModal=False</t>
  </si>
  <si>
    <t>ODC-DAD-0018-2023</t>
  </si>
  <si>
    <t xml:space="preserve">COMPRA E INSTALACIÓN DE DOS (2) SISTEMAS DE OSMOSIS INVERSA PARA MEJORAR LA CALIDAD DEL AGUA EN LA CLÍNICA ODONTOLÓGICA DE LA UNIVERSIDAD DEL MAGDALENA. </t>
  </si>
  <si>
    <t>https://community.secop.gov.co/Public/Tendering/ContractNoticePhases/View?PPI=CO1.PPI.24104666&amp;isFromPublicArea=True&amp;isModal=False</t>
  </si>
  <si>
    <t>ODC-DAD-0019-2023</t>
  </si>
  <si>
    <t>900832249</t>
  </si>
  <si>
    <t>PRINTEC E&amp;J S.A.S</t>
  </si>
  <si>
    <t>COMPRA DE UNA (01) CÁMARA FOTOGRÁFICA, CON SUS RESPECTIVOS ACCESORIOS.</t>
  </si>
  <si>
    <t>https://community.secop.gov.co/Public/Tendering/ContractNoticePhases/View?PPI=CO1.PPI.24198949&amp;isFromPublicArea=True&amp;isModal=False</t>
  </si>
  <si>
    <t>ODC-DAD-0020-2023</t>
  </si>
  <si>
    <t>1082860393</t>
  </si>
  <si>
    <t>COMPRA E INSTALACIÓN DEL MOBILIARIO DE LABORATORIO PARA LA FASE II, DEL CENTRO DE INNOVACIÓN Y TRANSFERENCIA EN SALUD DE LA UNIVERSIDAD DEL MAGDALENA, UBICADO EN EL PISO SEXTO DEL HOSPITAL UNIVERSITARIO JULIO MENDEZ BARRENECHE.</t>
  </si>
  <si>
    <t>https://community.secop.gov.co/Public/Tendering/ContractNoticePhases/View?PPI=CO1.PPI.24202579&amp;isFromPublicArea=True&amp;isModal=False</t>
  </si>
  <si>
    <t>ODC-DAD-0021-2023</t>
  </si>
  <si>
    <t xml:space="preserve">COMPRA DE CUARENTA Y SEIS (46) VIDEO PROYECTORES EPSON POWERLITE E20/ TECNOLOGÍA: 3LCD DE 3 CHIPS/(3.400 LUMENS EN BLANCO Y COLOR) - RESOLUCIÓN XGA 1024*768 PIXELES, PARA EL FORTALECIMIENTO DE RECURSOS EDUCATIVOS TECNOLÓGICOS PARA LA GESTIÓN ACADÉMICA DE LOS CENTROS TUTORIALES DEL CENTRO PARA LA REGIONALIZACIÓN DE LA EDUCACIÓN Y LAS OPORTUNIDADES – CREO. LA PROPUESTA HACE PARTE INTEGRAL DE LA PRESENTE ORDEN. </t>
  </si>
  <si>
    <t>https://community.secop.gov.co/Public/Tendering/ContractNoticePhases/View?PPI=CO1.PPI.24314796&amp;isFromPublicArea=True&amp;isModal=False</t>
  </si>
  <si>
    <t>ODC-DAD-0022-2023</t>
  </si>
  <si>
    <t>900228350</t>
  </si>
  <si>
    <t xml:space="preserve">COMUNICACIONES CIRT LTDA </t>
  </si>
  <si>
    <t>COMPRA E INSTALACIÓN DE LOS PANELES ACÚSTICOS DE ALTA DENSIDAD PARA LA INSONORIZACIÓN DEL ESTUDIO PRINCIPAL DE LA EMISORA CULTURAL UNIMAGDALENA RADIO.</t>
  </si>
  <si>
    <t>https://community.secop.gov.co/Public/Tendering/ContractNoticePhases/View?PPI=CO1.PPI.24330009&amp;isFromPublicArea=True&amp;isModal=False</t>
  </si>
  <si>
    <t>ODC-DAD-0023-2023</t>
  </si>
  <si>
    <t>26941274</t>
  </si>
  <si>
    <t>BLANCA CLEMENCIA GAVIRIA CADENA</t>
  </si>
  <si>
    <t>COMPRA DE CUATRO (04) VENTILADORES INDUSTRIALES DE PEDESTAL PARA EL SALÓN DE TAEKWONDO DE LA ASIGNATURA ARTES CORPORALES Y PERFORMÁTICAS, CUERPO Y TÉCNICAS DEL MOVIMIENTO DEL PROGRAMA LICENCIATURA EN ARTES. LA PROPUESTA HACE PARTE INTEGRAL DE LA PRESENTE ORDEN.</t>
  </si>
  <si>
    <t>https://community.secop.gov.co/Public/Tendering/ContractNoticePhases/View?PPI=CO1.PPI.24394838&amp;isFromPublicArea=True&amp;isModal=False</t>
  </si>
  <si>
    <t>ODC-DAD-0024-2023</t>
  </si>
  <si>
    <t>85467518</t>
  </si>
  <si>
    <t xml:space="preserve">EDWIN ENRIQUE NIETO </t>
  </si>
  <si>
    <t>COMPRA DE CORTINAS SHEER ELEGANCE PARA LA ADECUACIÓN DE LA VICERRECTORÍA ADMINISTRATIVA Y VICERRECTORÍA DE EXTENSIÓN Y PROYECCIÓN SOCIAL. LA PROPUESTA HACE PARTE INTEGRAL DE LA PRESENTE ORDEN.</t>
  </si>
  <si>
    <t>https://community.secop.gov.co/Public/Tendering/ContractNoticePhases/View?PPI=CO1.PPI.24417007&amp;isFromPublicArea=True&amp;isModal=False</t>
  </si>
  <si>
    <t>ODC-DAD-0025-2023</t>
  </si>
  <si>
    <t>800014574</t>
  </si>
  <si>
    <t xml:space="preserve">DUCON S.A.S. </t>
  </si>
  <si>
    <t>COMPRA E INSTALACIÓN DEL MOBILIARIO DE OFICINA PARA LA FASE II DEL CENTRO DE INNOVACIÓN Y TRANSFERENCIA EN SALUD DE LA UNIVERSIDAD DEL MAGDALENA, UBICADO EN EL PISO SEXTO DEL HOSPITAL UNIVERSITARIO JULIO MENDEZ BARRENECHE. LA PROPUESTA HACE PARTE INTEGRAL DE LA PRESENTE ORDEN.</t>
  </si>
  <si>
    <t>https://community.secop.gov.co/Public/Tendering/ContractNoticePhases/View?PPI=CO1.PPI.24523651&amp;isFromPublicArea=True&amp;isModal=False</t>
  </si>
  <si>
    <t>ODC-DAD-0026-2023</t>
  </si>
  <si>
    <t>900200085</t>
  </si>
  <si>
    <t>SERVICIO DE INGENIERIA GLOBAL S.A.S. “SINGLOBAL”</t>
  </si>
  <si>
    <t>COMPRA E INSTALACIÓN DE (11) EQUIPOS DE AIRES ACONDICIONADOS PARA DISTINTAS ÁREAS ADMINISTRATIVAS Y ACADÉMICAS DE LA UNIVERSIDAD DEL MAGDALENA, DISCRIMINADOS DE LA SIGUIENTE MANERA: DOS (2) EQUIPOS TIPO MINI SPLIT DE 2TR PARA EL GRUPO DE COMPRAS Y BIENES Y LABORATORIO NO 4 DEL INTROPIC; UN (1) EQUIPO TIPO PISO TECHO DE 5TR PARA EL SALÓN 211 BLOQUE
VIII; CUATRO (4) EQUIPOS TIPO CASSETTE DE 3TR PARA EL CUBÍCULO NO 1, SALA DE ATENCIÓN NO 7 Y SALA 3E - EDIFICIO DOCENTE; DOS (2) EQUIPOS TIPO CASSETTE DE 1TR PARA CUBÍCULO NO 2 Y SALA DE ATENCIÓN NO 8 - EDIFICIO DOCENTE; UN (1) EQUIPO TIPO MINI SPLIT DE 3TR PARA LA OFICINA DE DIRECCION - CLAUSTRO SAN JUAN NEPOMUCENO; UNA (1) CONDENSADORA VRF PARA LOS SALONES DEL 301 AL 307 DEL EDIFICIO MAR CARIBE SUR DE LA UNIVERSIDAD DE MAGDALENA. LA PROPUESTA HACE PARTE INTEGRAL DE LA PRESENTE ORDEN.</t>
  </si>
  <si>
    <t>ODC-DAD-0027-2023</t>
  </si>
  <si>
    <t>901051111</t>
  </si>
  <si>
    <t>SOLUCIONES CORPORATIVAS DE LA COSTA S.A.S.</t>
  </si>
  <si>
    <t>COMPRA DE ELEMENTOS NECESARIOS PARA EL NORMAL FUNCIONAMIENTO DE LOS EQUIPOS AUDIOVISUALES PERTENECIENTES A LOS LABORATORIOS DE PROGRAMA DE CINE Y AUDIOVISUALES PARA PRÁCTICAS ACADÉMICAS INTERNAS Y EXTERNAS DURANTE EL PERIODO 2023</t>
  </si>
  <si>
    <t>https://community.secop.gov.co/Public/Tendering/ContractNoticePhases/View?PPI=CO1.PPI.24732016&amp;isFromPublicArea=True&amp;isModal=False</t>
  </si>
  <si>
    <t>ODC-DAD-0028-2023</t>
  </si>
  <si>
    <t>805004671</t>
  </si>
  <si>
    <t>PLUSS DENT LTDA</t>
  </si>
  <si>
    <t>COMPRA DE REPUESTOS PARA 27 UNIDADES ODONTOLÓGICAS MARCA KAVO UBICADAS EN LA CLÍNICA ODONTOLÓGICA QUE SON UTILIZADAS POR LOS ESTUDIANTES DEL PROGRAMA DE ODONTOLOGÍA PARA LAS PRÁCTICAS ACADÉMICAS DURANTE EL SEMESTRE, LAS CUALES SON SUSCEPTIBLES AL DETERIORO Y DESAJUSTES POR EL USO CONSTANTE</t>
  </si>
  <si>
    <t>https://community.secop.gov.co/Public/Tendering/ContractNoticePhases/View?PPI=CO1.PPI.24734166&amp;isFromPublicArea=True&amp;isModal=False</t>
  </si>
  <si>
    <t>ODC-DAD-0029-2023</t>
  </si>
  <si>
    <t>SCHALLER DESIGN LAB</t>
  </si>
  <si>
    <t>COMPRA E INSTALACIÓN DE EQUIPOS AUDIOVISUALES Y DEMÁS ELEMENTOS REQUERIDOS PARA LA ADECUACIÓN DE LA SALA DE JUNTAS DE LA VICERRECTORÍA DE EXTENSIÓN Y PROYECCIÓN SOCIAL COMO PARTE DEL FORTALECIMIENTO DE LA GESTIÓN ADMINISTRATIVA SOPORTE TECNOLÓGICO Y EL CAMPUS UNIVERSITARIO</t>
  </si>
  <si>
    <t>https://community.secop.gov.co/Public/Tendering/ContractNoticePhases/View?PPI=CO1.PPI.24852219&amp;isFromPublicArea=True&amp;isModal=False</t>
  </si>
  <si>
    <t>ODC-DAD-0030-2023</t>
  </si>
  <si>
    <t>ADVANCED TECHNOLOGIES SOLUTIONS S.A.S</t>
  </si>
  <si>
    <t>COMPRA DE COMPUTADORES Y ELEMENTOS PARA UNIDADES ACADÉMICAS Y ADMINISTRATIVAS DE LA UNIVERSIDAD DEL MAGDALENA</t>
  </si>
  <si>
    <t>https://community.secop.gov.co/Public/Tendering/ContractNoticePhases/View?PPI=CO1.PPI.24855012&amp;isFromPublicArea=True&amp;isModal=False</t>
  </si>
  <si>
    <t>ODC-DAD-0031-2023</t>
  </si>
  <si>
    <t>COPYS STUDENT S.A.S</t>
  </si>
  <si>
    <t>COMPRA DE PIMPINAS Y BOLSAS PLÁSTICAS PARA EL MANEJO ADECUADO DE RESIDUOS Y DESECHOS GENERADOS EN LA UNIVERSIDAD DEL MAGDALENA</t>
  </si>
  <si>
    <t>https://community.secop.gov.co/Public/Tendering/ContractNoticePhases/View?PPI=CO1.PPI.25193165&amp;isFromPublicArea=True&amp;isModal=False</t>
  </si>
  <si>
    <t>ODC-DAD-0032-2023</t>
  </si>
  <si>
    <t>900006621</t>
  </si>
  <si>
    <t>ANTS PARTES TECNOLOGIA Y SISTEMAS S.A.S</t>
  </si>
  <si>
    <t>COMPRA DE TRES (3) SCANNER MARCA EPSON DS530 II, PARA LAS OFICINAS DE TESORERIA, CARTERA Y GRUPO DE COMPRAS</t>
  </si>
  <si>
    <t>https://community.secop.gov.co/Public/Tendering/ContractNoticePhases/View?PPI=CO1.PPI.25290780&amp;isFromPublicArea=True&amp;isModal=False</t>
  </si>
  <si>
    <t>ODC-DAD-0033-2023</t>
  </si>
  <si>
    <t>830089928</t>
  </si>
  <si>
    <t>SAG SERVICIOS DE INGENIERIA S.A.S.</t>
  </si>
  <si>
    <t>COMPRA DE UN (01) ROLLO DE TAG`S RFID *2000 UNIDADES - CON FRECUENCIA DE 13.56 MHZ, DE TAMAÑO 50.0 X 50.0 MM, 1.97X1.97 PULGADAS CON MEMORIA ENTRE 0.5K-2.5K BIT, UN (01) PAD ANTENARFID (ESTACIÓN DE TRABAJO RFID EN PUNTO DE CIRCULACIÓN Y PRÉSTAMO, ENCARGADA DE LA PROGRAMACIÓN DE TAGS). INCLUYE EL MANTENIMIENTO PREVENTIVO Y/O CORRECTIVO DE: DOS (02) MÁQUINAS DE AUTOPRÉSTAMO SELFFCHECK 1000 HIBRIDO, UN (01) SISTEMA DE SEGURIDAD TATTLE TAPE GATE DM BIBLIOTHECA+3M DE TRES (03) CORREDORES</t>
  </si>
  <si>
    <t>https://community.secop.gov.co/Public/Tendering/ContractNoticePhases/View?PPI=CO1.PPI.25415033&amp;isFromPublicArea=True&amp;isModal=False</t>
  </si>
  <si>
    <t>ODC-DAD-0034-2023</t>
  </si>
  <si>
    <t>COMPRA DE DOS (02) PARLANTES DE AUDIO DE 1600W Y UN MICRÓFONO INALÁMBRICO PARA APOYAR LAS ACTIVIDADES ACADÉMICAS QUE SE REALIZAN EN LOS ESPACIOS ABIERTOS DEL CAMPUS UNIVERSITARIO</t>
  </si>
  <si>
    <t>https://community.secop.gov.co/Public/Tendering/ContractNoticePhases/View?PPI=CO1.PPI.25417452&amp;isFromPublicArea=True&amp;isModal=False</t>
  </si>
  <si>
    <t>ODC-DAD-0035-2023</t>
  </si>
  <si>
    <t>12557025</t>
  </si>
  <si>
    <t>JAIME ALFONSO LARGE MACHI</t>
  </si>
  <si>
    <t>COMPRA DE DOSCIENTAS (200) CARPETAS DE LUJO ABULLONADAS EN CUERINA GRUESA CON ESCUDO REPUJADO ESTILO MARROQUINERO COLOR AZUL OSCURO, COCIDAS EN LOS BORDES, TAMAÑO OFICIO QUE SERÁN ENTREGADAS EN EVENTOS CONMEMORATIVOS INSTITUCIONALES.</t>
  </si>
  <si>
    <t>https://community.secop.gov.co/Public/Tendering/ContractNoticePhases/View?PPI=CO1.PPI.25502486&amp;isFromPublicArea=True&amp;isModal=False</t>
  </si>
  <si>
    <t>ODC-DAD-0036-2023</t>
  </si>
  <si>
    <t>830037946</t>
  </si>
  <si>
    <t>PANAMERICANA LIBRERIA Y PAPELERIA S.A.</t>
  </si>
  <si>
    <t xml:space="preserve">COMPRA DE SETECIENTAS (700) TARJETAS DE REGALO REDIMIBLES EN COMPRA DE MATERIAL DIDÁCTICO, PEDAGÓGICO Y/O DE APOYO A LA ACTIVIDAD DEL DOCENTE. </t>
  </si>
  <si>
    <t>LEYNIN ESTHER CAAMAÑO ROCHA</t>
  </si>
  <si>
    <t>https://community.secop.gov.co/Public/Tendering/ContractNoticePhases/View?PPI=CO1.PPI.25503743&amp;isFromPublicArea=True&amp;isModal=False</t>
  </si>
  <si>
    <t>ODC-DAD-0037-2023</t>
  </si>
  <si>
    <t>860508382</t>
  </si>
  <si>
    <t>ESTIBOL S.A.S.</t>
  </si>
  <si>
    <t>COMPRA DE CIENTO VEINTE (120) TERMOS (BOTELLA CANTEEN BL 9OZ) FABRICADOS EN ACERO INOXIDABLE Y BASE DE SILICONA ANTIDESLIZANTE, MARCADOS CON LOGO INSTITUCIONAL, PARA ENTREGAR COMO SOUVENIR EN EL EVENTO PRESENTACIÓN DE RESULTADOS DE ACREDITACIÓN INTERNACIONAL DE UNIMAGDALENA.</t>
  </si>
  <si>
    <t>https://community.secop.gov.co/Public/Tendering/ContractNoticePhases/View?PPI=CO1.PPI.25608465&amp;isFromPublicArea=True&amp;isModal=False</t>
  </si>
  <si>
    <t>ODC-DAD-0038-2023</t>
  </si>
  <si>
    <t>830061421</t>
  </si>
  <si>
    <t>LABORATORIO DE GENETICA Y BIOLOGIA MOLECULAR LTDA.</t>
  </si>
  <si>
    <t>COMPRA DE CARTILLAS ACADÉMICAS Y KIT DE CITOGENÉTICA, PARA LA REALIZACIÓN DE PÁCTICAS ACADÉMICAS DE GENÉTICA DE LOS ESTUDIANTES DE MEDICINA Y ODONTOLOGÍA.</t>
  </si>
  <si>
    <t>https://community.secop.gov.co/Public/Tendering/ContractNoticePhases/View?PPI=CO1.PPI.25663723&amp;isFromPublicArea=True&amp;isModal=False</t>
  </si>
  <si>
    <t>ODC-DAD-0039-2023</t>
  </si>
  <si>
    <t>901165094</t>
  </si>
  <si>
    <t>ESPUMADO Y TELAS DEL CARIBE S.A.S.</t>
  </si>
  <si>
    <t>COMPRA E INSTALACIÓN DEL MOBILIARIO DE OFICINA PARA LAS ÁREAS QUE CONFORMAN LA COORDINACIÓN DE LA CLÍNICA ODONTOLÓGICA DE LA UNIVERSIDAD DEL MAGDALENA.</t>
  </si>
  <si>
    <t>https://community.secop.gov.co/Public/Tendering/ContractNoticePhases/View?PPI=CO1.PPI.25762896&amp;isFromPublicArea=True&amp;isModal=False</t>
  </si>
  <si>
    <t>ODC-DAD-0040-2023</t>
  </si>
  <si>
    <t>DENTAL UNITS S.A.S</t>
  </si>
  <si>
    <t>COMPRA DE INSUMOS, ACCESORIOS, REPUESTOS Y SERVICIO DE MANTENIMIENTO PREVENTIVO Y/O CORRECTIVO NECESARIOS PARA EL CORRECTO FUNCIONAMIENTO DE LAS UNIDADES ODONTOLOGICAS DE LA CLINICA DE LA UNIVERSIDAD DEL MAGDALENA DE CONFORMIDAD CON LAS ESPECIFICACIONES DEL SERVICIO ESTABLECIDAS POR UNIMAGDALENA</t>
  </si>
  <si>
    <t>https://community.secop.gov.co/Public/Tendering/ContractNoticePhases/View?PPI=CO1.PPI.25937264&amp;isFromPublicArea=True&amp;isModal=False</t>
  </si>
  <si>
    <t>ODC-DAD-0041-2023</t>
  </si>
  <si>
    <t>COMPRA DE INSUMOS, ACCESORIOS, REPUESTOS Y SERVICIO DE MANTENIMIENTO PREVENTIVO YO CORRECTIVO NECESARIOS PARA EL CORRECTO FUNCIONAMIENTO DE LAS UNIDADES ODONTOLOGICAS DE LA CLINICA DE LA UNIVERSIDAD DEL MAGDALENA DE CONFORMIDAD CON LAS ESPECIFICACIONES DEL SERVICIO ESTABLECIDAS POR UNIMAGDALENA</t>
  </si>
  <si>
    <t>2023/10/15</t>
  </si>
  <si>
    <t>https://community.secop.gov.co/Public/Tendering/ContractNoticePhases/View?PPI=CO1.PPI.26040652&amp;isFromPublicArea=True&amp;isModal=False</t>
  </si>
  <si>
    <t>ODC-DAD-0042-2023</t>
  </si>
  <si>
    <t>COMPRA DE IMPLEMENTOS DE BUCEO PARA ACTIVIDADES DE INVESTIGACION EN EL LABORATORIO DE MOLUSCOS EN LA CONCESION DE LA BAHIA DE TAGANGA DE LA UNIVERSIDAD DEL MAGDALENA</t>
  </si>
  <si>
    <t>https://community.secop.gov.co/Public/Tendering/ContractNoticePhases/View?PPI=CO1.PPI.26246042&amp;isFromPublicArea=True&amp;isModal=False</t>
  </si>
  <si>
    <t>ODC-DAD-0043-2023</t>
  </si>
  <si>
    <t>COMPRA DE TELEVISORES CON SUS SOPORTES Y TABLEROS ACRILICOS Y DE VIDRIO DE DIFERENTES MEDIDAS PARA LAS DEPENDENCIAS DE LA UNIVERSIDAD DEL MAGDALENA</t>
  </si>
  <si>
    <t>2023/08/29</t>
  </si>
  <si>
    <t>https://community.secop.gov.co/Public/Tendering/ContractNoticePhases/View?PPI=CO1.PPI.26269005&amp;isFromPublicArea=True&amp;isModal=False</t>
  </si>
  <si>
    <t>ODC-DAD-0044-2023</t>
  </si>
  <si>
    <t>LEGARCHIVO S.A.S</t>
  </si>
  <si>
    <t>COMPRA DE PUNTOS ECOLOGICOS PARA DOTAR LA INSTITUCION CON ELEMENTOS QUE FACILITEN EL MANEJO ADECUADO DE RESIDUOS Y DESECHOS GENERADOS EN LA UNIVERSIDAD DEL MAGDALENA.</t>
  </si>
  <si>
    <t>2023/08/20</t>
  </si>
  <si>
    <t>https://community.secop.gov.co/Public/Tendering/ContractNoticePhases/View?PPI=CO1.PPI.26286052&amp;isFromPublicArea=True&amp;isModal=False</t>
  </si>
  <si>
    <t>ODC-DAD-0045-2023</t>
  </si>
  <si>
    <t>ATI GUNNAWI VIVIAN MISSLIN VILLAFAÑA IZQUIERDO</t>
  </si>
  <si>
    <t>COMPRA DE MIL 1000 CAJAS PARA ARCHIVO DE REFERENCIA X300 CALIBRE S790K Y DOSCIENTAS 200 CAJAS PARA ARCHIVO DE REFERENCIA X200 CALIBRE S790K, LAS CUALES SERA UTILIZADAS PARA LA ORGANIZACION Y CONSERVACION DE LA DOCUMENTACION DE LA UNIVERSIDAD</t>
  </si>
  <si>
    <t>2023/10/12</t>
  </si>
  <si>
    <t>MARITZA IBON BARROS NIETO</t>
  </si>
  <si>
    <t>https://community.secop.gov.co/Public/Tendering/ContractNoticePhases/View?PPI=CO1.PPI.26286161&amp;isFromPublicArea=True&amp;isModal=False</t>
  </si>
  <si>
    <t>ODC-DAD-0046-2023</t>
  </si>
  <si>
    <t>800113480</t>
  </si>
  <si>
    <t>ULTRADENTAL SAS</t>
  </si>
  <si>
    <t>COMPRA DE 250 MOCHILAS ARHUACAS MEDIANAS, TEJIDAS A MANO ELABORADAS EN LANA DE OVEJA PARA LA ENTREGA DE SOUVENIRS A LOS PARTICIPANTES DEL XI ENCUENTRO DE GESTION UNIVERSITARIO ORGANIZADO POR EL SISTEMA UNIVERSITARIO ESTATAL SUE, QUE SE LLEVARA ACABO EN LA SEDE DE LA UNIVERSIDAD DEL MAGDALENA, LOS DIAS 17 Y 18 DE AGOSTO DE 2023</t>
  </si>
  <si>
    <t>2023/08/22</t>
  </si>
  <si>
    <t>https://community.secop.gov.co/Public/Tendering/ContractNoticePhases/View?PPI=CO1.PPI.26416771&amp;isFromPublicArea=True&amp;isModal=False</t>
  </si>
  <si>
    <t>OSM-DAD-0001-2023</t>
  </si>
  <si>
    <t>MAKROFERRERTERIA PAURI LTDA</t>
  </si>
  <si>
    <t>SUMINISTRO DE MATERIAL ELECTRICO Y DE FERRETERIA EN GENERAL, PARA EL MANTENIMIENTO PREVENTIVO Y CORRECTIVO DE LAS DEPENDENCIAS Y AREAS COMUNES DE LA UNIVERSIDAD DEL MAGDALENA Y SUS SEDES ALTERNAS</t>
  </si>
  <si>
    <t>2023/03/15</t>
  </si>
  <si>
    <t>https://community.secop.gov.co/Public/Tendering/ContractNoticePhases/View?PPI=CO1.PPI.23259388&amp;isFromPublicArea=True&amp;isModal=False</t>
  </si>
  <si>
    <t>OSM-DAD-0002-2023</t>
  </si>
  <si>
    <t>CAMPO CAFÉ</t>
  </si>
  <si>
    <t>SUMINISTRO DE CAFE ORGANICO PARA LA ATENCION AL PERSONAL ACADEMICO-ADMINISTRATIVO Y EVENTOS INSTITUCIONALES</t>
  </si>
  <si>
    <t>https://community.secop.gov.co/Public/Tendering/ContractNoticePhases/View?PPI=CO1.PPI.23296734&amp;isFromPublicArea=True&amp;isModal=False</t>
  </si>
  <si>
    <t>OSM-DAD-0003-2023</t>
  </si>
  <si>
    <t>INGENIERIAS AVANZADAS DE COLOMBIA SAS</t>
  </si>
  <si>
    <t>SUMINISTRO DE PARTES PARA MANTENIMIENTO CORRECTIVO DE COMPUTADORES, DISPOSITIVOS ACTIVOS MENORES DE LA RED DE VOZ Y DATOS</t>
  </si>
  <si>
    <t>https://community.secop.gov.co/Public/Tendering/ContractNoticePhases/View?PPI=CO1.PPI.23320200&amp;isFromPublicArea=True&amp;isModal=False</t>
  </si>
  <si>
    <t>OSM-DAD-0004-2023</t>
  </si>
  <si>
    <t xml:space="preserve">HIELO INDUROD S.A.S. </t>
  </si>
  <si>
    <t>SUMINISTRO DE AGUA TRATADA PARA SUPLIR LAS NECESIDADES BASICAS DEL PERSONAL ACADEMICO ADMINISTRATIVO Y DE EVENTOS QUE SE REALIZAN EN LA INSTITUCION</t>
  </si>
  <si>
    <t>https://community.secop.gov.co/Public/Tendering/ContractNoticePhases/View?PPI=CO1.PPI.23434212&amp;isFromPublicArea=True&amp;isModal=False</t>
  </si>
  <si>
    <t>OSM-DAD-0005-2023</t>
  </si>
  <si>
    <t>LADYS CONFECCIONES S.A.S BIC</t>
  </si>
  <si>
    <t>SUMINISTRO DE TULAS Y BOLSOS EN TELA CAMBRELA, PRENDAS DE VESTIR CON ESTAMPADOS Y BORDADOS EN COLORES INSTITUCIONALES, PARA EL DESARROLLO DE ACTIVIDADES PROGRAMADAS POR LAS AREAS DE CULTURA, DEPORTE, SALUD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</si>
  <si>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https://community.secop.gov.co/Public/Tendering/ContractNoticePhases/View?PPI=CO1.PPI.23482605&amp;isFromPublicArea=True&amp;isModal=False</t>
  </si>
  <si>
    <t>OSM-DAD-0006-2023</t>
  </si>
  <si>
    <t>H&amp;L DISTRIBUCIONES Y SUMINISTROS S.A.S.</t>
  </si>
  <si>
    <t>SUMINISTRO DE ELEMENTOS DE ASEO Y CAFETERIA PARA LA ATENCION AL PERSONAL ACADEMICO ADMINISTRATIVO, EVENTOS INSTITUCIONALES Y GARANTIZAR LOS ELEMENTOS DE ASEO MINIMOS PARA DOTAR LAS UNIDADES SANITARIAS</t>
  </si>
  <si>
    <t>https://community.secop.gov.co/Public/Tendering/ContractNoticePhases/View?PPI=CO1.PPI.23486029&amp;isFromPublicArea=True&amp;isModal=False</t>
  </si>
  <si>
    <t>OSM-DAD-0007-2023</t>
  </si>
  <si>
    <t>ENLACES L&amp;J S.A.S.</t>
  </si>
  <si>
    <t>SUMINISTRO DE INSUMOS PARA EL DESARROLLO DE LAS SESIONES PRACTICAS DE LA ASIGNATURA ALIMENTOS Y BEBIDAS III COCINA Y SERVICIOS DE COMEDOR Y BAR, ETIQUETA Y PROTOCOLO, LOGISTICA PARA LA ORGANIZACION DE EVENTOS Y ENOLOGIA DEL PROGRAMA DE TECNOLOGIA EN GESTION HOTELERA Y TURISTICA POR CICLOS PROPEDEUTICOS DE LA UNIVERSIDAD DEL MAGDALENA</t>
  </si>
  <si>
    <t>https://community.secop.gov.co/Public/Tendering/ContractNoticePhases/View?PPI=CO1.PPI.23487353&amp;isFromPublicArea=True&amp;isModal=False</t>
  </si>
  <si>
    <t>OSM-DAD-0008-2023</t>
  </si>
  <si>
    <t>891410476</t>
  </si>
  <si>
    <t>VIAJES AEREOS NACIONALES E INTERNACIONALES S.A.</t>
  </si>
  <si>
    <t>SUMINISTRO DE TIQUETES AÉREOS NACIONALES E INTERNACIONALES PARA FUNCIONARIOS, DOCENTES, CATEDRÁTICOS, INVITADOS, CONTRATISTAS Y ESTUDIANTES DE LA UNIVERSIDAD DEL MAGDALENA.</t>
  </si>
  <si>
    <t>NANGETH CASTILLO NAZARALA</t>
  </si>
  <si>
    <t>https://community.secop.gov.co/Public/Tendering/ContractNoticePhases/View?PPI=CO1.PPI.23894794&amp;isFromPublicArea=True&amp;isModal=False</t>
  </si>
  <si>
    <t>OSM-DAD-0009-2023</t>
  </si>
  <si>
    <t>900009141</t>
  </si>
  <si>
    <t>DISTRIBUIDORA DISTRIMED LTDA</t>
  </si>
  <si>
    <t>SUMINISTRO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 LA PROPUESTA HACE PARTE INTEGRAL DE LA PRESENTE ORDEN.</t>
  </si>
  <si>
    <t>https://community.secop.gov.co/Public/Tendering/ContractNoticePhases/View?PPI=CO1.PPI.23932072&amp;isFromPublicArea=True&amp;isModal=False</t>
  </si>
  <si>
    <t>OSM-DAD-0010-2023</t>
  </si>
  <si>
    <t>830095213</t>
  </si>
  <si>
    <t>ORGANIZACION TERPEL S.A.</t>
  </si>
  <si>
    <t>SUMINISTRO DE COMBUSTIBLES (GASOLINA CORRIENTE, A.C.P.M. Y EXTRAS) PARA LOS VEHÍCULOS PERTENECIENTES AL PARQUE AUTOMOTOR, PLANTAS ELÉCTRICAS Y MAQUINARIA AGRÍCOLA DE LA UNIVERSIDAD DEL MAGDALENA Y SUS SEDES ALTERNAS.</t>
  </si>
  <si>
    <t>https://community.secop.gov.co/Public/Tendering/ContractNoticePhases/View?PPI=CO1.PPI.23940636&amp;isFromPublicArea=True&amp;isModal=False</t>
  </si>
  <si>
    <t>OSM-DAD-0011-2023</t>
  </si>
  <si>
    <t>901676410</t>
  </si>
  <si>
    <t>INTERDEPORTES S.A.S.</t>
  </si>
  <si>
    <t>SUMINISTRO DE UNIFORMES DEPORTIVOS DE COMPETENCIA Y PRESENTACIÓN PARA LAS DELEGACIONES QUE REPRESENTARÁN A LA UNIVERSIDAD DEL MAGDALENA EN LOS CICLOS DEPORTIVOS REGIONALES Y NACIONALES ORGANIZADO POR ASCUN, COMPETENCIAS INTERNACIONALES, A EVENTOS DEPORTIVOS INTERNOS Y ADEMÁS DE LAS DELEGACIONES DE SINDICALISTAS QUE PARTICIPARÁN EN LOS JUEGOS NACIONALES DEPORTIVOS DE TRABAJADORES EN EL MARCO DEL PROYECTO DEL PLAN DE ACCIÓN: MEJORAMIENTO DE LA CALIDAD DE VIDA, BIENESTAR Y DESARROLLO PERSONAL DE LA COMUNIDAD UNIVERSITARIA.</t>
  </si>
  <si>
    <t>https://community.secop.gov.co/Public/Tendering/ContractNoticePhases/View?PPI=CO1.PPI.24043062&amp;isFromPublicArea=True&amp;isModal=False</t>
  </si>
  <si>
    <t>OSM-DAD-0012-2023</t>
  </si>
  <si>
    <t>900414638</t>
  </si>
  <si>
    <t>SERVICIOS DE AMBIENTES LIMPIOS INDUSTRIALES S.A.S. “SERALIN DE LA COSTA S.A.S.”</t>
  </si>
  <si>
    <t>EL SUMINISTRO DE DESODORIZANTE CONCENTRADO Y AROMATIZANTE DE AMBIENTES PARA LAS UNIDADES SANITARIAS DE LA UNIVERSIDAD DEL MAGDALENA.</t>
  </si>
  <si>
    <t>https://community.secop.gov.co/Public/Tendering/ContractNoticePhases/View?PPI=CO1.PPI.24046464&amp;isFromPublicArea=True&amp;isModal=False</t>
  </si>
  <si>
    <t>OSM-DAD-0013-2023</t>
  </si>
  <si>
    <t>900513041</t>
  </si>
  <si>
    <t>GRUPO METROPOLIS DE LA COSTA S.A.S</t>
  </si>
  <si>
    <t>SUMINISTRO DE MATERIAL ELÉCTRICO Y DE FERRETERÍA EN GENERAL PARA EL MANTENIMIENTO PREVENTIVO Y CORRECTIVO DE LAS DEPENDENCIAS Y ÁREAS COMUNES DE LA UNIVERSIDAD DEL MAGDALENA Y SUS SEDES ALTERNAS.</t>
  </si>
  <si>
    <t>https://community.secop.gov.co/Public/Tendering/ContractNoticePhases/View?PPI=CO1.PPI.24105744&amp;isFromPublicArea=True&amp;isModal=False</t>
  </si>
  <si>
    <t>OSM-DAD-0014-2023</t>
  </si>
  <si>
    <t>800219876</t>
  </si>
  <si>
    <t>SODEXO SERVICIOS DE BENEFICIOS E INCENTIVOS COLOMBIA S.A.S.</t>
  </si>
  <si>
    <t>SUMINISTRO DE BONOS Y/O TARJETAS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</si>
  <si>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https://community.secop.gov.co/Public/Tendering/ContractNoticePhases/View?PPI=CO1.PPI.24130881&amp;isFromPublicArea=True&amp;isModal=False</t>
  </si>
  <si>
    <t>OSM-DAD-0015-2023</t>
  </si>
  <si>
    <t>890115230</t>
  </si>
  <si>
    <t>QUIMIFEX S.A.S.</t>
  </si>
  <si>
    <t>SUMINISTRO DE REACTIVOS E INSUMOS QUÍMICOS PRIORITARIOS PARA GARANTIZAR EL NORMAL DESARROLLO DE LAS ACTIVIDADES ACADÉMICAS QUE SE REALIZAN EN EL LABORATORIOS  DE MICROBIOLOGIA DURANTE EL 2023-I.</t>
  </si>
  <si>
    <t>https://community.secop.gov.co/Public/Tendering/ContractNoticePhases/View?PPI=CO1.PPI.24132153&amp;isFromPublicArea=True&amp;isModal=False</t>
  </si>
  <si>
    <t>OSM-DAD-0016-2023</t>
  </si>
  <si>
    <t>819005003</t>
  </si>
  <si>
    <t>COSTADENT S.A.S.</t>
  </si>
  <si>
    <t>https://community.secop.gov.co/Public/Tendering/ContractNoticePhases/View?PPI=CO1.PPI.24301702&amp;isFromPublicArea=True&amp;isModal=False</t>
  </si>
  <si>
    <t>OSM-DAD-0017-2023</t>
  </si>
  <si>
    <t>800031682</t>
  </si>
  <si>
    <t>DOTACIONES QUIMICO CLINICAS S.A.S.</t>
  </si>
  <si>
    <t>https://community.secop.gov.co/Public/Tendering/ContractNoticePhases/View?PPI=CO1.PPI.24304904&amp;isFromPublicArea=True&amp;isModal=False</t>
  </si>
  <si>
    <t>OSM-DAD-0018-2023</t>
  </si>
  <si>
    <t>901380948</t>
  </si>
  <si>
    <t>https://community.secop.gov.co/Public/Tendering/ContractNoticePhases/View?PPI=CO1.PPI.24388814&amp;isFromPublicArea=True&amp;isModal=False</t>
  </si>
  <si>
    <t>OSM-DAD-0019-2023</t>
  </si>
  <si>
    <t>900231261</t>
  </si>
  <si>
    <t>TUTTOS SPORT CARIBE LTDA</t>
  </si>
  <si>
    <t>https://community.secop.gov.co/Public/Tendering/ContractNoticePhases/View?PPI=CO1.PPI.24444136&amp;isFromPublicArea=True&amp;isModal=False</t>
  </si>
  <si>
    <t>OSM-DAD-0020-2023</t>
  </si>
  <si>
    <t>36549782</t>
  </si>
  <si>
    <t>DUVIS ALICIA MENDEZ GONZALEZ</t>
  </si>
  <si>
    <t>https://community.secop.gov.co/Public/Tendering/ContractNoticePhases/View?PPI=CO1.PPI.24470209&amp;isFromPublicArea=True&amp;isModal=False</t>
  </si>
  <si>
    <t>OSM-DAD-0021-2023</t>
  </si>
  <si>
    <t>https://community.secop.gov.co/Public/Tendering/ContractNoticePhases/View?PPI=CO1.PPI.24570750&amp;isFromPublicArea=True&amp;isModal=False</t>
  </si>
  <si>
    <t>OSM-DAD-0022-2023</t>
  </si>
  <si>
    <t>900127349</t>
  </si>
  <si>
    <t>COMERCIALIZADORA BEDOYA GIRALDO S.A.</t>
  </si>
  <si>
    <t>SUMINISTRO DE INSUMOS DE PAPELERÍA Y CACHARRERÍA PARA EL DESARROLLO DE ACTIVIDADES INSTITUCIONALES PROGRAMADAS EN EL MARCO DEL PROYECTO DEL PLAN DE ACCIÓN MEJORAMIENTO DE LA CALIDAD DE VIDA, BIENESTAR Y DESARROLLO PERSONAL DE LA COMUNIDAD UNIVERSITARIA</t>
  </si>
  <si>
    <t>https://community.secop.gov.co/Public/Tendering/ContractNoticePhases/View?PPI=CO1.PPI.25015058&amp;isFromPublicArea=True&amp;isModal=False</t>
  </si>
  <si>
    <t>OSM-DAD-0023-2023</t>
  </si>
  <si>
    <t>SALUD DENTAL SU DEPOSITO DE CONFIANZA S.A.S.</t>
  </si>
  <si>
    <t>SUMINISTRO DE INSUMOS ODONTOLOGICOS NECESARIOS PARA LAS ACTIVIDADES ACADEMICAS A DESARROLLAR EN EL PERIODO INTERSEMESTRAL DE LA CLINICA ODONTOLOGICA DE LA UNIVERSIDAD DEL MAGDALENA</t>
  </si>
  <si>
    <t>ROSALIA BUSTILLO VERBEL</t>
  </si>
  <si>
    <t>https://community.secop.gov.co/Public/Tendering/ContractNoticePhases/View?PPI=CO1.PPI.25884134&amp;isFromPublicArea=True&amp;isModal=False</t>
  </si>
  <si>
    <t>OSM-DAD-0024-2023</t>
  </si>
  <si>
    <t>SUMINISTRO DE ARREGLOS FLORALES Y FUNEBRES PARA LAS DIFERENTES CEREMONIAS Y OTRAS ACTIVIDADES INSTITUCIONALES QUE SE COORDINEN O RELACIONEN CON LA DIRECCION DE TALENTO HUMANO</t>
  </si>
  <si>
    <t>https://community.secop.gov.co/Public/Tendering/ContractNoticePhases/View?PPI=CO1.PPI.26417350&amp;isFromPublicArea=True&amp;isModal=False</t>
  </si>
  <si>
    <t>OSM-DAD-0025-2023</t>
  </si>
  <si>
    <t xml:space="preserve">SUMINISTRO DE PARTES PARA MANTENIMIENTO CORRECTIVO DE COMPUTADORES, DISPOSITIVOS ACTIVOS MENORES DE LA RED DE VOZ Y DATOS. </t>
  </si>
  <si>
    <t>https://community.secop.gov.co/Public/Tendering/ContractNoticePhases/View?PPI=CO1.PPI.26519869&amp;isFromPublicArea=True&amp;isModal=False</t>
  </si>
  <si>
    <t>ODO-DAD-0001-2023</t>
  </si>
  <si>
    <t>INGELECSA SM SAS</t>
  </si>
  <si>
    <t>OBRAS ELECTRICAS PARA LA CONSTRUCCION DE LAS REDES DE BAJA TENSION, PARA LA IMPLEMENTACION DEL SISTEMA DE RESPALDO Y SUPLENCIA ELECTRICA TOTAL, PARA LOS EDIFICIOS DE AULAS CIENAGA GRANDE Y SIERRA NEVADA DE LA UNIVERSIDAD DEL MAGDALENA</t>
  </si>
  <si>
    <t>https://community.secop.gov.co/Public/Tendering/ContractNoticePhases/View?PPI=CO1.PPI.23308243&amp;isFromPublicArea=True&amp;isModal=False</t>
  </si>
  <si>
    <t>ODO-DAD-0002-2023</t>
  </si>
  <si>
    <t>900333688</t>
  </si>
  <si>
    <t>SEMILLAS Y CULTIVOS S.A.S.</t>
  </si>
  <si>
    <t xml:space="preserve">OBRAS PARA LA INSTALACIÓN E IMPLEMENTACIÓN DEL SISTEMA DE RIEGO AUTOMATIZADO DE LA CANCHA DE FUTBOL DEL ESTADIO DE LA UNIVERSIDAD DEL MAGDALENA, INCLUYENDO LOS REPUESTOS, DE CONFORMIDAD CON LAS ESPECIFICACIONES TÉCNICAS ESTABLECIDAS POR UNIMAGDALENA PARA CADA UNA DE LAS INSTALACIONES A INTERVENIR. </t>
  </si>
  <si>
    <t>https://community.secop.gov.co/Public/Tendering/ContractNoticePhases/View?PPI=CO1.PPI.23820294&amp;isFromPublicArea=True&amp;isModal=False</t>
  </si>
  <si>
    <t>ODO-DAD-0003-2023</t>
  </si>
  <si>
    <t>900999758</t>
  </si>
  <si>
    <t>KM CONSTRUCCIONES S.A.S.</t>
  </si>
  <si>
    <t>OBRAS CIVILES DE ADECUACIÓN, MEJORAMIENTO Y MANTENIMIENTO DE LAS DIFERENTES ÁREAS QUE CONFORMAN LAS INSTALACIONES DE LA INFRAESTRUCTURA FÍSICA DE LA UNIVERSIDAD DEL MAGDALENA Y SUS SEDES, PRIMER SEMESTRE DE 2023, DE CONFORMIDAD CON LAS ESPECIFICACIONES TÉCNICAS ESTABLECIDAS POR UNIMAGDALENA PARA CADA UNA DE LAS INSTALACIONES A INTERVENIR</t>
  </si>
  <si>
    <t>https://community.secop.gov.co/Public/Tendering/ContractNoticePhases/View?PPI=CO1.PPI.24467439&amp;isFromPublicArea=True&amp;isModal=False</t>
  </si>
  <si>
    <t>ODO-DAD-0004-2023</t>
  </si>
  <si>
    <t>REDES INGENIERIA CONSTRUCCION Y MANTENIMIENTO S.A.S</t>
  </si>
  <si>
    <t>OBRAS CIVILES ELECTRICAS Y DE VOZ Y DATOS PARA LA ADECUACION Y MODERNIZACION DE LAS AREAS QUE CONFORMAN LA COORDINACION DE LA CLINICA ODONTOLOGICA DE LA UNIVERSIDAD DEL MAGDALENA</t>
  </si>
  <si>
    <t>2023/08/06</t>
  </si>
  <si>
    <t>https://community.secop.gov.co/Public/Tendering/ContractNoticePhases/View?PPI=CO1.PPI.26322535&amp;isFromPublicArea=True&amp;isModal=False</t>
  </si>
  <si>
    <t>ODC-DAD-0001-2023</t>
  </si>
  <si>
    <t>AUTOMOTORES DEL LITORAL S.A.</t>
  </si>
  <si>
    <t>COMPRA DE UN 1 VEHICULO AUTOMOTOR IDENTIFICADO CON LAS SIGUIENTES CARACTERISTICAS CAMIONETA MARCA CHEVROLET COLORADO HIGH COUNTRY FULL EQUIPO AUTOMATICA, MODELO 2023, CILINDRAJE 2.800 C.C, PARA LA REALIZACION DE ACTIVIDADES ACADEMICAS, DE INVESTIGACION, DE EXTENSION Y PROYECCION SOCIAL, Y DE GESTION ADMINISTRATIVA DE LA UNIVERSIDAD DEL MAGDALENA</t>
  </si>
  <si>
    <t>2023/02/18</t>
  </si>
  <si>
    <t>https://community.secop.gov.co/Public/Tendering/ContractNoticePhases/View?PPI=CO1.PPI.23074259&amp;isFromPublicArea=True&amp;isModal=False</t>
  </si>
  <si>
    <t xml:space="preserve"> OPSP-FCS-0001-2023</t>
  </si>
  <si>
    <t>ALYDAYANA GARCERANT VILLEGAS</t>
  </si>
  <si>
    <t>APOYAR LA ORGANIZACIÓN Y LOGÍSTICA DE LAS ACTIVIDADES RELACIONADAS CON EL FUNCIONAMIENTO DE LAS COHORTES ACTIVAS DE LOS PROGRAMAS MAESTRÍA EN SALUD FAMILIAR Y COMUNITARIA Y MAESTRÍA EN SALUD MENTAL Y COMUNIDADES DIVERSAS</t>
  </si>
  <si>
    <t>ANGELA VERONICA ROMERO CARDENAS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</si>
  <si>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</si>
  <si>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</si>
  <si>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</si>
  <si>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</si>
  <si>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</si>
  <si>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</si>
  <si>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</si>
  <si>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</si>
  <si>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</si>
  <si>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</si>
  <si>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</si>
  <si>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</si>
  <si>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</si>
  <si>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OAG-FCS-0001-2023</t>
  </si>
  <si>
    <t>MARIA CONCEPCIÓN ROBLES ALVAREZ</t>
  </si>
  <si>
    <t xml:space="preserve">APOYAR EN LA LOGÍSTICA Y ORGANIZACIÓN DEL LABORATORIO DE CLÍNICA DE SIMULACIÓN PARA LAS PRÁCTICAS Y SERVICIOS REQUERIDOS EN EL MISMO, DE CONFORMIDAD CON LA PROGRAMACIÓN ESTABLECIDA PARA LOS PROGRAMAS ACADÉMICOS Y DE EDUCACIÓN CONTINUA. </t>
  </si>
  <si>
    <t>https://community.secop.gov.co/Public/Tendering/OpportunityDetail/Index?noticeUID=CO1.NTC.4033053&amp;isFromPublicArea=True&amp;isModal=true&amp;asPopupView=true</t>
  </si>
  <si>
    <t xml:space="preserve"> ODC-FCS-0001-2023</t>
  </si>
  <si>
    <t>LA PREVISORA S.A COMPAÑÍA DE SEGUROS</t>
  </si>
  <si>
    <t xml:space="preserve">LA PRESENTE ORDEN TIENE POR OBJETO LA COMPRA DE UNA POLIZA DE RESPONSABILIDAD CIVIL PROFESIONAL MEDICA PARA LOS DOCENTES LOS ESTUDIANTES DE LOS PROGRAMAS ACADÉMICOS DE LA FACULTAD DE CIENCIAS DE LA SALUD </t>
  </si>
  <si>
    <t>https://community.secop.gov.co/Public/Tendering/OpportunityDetail/Index?noticeUID=CO1.NTC.3924561&amp;isFromPublicArea=True&amp;isModal=true&amp;asPopupView=true</t>
  </si>
  <si>
    <t xml:space="preserve"> ODC-FCS-0002-2023</t>
  </si>
  <si>
    <t>DIANA ROSA PICON PAHUANA</t>
  </si>
  <si>
    <t>LA PRESENTE ORDEN TIENE POR OBJETO LA COMPRA DE CIENTO DIESIOCHO BATAS EN TELA ANTIFLUIDO DE LAFAYETTE CON BORDADO INSTITUCIONAL Y PUÑO DE RESORTE</t>
  </si>
  <si>
    <t>https://community.secop.gov.co/Public/Tendering/OpportunityDetail/Index?noticeUID=CO1.NTC.3998498&amp;isFromPublicArea=True&amp;isModal=true&amp;asPopupView=true</t>
  </si>
  <si>
    <t>OPSP-FCS-0005-2023</t>
  </si>
  <si>
    <t>MARY LUZ PEÑARANDA REALES</t>
  </si>
  <si>
    <t>COORDINAR LAS ACTIVIDADES ACADEMICAS ATENCIÓN A DOCENTES RELACIONADAS CON LA OFERTA MERCADEO Y FUNCIONAMIENTO DE LA ESPECIALIZACION EN SEGURIDAD Y SALUD EN EL TRABAJO</t>
  </si>
  <si>
    <t>https://community.secop.gov.co/Public/Tendering/OpportunityDetail/Index?noticeUID=CO1.NTC.3965888&amp;isFromPublicArea=True&amp;isModal=true&amp;asPopupView=true</t>
  </si>
  <si>
    <t>OPSP-FCS-0006-2023</t>
  </si>
  <si>
    <t>GUILLERMO ORLANDO TROUT GUARDIOLA</t>
  </si>
  <si>
    <t>COORDINAR LAS ACTIVIDADES ACADÉMICAS ATENCIÓN A DOCENTES RELACIONADAS CON LA OFERTA MERCADEO Y FUNCIONAMIENTO DE LA DE LA MAESTRIA EN EPIDEMIOLOGIA</t>
  </si>
  <si>
    <t>ttps://community.secop.gov.co/Public/Tendering/OpportunityDetail/Index?noticeUID=CO1.NTC.3968462&amp;isFromPublicArea=True&amp;isModal=true&amp;asPopupView=true</t>
  </si>
  <si>
    <t>OPSP-FCS-0007-2023</t>
  </si>
  <si>
    <t>MAYA ALEJANDRA CADENA TEJEDA</t>
  </si>
  <si>
    <t>COORDINAR LAS ACTIVIDADES ACADEMICAS ATENCION A DOCENTES RELACIONADAS CON LA OFERTA MERCADEO Y FUNCIONAMIENTO DE LA DE LA MAESTRIA EN PSICOLOGIA JURIDICA Y FORENSE</t>
  </si>
  <si>
    <t>https://community.secop.gov.co/Public/Tendering/OpportunityDetail/Index?noticeUID=CO1.NTC.4028406&amp;isFromPublicArea=True&amp;isModal=true&amp;asPopupView=true</t>
  </si>
  <si>
    <t>OPSP-FCS-0008-2023</t>
  </si>
  <si>
    <t>GUILLERMO JOSE ZUBIETA CABALLERO</t>
  </si>
  <si>
    <t>APOYAR LAS ACTIVIDADES ADMINISTRATIVAS DE LOS PROGRAMAS DE EDUCACIÓN CONTINUA DE LA FACULTAD DE CIENCIAS DE LA SALUD</t>
  </si>
  <si>
    <t>https://community.secop.gov.co/Public/Tendering/OpportunityDetail/Index?noticeUID=CO1.NTC.4048258&amp;isFromPublicArea=True&amp;isModal=true&amp;asPopupView=true</t>
  </si>
  <si>
    <t>OAG-FCS-0002-2023</t>
  </si>
  <si>
    <t>EMMANUEL BERNAL MONTOYA</t>
  </si>
  <si>
    <t>REALIZAR PIEZAS AUDIOVISUALES PARA LAS ACTIVIDADES Y EVENTOS DE LOS DIFERENTES PROGRAMAS DE LA FACULTAD DE CIENCIAS DE LA SALUD APOYAR EN LAS ACTIVIDADES Y CON EL MANEJO DE LAS PLATAFORMAS Y LAS CUENTAS INSTITUCIONALES DE LA FACULTAD</t>
  </si>
  <si>
    <t>https://community.secop.gov.co/Public/Tendering/OpportunityDetail/Index?noticeUID=CO1.NTC.4321896&amp;isFromPublicArea=True&amp;isModal=true&amp;asPopupView=true</t>
  </si>
  <si>
    <t>ODC -FCS-0003-2023</t>
  </si>
  <si>
    <t>MARION JULIANIF MEJIA FLORIAN</t>
  </si>
  <si>
    <t>COMPRA DE 39 GAFETES RESINADOS CON SUJETADOR DE IMÁN DE ALTA PRESIÓN PARA SER ENTREGADOS A LOS ESTUDIANTES DE PSICOLOGÍA EN EL PRIMER PERIODO DE DOS MIL VEINTI TRES</t>
  </si>
  <si>
    <t>https://community.secop.gov.co/Public/Tendering/OpportunityDetail/Index?noticeUID=CO1.NTC.4492967&amp;isFromPublicArea=True&amp;isModal=true&amp;asPopupView=true</t>
  </si>
  <si>
    <t>OPSP-FCS-0009-2023</t>
  </si>
  <si>
    <t>https://community.secop.gov.co/Public/Tendering/OpportunityDetail/Index?noticeUID=CO1.NTC.4710768&amp;isFromPublicArea=True&amp;isModal=true&amp;asPopupView=true,704242254</t>
  </si>
  <si>
    <t>OPSP-FCS-0010-2023</t>
  </si>
  <si>
    <t>https://community.secop.gov.co/Public/Tendering/OpportunityDetail/Index?noticeUID=CO1.NTC.4711029&amp;isFromPublicArea=True&amp;isModal=true&amp;asPopupView=true,704242254</t>
  </si>
  <si>
    <t>OPSP-FCS-0011-2023</t>
  </si>
  <si>
    <t>https://community.secop.gov.co/Public/Tendering/OpportunityDetail/Index?noticeUID=CO1.NTC.4710888&amp;isFromPublicArea=True&amp;isModal=true&amp;asPopupView=true,704242254</t>
  </si>
  <si>
    <t>ODC-FCS-0004-2023</t>
  </si>
  <si>
    <t>https://community.secop.gov.co/Public/Tendering/OpportunityDetail/Index?noticeUID=CO1.NTC.4750585&amp;isFromPublicArea=True&amp;isModal=true&amp;asPopupView=true,704242254</t>
  </si>
  <si>
    <t>OPSP-FCS-0012-2023</t>
  </si>
  <si>
    <t>https://community.secop.gov.co/Public/Tendering/OpportunityDetail/Index?noticeUID=CO1.NTC.4738859&amp;isFromPublicArea=True&amp;isModal=true&amp;asPopupView=true,704242254</t>
  </si>
  <si>
    <t>OPSP-FCS-0013 -2023</t>
  </si>
  <si>
    <t>ALBANIS ISABEL OROZCO PULIDO</t>
  </si>
  <si>
    <t>APOYAR EL DISEÑO Y CREACION DE NUEVOS CURSOS PROPUESTOS PARA LOS PROGRAMAS DE POSTGRADOS DE LA FACULTAD DE CIENCIAS DE LA SALUD</t>
  </si>
  <si>
    <t>https://community.secop.gov.co/Public/Tendering/OpportunityDetail/Index?noticeUID=CO1.NTC.4762885&amp;isFromPublicArea=True&amp;isModal=true&amp;asPopupView=true,704242254</t>
  </si>
  <si>
    <t>OPS-VAC-0001</t>
  </si>
  <si>
    <t>SERVICIO DE HOSPEDAJE Y ALIMENTACION EN LA CIUDAD DE SANTA MARTA PARA CONFERENCISTAS, VISITANTES E INVITADOS ESPECIALES EN EL MARCO DE LAS ACTIVIDADES ACADEMICAS QUE SE DESARROLLAN EN LA UNIVERSIDAD DEL MAGDALENA, DURANTE LA VIGENCIA 2023. EL SERVICIO DE HOSPEDAJE DEBE INCLUIR HABITACION CON AIRE ACONDICIONADO, DUCHA CON AGUA CALIENTE, CONEXION A RED WIFI Y LA ALIMENTACION DEBE INCLUIR DESAYUNO, ALMUERZO Y CENA EN PORCIONES PARA ADULTOS.</t>
  </si>
  <si>
    <t>2023/02/06</t>
  </si>
  <si>
    <t>2023/02/07</t>
  </si>
  <si>
    <t>ALICIA ESTHER CASTRO VILLEGAS</t>
  </si>
  <si>
    <t>https://community.secop.gov.co/Public/Tendering/OpportunityDetail/Index?noticeUID=CO1.NTC.3956017&amp;isFromPublicArea=True&amp;isModal=False</t>
  </si>
  <si>
    <t>OPS-VAC-0002</t>
  </si>
  <si>
    <t>STANZIA SANTA MARTA S.A.S BEST WESTERN PLUS SANTA MARTA HOTEL</t>
  </si>
  <si>
    <t>https://community.secop.gov.co/Public/Tendering/OpportunityDetail/Index?noticeUID=CO1.NTC.4001519&amp;isFromPublicArea=True&amp;isModal=False</t>
  </si>
  <si>
    <t>OPS-VAC-0003</t>
  </si>
  <si>
    <t>SERVICIO DE ELABORACIÓN DE PRUEBA DENTRO DEL PROCESO DE CONVOCATORIA PARA PROVEER EL BANCO DE HOJAS DE VIDA DE ASPIRANTES ELEGIBLES, EN EL MARCO DEL CONCURSO PÚBLICO DE MÉRITOS PARA LA VINCULACIÓN DE PROFESORES DE PLANTA EN LA UNIVERSIDAD DEL MAGDALENA.</t>
  </si>
  <si>
    <t>https://community.secop.gov.co/Public/Tendering/OpportunityDetail/Index?noticeUID=CO1.NTC.4326550&amp;isFromPublicArea=True&amp;isModal=False</t>
  </si>
  <si>
    <t>OPS-VAC-0004</t>
  </si>
  <si>
    <t>ADMINISTRADORA DE HOTELES G.M.H. S.A.</t>
  </si>
  <si>
    <t xml:space="preserve">SERVICIO DE HOSPEDAJE Y ALIMENTACIÓN EN LA CIUDAD DE SANTA MARTA PARA CONFERENCISTAS, VISITANTES E INVITADOS ESPECIALES EN EL MARCO DE LAS ACTIVIDADES ACADÉMICAS QUE SE DESARROLLAN EN LA UNIVERSIDAD DEL MAGDALENA, DURANTE LA VIGENCIA 2023. EL SERVICIO DE HOSPEDAJE DEBE INCLUIR HABITACIÓN CON AIRE ACONDICIONADO, DUCHA CON AGUA CALIENTE, CONEXIÓN A RED WI-FI Y LA ALIMENTACIÓN DEBE INCLUIR DESAYUNO, ALMUERZO Y CENA EN PORCIONES PARA ADULTOS. </t>
  </si>
  <si>
    <t>https://community.secop.gov.co/Public/Tendering/OpportunityDetail/Index?noticeUID=CO1.NTC.4328204&amp;isFromPublicArea=True&amp;isModal=False</t>
  </si>
  <si>
    <t>OPS-VAC-0005</t>
  </si>
  <si>
    <t>PSICOLOGOS ESPECIALISTAS ASOCIADOS SAS</t>
  </si>
  <si>
    <t xml:space="preserve">SERVICIO DE ELABORACIÓN DE PRUEBA TPT (PSICOTÉCNICA) Y SERVICIO DE CAPACITACIÓN PARA APLICACIÓN DE LA PRUEBA DENTRO DEL PROCESO DE CONVOCATORIA PARA PROVEER EL BANCO DE HOJAS DE VIDA DE ASPIRANTES ELEGIBLES, EN EL MARCO DEL CONCURSO PÚBLICO DE MÉRITOS PARA LA VINCULACIÓN DE PROFESORES DE PLANTA EN LA UNIVERSIDAD DEL MAGDALENA. </t>
  </si>
  <si>
    <t>KAREN ISABEL AVILA LABASTIDAS</t>
  </si>
  <si>
    <t>https://community.secop.gov.co/Public/Tendering/OpportunityDetail/Index?noticeUID=CO1.NTC.4481349&amp;isFromPublicArea=True&amp;isModal=False</t>
  </si>
  <si>
    <t>OSM-VAC-0001</t>
  </si>
  <si>
    <t xml:space="preserve">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 </t>
  </si>
  <si>
    <t>https://community.secop.gov.co/Public/Tendering/OpportunityDetail/Index?noticeUID=CO1.NTC.4403510&amp;isFromPublicArea=True&amp;isModal=False</t>
  </si>
  <si>
    <t>Valor Salario Minimo en pesos (2023)</t>
  </si>
  <si>
    <t>OPSP-VAD-0001-2023</t>
  </si>
  <si>
    <t>MELISSA PAOLA RODRIGUEZ MARIN</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</si>
  <si>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</si>
  <si>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OSCAR FERNANDO CASTILLO MOSCARELLA</t>
  </si>
  <si>
    <t>https://community.secop.gov.co/Public/Tendering/OpportunityDetail/Index?noticeUID=CO1.NTC.3835814&amp;isFromPublicArea=True&amp;isModal=true&amp;asPopupView=true</t>
  </si>
  <si>
    <t>OPSP-VAD-0002-2023</t>
  </si>
  <si>
    <t>LUIS ALBERTO COTES YANET</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</si>
  <si>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</si>
  <si>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https://community.secop.gov.co/Public/Tendering/OpportunityDetail/Index?noticeUID=CO1.NTC.3836013&amp;isFromPublicArea=True&amp;isModal=true&amp;asPopupView=true</t>
  </si>
  <si>
    <t>OPSP-VAD-0003-2023</t>
  </si>
  <si>
    <t>ANDRES FELIPE LIZCANO GONZALEZ</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</si>
  <si>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</si>
  <si>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https://community.secop.gov.co/Public/Tendering/OpportunityDetail/Index?noticeUID=CO1.NTC.3836028&amp;isFromPublicArea=True&amp;isModal=true&amp;asPopupView=true</t>
  </si>
  <si>
    <t>OPSP-VAD-0004-2023</t>
  </si>
  <si>
    <t>HAROLD ONASIS ACOSTA SANTOS</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</si>
  <si>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</si>
  <si>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https://community.secop.gov.co/Public/Tendering/OpportunityDetail/Index?noticeUID=CO1.NTC.3836202&amp;isFromPublicArea=True&amp;isModal=true&amp;asPopupView=true</t>
  </si>
  <si>
    <t>OPSP-VAD-0005-2023</t>
  </si>
  <si>
    <t>OSCAR SAID DURAN QUINTERO</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</si>
  <si>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</si>
  <si>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JAIME ALFREDO NOGUERA SERRANO</t>
  </si>
  <si>
    <t>https://community.secop.gov.co/Public/Tendering/OpportunityDetail/Index?noticeUID=CO1.NTC.3835884&amp;isFromPublicArea=True&amp;isModal=true&amp;asPopupView=true</t>
  </si>
  <si>
    <t>OPSP-VAD-0006-2023</t>
  </si>
  <si>
    <t>LEIDY VANESA FUENTES TAVERA</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</si>
  <si>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</si>
  <si>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JOSE JULIAN RIOS BOTACHE</t>
  </si>
  <si>
    <t>https://community.secop.gov.co/Public/Tendering/OpportunityDetail/Index?noticeUID=CO1.NTC.3836054&amp;isFromPublicArea=True&amp;isModal=true&amp;asPopupView=true</t>
  </si>
  <si>
    <t>OPSP-VAD-0007-2023</t>
  </si>
  <si>
    <t>ANDREA CAROLINA MARTINEZ GUERRERO</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</si>
  <si>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</si>
  <si>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https://community.secop.gov.co/Public/Tendering/OpportunityDetail/Index?noticeUID=CO1.NTC.3835898&amp;isFromPublicArea=True&amp;isModal=true&amp;asPopupView=true</t>
  </si>
  <si>
    <t>OAG-VAD-0008-2023</t>
  </si>
  <si>
    <t>ROSALIA LEONOR ESTRADA LOMBARDI</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</si>
  <si>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</si>
  <si>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 xml:space="preserve">ANA FLORA JIMENEZ  DE LA HOZ </t>
  </si>
  <si>
    <t>https://community.secop.gov.co/Public/Tendering/OpportunityDetail/Index?noticeUID=CO1.NTC.3836403&amp;isFromPublicArea=True&amp;isModal=true&amp;asPopupView=true</t>
  </si>
  <si>
    <t>OAG-VAD-0009-2023</t>
  </si>
  <si>
    <t>DANELY BEATRIZ GRANADOS PARODI</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</si>
  <si>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</si>
  <si>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https://community.secop.gov.co/Public/Tendering/OpportunityDetail/Index?noticeUID=CO1.NTC.3836332&amp;isFromPublicArea=True&amp;isModal=true&amp;asPopupView=true</t>
  </si>
  <si>
    <t>OPSP-VAD-0010-2023</t>
  </si>
  <si>
    <t>OLIVER JOSE GREGORIO OROZCO SANJUANELO</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</si>
  <si>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</si>
  <si>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https://community.secop.gov.co/Public/Tendering/OpportunityDetail/Index?noticeUID=CO1.NTC.3836339&amp;isFromPublicArea=True&amp;isModal=true&amp;asPopupView=true</t>
  </si>
  <si>
    <t>OPSP-VAD-0011-2023</t>
  </si>
  <si>
    <t>RENE MAURICIO AGUIRRE HERNANDEZ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</si>
  <si>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</si>
  <si>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ANGELA ROMERO CARDENAS</t>
  </si>
  <si>
    <t>https://community.secop.gov.co/Public/Tendering/OpportunityDetail/Index?noticeUID=CO1.NTC.3836424&amp;isFromPublicArea=True&amp;isModal=true&amp;asPopupView=true</t>
  </si>
  <si>
    <t>OPSP-VAD-0012-2023</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</si>
  <si>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</si>
  <si>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https://community.secop.gov.co/Public/Tendering/OpportunityDetail/Index?noticeUID=CO1.NTC.3836352&amp;isFromPublicArea=True&amp;isModal=true&amp;asPopupView=true</t>
  </si>
  <si>
    <t>OPSP-VAD-0013-2023</t>
  </si>
  <si>
    <t>ALICIA DEL CARMEN RODRIGUEZ DIAZ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</si>
  <si>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</si>
  <si>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https://community.secop.gov.co/Public/Tendering/OpportunityDetail/Index?noticeUID=CO1.NTC.3836434&amp;isFromPublicArea=True&amp;isModal=true&amp;asPopupView=true</t>
  </si>
  <si>
    <t>OPSP-VAD-0014-2023</t>
  </si>
  <si>
    <t>HENRY DAVID BRUGES CARBONO</t>
  </si>
  <si>
    <t>https://community.secop.gov.co/Public/Tendering/OpportunityDetail/Index?noticeUID=CO1.NTC.3836442&amp;isFromPublicArea=True&amp;isModal=true&amp;asPopupView=true</t>
  </si>
  <si>
    <t>OPSP-VAD-0015-2023</t>
  </si>
  <si>
    <t>MARIA DE LOS ANGELES AMADOR BALLESTAS</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</si>
  <si>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</si>
  <si>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https://community.secop.gov.co/Public/Tendering/OpportunityDetail/Index?noticeUID=CO1.NTC.3836367&amp;isFromPublicArea=True&amp;isModal=true&amp;asPopupView=true</t>
  </si>
  <si>
    <t>OPSP-VAD-0016-2023</t>
  </si>
  <si>
    <t>VIVIAN CAROLINA BAUTE ZULUAGA</t>
  </si>
  <si>
    <t>https://community.secop.gov.co/Public/Tendering/OpportunityDetail/Index?noticeUID=CO1.NTC.3836188&amp;isFromPublicArea=True&amp;isModal=true&amp;asPopupView=true</t>
  </si>
  <si>
    <t>OPSP-VAD-0017-2023</t>
  </si>
  <si>
    <t>SHAROL MERCEDES CORTES MIRANDA</t>
  </si>
  <si>
    <t>https://community.secop.gov.co/Public/Tendering/OpportunityDetail/Index?noticeUID=CO1.NTC.3836197&amp;isFromPublicArea=True&amp;isModal=true&amp;asPopupView=true</t>
  </si>
  <si>
    <t>OPSP-VAD-0018-2023</t>
  </si>
  <si>
    <t>ALFONSO DAVID MIRANDA PAZ</t>
  </si>
  <si>
    <t>https://community.secop.gov.co/Public/Tendering/OpportunityDetail/Index?noticeUID=CO1.NTC.3836261&amp;isFromPublicArea=True&amp;isModal=true&amp;asPopupView=true</t>
  </si>
  <si>
    <t>OPSP-VAD-0019-2023</t>
  </si>
  <si>
    <t>RAMIRO DAVID PALMERA DE LA ROSA</t>
  </si>
  <si>
    <t>https://community.secop.gov.co/Public/Tendering/OpportunityDetail/Index?noticeUID=CO1.NTC.3836609&amp;isFromPublicArea=True&amp;isModal=true&amp;asPopupView=true</t>
  </si>
  <si>
    <t>OPSP-VAD-0020-2023</t>
  </si>
  <si>
    <t>ELENA MARGARITA TORRES OSPINA</t>
  </si>
  <si>
    <t>https://community.secop.gov.co/Public/Tendering/OpportunityDetail/Index?noticeUID=CO1.NTC.3836617&amp;isFromPublicArea=True&amp;isModal=true&amp;asPopupView=true</t>
  </si>
  <si>
    <t>OPSP-VAD-0021-2023</t>
  </si>
  <si>
    <t>MARYURIS MENDOZA ECHENIQUE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</si>
  <si>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</si>
  <si>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https://community.secop.gov.co/Public/Tendering/OpportunityDetail/Index?noticeUID=CO1.NTC.3836388&amp;isFromPublicArea=True&amp;isModal=true&amp;asPopupView=true</t>
  </si>
  <si>
    <t>OPSP-VAD-0022-2023</t>
  </si>
  <si>
    <t>DUBYS SOFIA REGALADO CALANCHE</t>
  </si>
  <si>
    <t>https://community.secop.gov.co/Public/Tendering/OpportunityDetail/Index?noticeUID=CO1.NTC.3836632&amp;isFromPublicArea=True&amp;isModal=true&amp;asPopupView=true</t>
  </si>
  <si>
    <t>OPSP-VAD-0023-2023</t>
  </si>
  <si>
    <t>KENIA MELISSA MUNERA LUQUE</t>
  </si>
  <si>
    <t>https://community.secop.gov.co/Public/Tendering/OpportunityDetail/Index?noticeUID=CO1.NTC.3836281&amp;isFromPublicArea=True&amp;isModal=true&amp;asPopupView=true</t>
  </si>
  <si>
    <t>OPSP-VAD-0024-2023</t>
  </si>
  <si>
    <t>GISELLA PATRICIA CHAMORRO MOLINA</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</si>
  <si>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</si>
  <si>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https://community.secop.gov.co/Public/Tendering/OpportunityDetail/Index?noticeUID=CO1.NTC.3836285&amp;isFromPublicArea=True&amp;isModal=true&amp;asPopupView=true</t>
  </si>
  <si>
    <t>OPSP-VAD-0025-2023</t>
  </si>
  <si>
    <t>DANIELA JOSE ALEAN MOLINARES</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</si>
  <si>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</si>
  <si>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https://community.secop.gov.co/Public/Tendering/OpportunityDetail/Index?noticeUID=CO1.NTC.3836292&amp;isFromPublicArea=True&amp;isModal=true&amp;asPopupView=true</t>
  </si>
  <si>
    <t>OPSP-VAD-0026-2023</t>
  </si>
  <si>
    <t>JENNIFER SOFIA CARVAJAL LORDUY</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</si>
  <si>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</si>
  <si>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https://community.secop.gov.co/Public/Tendering/OpportunityDetail/Index?noticeUID=CO1.NTC.3836664&amp;isFromPublicArea=True&amp;isModal=true&amp;asPopupView=true</t>
  </si>
  <si>
    <t>OPSP-VAD-0027-2023</t>
  </si>
  <si>
    <t>MALORY DE LOS ANGELES RODRIGUEZ CANTILLO</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</si>
  <si>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</si>
  <si>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https://community.secop.gov.co/Public/Tendering/OpportunityDetail/Index?noticeUID=CO1.NTC.3836674&amp;isFromPublicArea=True&amp;isModal=true&amp;asPopupView=true</t>
  </si>
  <si>
    <t>OPSP-VAD-0028-2023</t>
  </si>
  <si>
    <t>OMAR FERNANDO CORTES PEÑA</t>
  </si>
  <si>
    <t>https://community.secop.gov.co/Public/Tendering/OpportunityDetail/Index?noticeUID=CO1.NTC.3837008&amp;isFromPublicArea=True&amp;isModal=true&amp;asPopupView=true</t>
  </si>
  <si>
    <t>OPSP-VAD-0029-2023</t>
  </si>
  <si>
    <t>JORGE ANDRES VARGAS RONCALLO</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</si>
  <si>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</si>
  <si>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https://community.secop.gov.co/Public/Tendering/OpportunityDetail/Index?noticeUID=CO1.NTC.3836687&amp;isFromPublicArea=True&amp;isModal=true&amp;asPopupView=true</t>
  </si>
  <si>
    <t>OPSP-VAD-0030-2023</t>
  </si>
  <si>
    <t>CESAR AUGUSTO ALVARADO MULETH</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</si>
  <si>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</si>
  <si>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WILSON ARTURO PACHECO PALACIO</t>
  </si>
  <si>
    <t>https://community.secop.gov.co/Public/Tendering/OpportunityDetail/Index?noticeUID=CO1.NTC.3857593&amp;isFromPublicArea=True&amp;isModal=true&amp;asPopupView=true</t>
  </si>
  <si>
    <t>OPSP-VAD-0031-2023</t>
  </si>
  <si>
    <t>MIOSOTIS SIRITH MEYER MIER</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</si>
  <si>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</si>
  <si>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JEIMMY PATRICIA POLO ROJAS</t>
  </si>
  <si>
    <t>https://community.secop.gov.co/Public/Tendering/OpportunityDetail/Index?noticeUID=CO1.NTC.3856850&amp;isFromPublicArea=True&amp;isModal=true&amp;asPopupView=true</t>
  </si>
  <si>
    <t>OPSP-VAD-0032-2023</t>
  </si>
  <si>
    <t>JULIO CESAR GOMEZ PUERTA</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</si>
  <si>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</si>
  <si>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https://community.secop.gov.co/Public/Tendering/OpportunityDetail/Index?noticeUID=CO1.NTC.3857182&amp;isFromPublicArea=True&amp;isModal=true&amp;asPopupView=true</t>
  </si>
  <si>
    <t>OPSP-VAD-0033-2023</t>
  </si>
  <si>
    <t>MANIRA ISABEL DIAZ GRANADOS GUERRA</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</si>
  <si>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</si>
  <si>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https://community.secop.gov.co/Public/Tendering/OpportunityDetail/Index?noticeUID=CO1.NTC.3857244&amp;isFromPublicArea=True&amp;isModal=true&amp;asPopupView=true</t>
  </si>
  <si>
    <t>OPSP-VAD-0034-2023</t>
  </si>
  <si>
    <t>JENNIFFER IVONNE GUZMAN CAMACHO</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</si>
  <si>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</si>
  <si>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https://community.secop.gov.co/Public/Tendering/OpportunityDetail/Index?noticeUID=CO1.NTC.3857083&amp;isFromPublicArea=True&amp;isModal=true&amp;asPopupView=true</t>
  </si>
  <si>
    <t>OPSP-VAD-0035-2023</t>
  </si>
  <si>
    <t>JOSE CARLOS BOLAÑO OLIVEROS</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</si>
  <si>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</si>
  <si>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https://community.secop.gov.co/Public/Tendering/OpportunityDetail/Index?noticeUID=CO1.NTC.3857601&amp;isFromPublicArea=True&amp;isModal=true&amp;asPopupView=true</t>
  </si>
  <si>
    <t>OPSP-VAD-0036-2023</t>
  </si>
  <si>
    <t>LUIS ARNULFO QUINTERO BOTELLO</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</si>
  <si>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</si>
  <si>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https://community.secop.gov.co/Public/Tendering/OpportunityDetail/Index?noticeUID=CO1.NTC.3858010&amp;isFromPublicArea=True&amp;isModal=true&amp;asPopupView=true</t>
  </si>
  <si>
    <t>OPSP-VAD-0037-2023</t>
  </si>
  <si>
    <t>CAMILO ADOLFO SERRANO VELASCO</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</si>
  <si>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</si>
  <si>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https://community.secop.gov.co/Public/Tendering/OpportunityDetail/Index?noticeUID=CO1.NTC.3857655&amp;isFromPublicArea=True&amp;isModal=true&amp;asPopupView=true</t>
  </si>
  <si>
    <t>OAG-VAD-0038-2023</t>
  </si>
  <si>
    <t>ALEJANDRO JAVIER LIZCANO OROZCO</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</si>
  <si>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</si>
  <si>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https://community.secop.gov.co/Public/Tendering/OpportunityDetail/Index?noticeUID=CO1.NTC.3858004&amp;isFromPublicArea=True&amp;isModal=true&amp;asPopupView=true</t>
  </si>
  <si>
    <t>OPSP-VAD-0039-2023</t>
  </si>
  <si>
    <t>ANDREINA FIDELINA VILLA AREVALO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</si>
  <si>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</si>
  <si>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 xml:space="preserve">JOSÉ MANUEL PACHECO RICAURTE </t>
  </si>
  <si>
    <t>https://community.secop.gov.co/Public/Tendering/OpportunityDetail/Index?noticeUID=CO1.NTC.3857973&amp;isFromPublicArea=True&amp;isModal=true&amp;asPopupView=true</t>
  </si>
  <si>
    <t>OAG-VAD-0040-2023</t>
  </si>
  <si>
    <t>ANGEL ENRIQUE RUIZ MIER</t>
  </si>
  <si>
    <t>https://community.secop.gov.co/Public/Tendering/OpportunityDetail/Index?noticeUID=CO1.NTC.3858153&amp;isFromPublicArea=True&amp;isModal=true&amp;asPopupView=true</t>
  </si>
  <si>
    <t>OPSP-VAD-0041-2023</t>
  </si>
  <si>
    <t>CARLOS MANUEL ARIZA GUERRERO</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</si>
  <si>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</si>
  <si>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 xml:space="preserve">RONALD ROJAS DUICA </t>
  </si>
  <si>
    <t>https://community.secop.gov.co/Public/Tendering/OpportunityDetail/Index?noticeUID=CO1.NTC.3858069&amp;isFromPublicArea=True&amp;isModal=true&amp;asPopupView=true</t>
  </si>
  <si>
    <t>OPSP-VAD-0042-2023</t>
  </si>
  <si>
    <t>CARMEN MILENA DELGADO LARA</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</si>
  <si>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</si>
  <si>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https://community.secop.gov.co/Public/Tendering/OpportunityDetail/Index?noticeUID=CO1.NTC.3858214&amp;isFromPublicArea=True&amp;isModal=true&amp;asPopupView=true</t>
  </si>
  <si>
    <t>OAG-VAD-0043-2023</t>
  </si>
  <si>
    <t>ELVIA ROSA RODRIGUEZ PEREZ</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</si>
  <si>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</si>
  <si>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MERCEDES DE LA TORRE HASBUN</t>
  </si>
  <si>
    <t>https://community.secop.gov.co/Public/Tendering/OpportunityDetail/Index?noticeUID=CO1.NTC.3858310&amp;isFromPublicArea=True&amp;isModal=true&amp;asPopupView=true</t>
  </si>
  <si>
    <t>OPSP-VAD-0044-2023</t>
  </si>
  <si>
    <t>ESTEFANIA SARAI OROZCO SEQUEA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</si>
  <si>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</si>
  <si>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https://community.secop.gov.co/Public/Tendering/OpportunityDetail/Index?noticeUID=CO1.NTC.3858404&amp;isFromPublicArea=True&amp;isModal=true&amp;asPopupView=true</t>
  </si>
  <si>
    <t>OPSP-VAD-0045-2023</t>
  </si>
  <si>
    <t>HERNAN JESUS LOPEZ LOPEZ</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</si>
  <si>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</si>
  <si>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https://community.secop.gov.co/Public/Tendering/OpportunityDetail/Index?noticeUID=CO1.NTC.3858248&amp;isFromPublicArea=True&amp;isModal=true&amp;asPopupView=true</t>
  </si>
  <si>
    <t>OPSP-VAD-0046-2023</t>
  </si>
  <si>
    <t>JENNIFER BALLESTAS MOLINA</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</si>
  <si>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</si>
  <si>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https://community.secop.gov.co/Public/Tendering/OpportunityDetail/Index?noticeUID=CO1.NTC.3858337&amp;isFromPublicArea=True&amp;isModal=true&amp;asPopupView=true</t>
  </si>
  <si>
    <t>OPSP-VAD-0047-2023</t>
  </si>
  <si>
    <t>JOSE ANDRES ANDICA CASTAÑO</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</si>
  <si>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</si>
  <si>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https://community.secop.gov.co/Public/Tendering/OpportunityDetail/Index?noticeUID=CO1.NTC.3858423&amp;isFromPublicArea=True&amp;isModal=true&amp;asPopupView=true</t>
  </si>
  <si>
    <t>OAG-VAD-0048-2023</t>
  </si>
  <si>
    <t>KATERINE GUIUMAR DIAZ VALERA</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</si>
  <si>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</si>
  <si>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https://community.secop.gov.co/Public/Tendering/OpportunityDetail/Index?noticeUID=CO1.NTC.3858436&amp;isFromPublicArea=True&amp;isModal=true&amp;asPopupView=true</t>
  </si>
  <si>
    <t>OAG-VAD-0049-2023</t>
  </si>
  <si>
    <t>LEONARDO DE JESUS MORON GRANADOS</t>
  </si>
  <si>
    <t>https://community.secop.gov.co/Public/Tendering/OpportunityDetail/Index?noticeUID=CO1.NTC.3858442&amp;isFromPublicArea=True&amp;isModal=true&amp;asPopupView=true</t>
  </si>
  <si>
    <t>OAG-VAD-0050-2023</t>
  </si>
  <si>
    <t>LUIS ALBERTO BARRIOS MIER</t>
  </si>
  <si>
    <t>https://community.secop.gov.co/Public/Tendering/OpportunityDetail/Index?noticeUID=CO1.NTC.3858099&amp;isFromPublicArea=True&amp;isModal=true&amp;asPopupView=true</t>
  </si>
  <si>
    <t>OPSP-VAD-0051-2023</t>
  </si>
  <si>
    <t>LUZ KAREN ZABALETA AVENDAÑO</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</si>
  <si>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</si>
  <si>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https://community.secop.gov.co/Public/Tendering/OpportunityDetail/Index?noticeUID=CO1.NTC.3858369&amp;isFromPublicArea=True&amp;isModal=true&amp;asPopupView=true</t>
  </si>
  <si>
    <t>OPSP-VAD-0052-2023</t>
  </si>
  <si>
    <t>RAMON ANDRES GAMEZ DAZA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</si>
  <si>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</si>
  <si>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https://community.secop.gov.co/Public/Tendering/OpportunityDetail/Index?noticeUID=CO1.NTC.3858605&amp;isFromPublicArea=True&amp;isModal=true&amp;asPopupView=true</t>
  </si>
  <si>
    <t>OPSP-VAD-0053-2023</t>
  </si>
  <si>
    <t>SHIRLEY MILENA HERRERA LLANES</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</si>
  <si>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</si>
  <si>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HERMIDES JEREZ BLANCO</t>
  </si>
  <si>
    <t>https://community.secop.gov.co/Public/Tendering/OpportunityDetail/Index?noticeUID=CO1.NTC.3858383&amp;isFromPublicArea=True&amp;isModal=true&amp;asPopupView=true</t>
  </si>
  <si>
    <t>OAG-VAD-0054-2023</t>
  </si>
  <si>
    <t>TISSIANA JULIETH RODRIGUEZ ORTIZ</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</si>
  <si>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</si>
  <si>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https://community.secop.gov.co/Public/Tendering/OpportunityDetail/Index?noticeUID=CO1.NTC.3858391&amp;isFromPublicArea=True&amp;isModal=true&amp;asPopupView=true</t>
  </si>
  <si>
    <t>OPSP-VAD-0055-2023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</si>
  <si>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</si>
  <si>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</si>
  <si>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https://community.secop.gov.co/Public/Tendering/OpportunityDetail/Index?noticeUID=CO1.NTC.3859875&amp;isFromPublicArea=True&amp;isModal=true&amp;asPopupView=true</t>
  </si>
  <si>
    <t>OPSP-VAD-0056-2023</t>
  </si>
  <si>
    <t>JEIN ALEJANDRA MORA ZAMBRANO</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</si>
  <si>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</si>
  <si>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https://community.secop.gov.co/Public/Tendering/OpportunityDetail/Index?noticeUID=CO1.NTC.3858616&amp;isFromPublicArea=True&amp;isModal=true&amp;asPopupView=true</t>
  </si>
  <si>
    <t>OAG-VAD-0057-2023</t>
  </si>
  <si>
    <t>ALBERTO JOSE MARTINEZ COAS</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</si>
  <si>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</si>
  <si>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https://community.secop.gov.co/Public/Tendering/OpportunityDetail/Index?noticeUID=CO1.NTC.3858464&amp;isFromPublicArea=True&amp;isModal=true&amp;asPopupView=true</t>
  </si>
  <si>
    <t>OAG-VAD-0058-2023</t>
  </si>
  <si>
    <t>https://community.secop.gov.co/Public/Tendering/OpportunityDetail/Index?noticeUID=CO1.NTC.3858625&amp;isFromPublicArea=True&amp;isModal=true&amp;asPopupView=true</t>
  </si>
  <si>
    <t>OPSP-VAD-0059-2023</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</si>
  <si>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</si>
  <si>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</si>
  <si>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https://community.secop.gov.co/Public/Tendering/OpportunityDetail/Index?noticeUID=CO1.NTC.3859104&amp;isFromPublicArea=True&amp;isModal=true&amp;asPopupView=true</t>
  </si>
  <si>
    <t>OAG-VAD-0060-2023</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</si>
  <si>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</si>
  <si>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</si>
  <si>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HILDEMAR DAVID QUINTANA HERNANDEZ</t>
  </si>
  <si>
    <t>https://community.secop.gov.co/Public/Tendering/OpportunityDetail/Index?noticeUID=CO1.NTC.3859106&amp;isFromPublicArea=True&amp;isModal=true&amp;asPopupView=true</t>
  </si>
  <si>
    <t>OAG-VAD-0061-2023</t>
  </si>
  <si>
    <t>ANA MELISSA ALVARADO RANGEL</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</si>
  <si>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</si>
  <si>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EDWIN RAFAEL GUTIERREZ BOTO</t>
  </si>
  <si>
    <t>https://community.secop.gov.co/Public/Tendering/OpportunityDetail/Index?noticeUID=CO1.NTC.3859107&amp;isFromPublicArea=True&amp;isModal=true&amp;asPopupView=true</t>
  </si>
  <si>
    <t>OPSP-VAD-0062-2023</t>
  </si>
  <si>
    <t>ARMANDO DALLAN LAVALLE FANDIÑO</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</si>
  <si>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</si>
  <si>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https://community.secop.gov.co/Public/Tendering/OpportunityDetail/Index?noticeUID=CO1.NTC.3859108&amp;isFromPublicArea=True&amp;isModal=true&amp;asPopupView=true</t>
  </si>
  <si>
    <t>OAG-VAD-0063-2023</t>
  </si>
  <si>
    <t>BELQUIS LILIANA PEREZ ROJAS</t>
  </si>
  <si>
    <t>https://community.secop.gov.co/Public/Tendering/OpportunityDetail/Index?noticeUID=CO1.NTC.3859010&amp;isFromPublicArea=True&amp;isModal=true&amp;asPopupView=true</t>
  </si>
  <si>
    <t>OAG-VAD-0064-2023</t>
  </si>
  <si>
    <t>BETSY ZULEY PEREZ LIZCANO</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</si>
  <si>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</si>
  <si>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https://community.secop.gov.co/Public/Tendering/OpportunityDetail/Index?noticeUID=CO1.NTC.3859012&amp;isFromPublicArea=True&amp;isModal=true&amp;asPopupView=true</t>
  </si>
  <si>
    <t>OPSP-VAD-0065-2023</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</si>
  <si>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</si>
  <si>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7. Apoyar en la administración, implementación, mantenimiento y soporte al Sistema de software para la Gestión de la CTI, el emprendimiento y la creación artística y cultural en la Universidad del Magdalena. 8. Adelantar la capacitación a los usuarios en el uso del sistema de software de la VIN. 9. Apoyar con la realización de copias de seguridad del sistema de software. 10. Apoyar con la identificación de los riesgos e implementación de controles en los sistemas de información de la Vicerrectoría de Investigación. 11. Apoyar con la identificación de las correcciones de funcionalidades del sistema de software y realizar los ajustes correspondientes. 12. Apoyar en el cargue de información en el sistema de software. 13. Brindar soporte informático a la comunidad científica en los sistemas de información y en las plataformas de comunicación y colaboración de la Vicerrectoría de Investigación. 14. Apoyar en la recopilación de información y elaboración de informes sobre las plataformas tecnológicas de la Vicerrectoría de Investigación.</t>
  </si>
  <si>
    <t>CESAR ENRIQUE POLO CASTRO</t>
  </si>
  <si>
    <t>https://community.secop.gov.co/Public/Tendering/OpportunityDetail/Index?noticeUID=CO1.NTC.3858914&amp;isFromPublicArea=True&amp;isModal=true&amp;asPopupView=true</t>
  </si>
  <si>
    <t>OAG-VAD-0066-2023</t>
  </si>
  <si>
    <t>CARLOS FERNANDO ESLAIT BARROS</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</si>
  <si>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</si>
  <si>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https://community.secop.gov.co/Public/Tendering/OpportunityDetail/Index?noticeUID=CO1.NTC.3859338&amp;isFromPublicArea=True&amp;isModal=true&amp;asPopupView=true</t>
  </si>
  <si>
    <t>OAG-VAD-0067-2023</t>
  </si>
  <si>
    <t>CARLOS GREGORIO MC LEAN NAVARRO</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</si>
  <si>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</si>
  <si>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https://community.secop.gov.co/Public/Tendering/OpportunityDetail/Index?noticeUID=CO1.NTC.3859348&amp;isFromPublicArea=True&amp;isModal=true&amp;asPopupView=true</t>
  </si>
  <si>
    <t>OPSP-VAD-0068-2023</t>
  </si>
  <si>
    <t>CARLOS MARIO DE JESUS VIVES HASBUN</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</si>
  <si>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</si>
  <si>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https://community.secop.gov.co/Public/Tendering/OpportunityDetail/Index?noticeUID=CO1.NTC.3858937&amp;isFromPublicArea=True&amp;isModal=true&amp;asPopupView=true</t>
  </si>
  <si>
    <t>OPSP-VAD-0069-2023</t>
  </si>
  <si>
    <t>CLAUDIA MARIA OSPINO MONTAÑO</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</si>
  <si>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</si>
  <si>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JUAN CARLOS DE LA ROSA SERRANO</t>
  </si>
  <si>
    <t>https://community.secop.gov.co/Public/Tendering/OpportunityDetail/Index?noticeUID=CO1.NTC.3859371&amp;isFromPublicArea=True&amp;isModal=true&amp;asPopupView=true</t>
  </si>
  <si>
    <t>OPSP-VAD-0070-2023</t>
  </si>
  <si>
    <t>CLAUDIO ALEXANDER BRUGES HERNANDEZ</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</si>
  <si>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</si>
  <si>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https://community.secop.gov.co/Public/Tendering/OpportunityDetail/Index?noticeUID=CO1.NTC.3859061&amp;isFromPublicArea=True&amp;isModal=true&amp;asPopupView=true</t>
  </si>
  <si>
    <t>OAG-VAD-0071-2023</t>
  </si>
  <si>
    <t>DALIANA MILAGROS BORJA RODRIGUEZ</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</si>
  <si>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</si>
  <si>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https://community.secop.gov.co/Public/Tendering/OpportunityDetail/Index?noticeUID=CO1.NTC.3859416&amp;isFromPublicArea=True&amp;isModal=true&amp;asPopupView=true</t>
  </si>
  <si>
    <t>OPSP-VAD-0072-2023</t>
  </si>
  <si>
    <t>DANIELA LAGOS TOBIAS</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</si>
  <si>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</si>
  <si>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https://community.secop.gov.co/Public/Tendering/OpportunityDetail/Index?noticeUID=CO1.NTC.3861725&amp;isFromPublicArea=True&amp;isModal=true&amp;asPopupView=true</t>
  </si>
  <si>
    <t>OAG-VAD-0073-2023</t>
  </si>
  <si>
    <t>DEIMER DAVID GARCIA VARGAS</t>
  </si>
  <si>
    <t>https://community.secop.gov.co/Public/Tendering/OpportunityDetail/Index?noticeUID=CO1.NTC.3857737&amp;isFromPublicArea=True&amp;isModal=true&amp;asPopupView=true</t>
  </si>
  <si>
    <t>OAG-VAD-0074-2023</t>
  </si>
  <si>
    <t>DIANA PAOLA OROZCO TETE</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</si>
  <si>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</si>
  <si>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 xml:space="preserve">ALICIA ESTHER CASTRO VILLEGAS </t>
  </si>
  <si>
    <t>https://community.secop.gov.co/Public/Tendering/OpportunityDetail/Index?noticeUID=CO1.NTC.3857739&amp;isFromPublicArea=True&amp;isModal=true&amp;asPopupView=true</t>
  </si>
  <si>
    <t>OAG-VAD-0075-2023</t>
  </si>
  <si>
    <t>DIEGO ARMANDO HERNANDEZ TORRES</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</si>
  <si>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</si>
  <si>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https://community.secop.gov.co/Public/Tendering/OpportunityDetail/Index?noticeUID=CO1.NTC.3857937&amp;isFromPublicArea=True&amp;isModal=true&amp;asPopupView=true</t>
  </si>
  <si>
    <t>OPSP-VAD-0076-2023</t>
  </si>
  <si>
    <t>IAN ANDRES BERMUDEZ VELEZ</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</si>
  <si>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</si>
  <si>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https://community.secop.gov.co/Public/Tendering/OpportunityDetail/Index?noticeUID=CO1.NTC.3857744&amp;isFromPublicArea=True&amp;isModal=true&amp;asPopupView=true</t>
  </si>
  <si>
    <t>OPSP-VAD-0077-2023</t>
  </si>
  <si>
    <t>IVAN MANUEL MONTERO VILORIA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</si>
  <si>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</si>
  <si>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MILENA PATRICIA DE LEON MENDOZA</t>
  </si>
  <si>
    <t>https://community.secop.gov.co/Public/Tendering/OpportunityDetail/Index?noticeUID=CO1.NTC.3857922&amp;isFromPublicArea=True&amp;isModal=true&amp;asPopupView=true</t>
  </si>
  <si>
    <t>OPSP-VAD-0078-2023</t>
  </si>
  <si>
    <t>JAIME ALFONSO CASTRO ANGARITA</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</si>
  <si>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</si>
  <si>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https://community.secop.gov.co/Public/Tendering/OpportunityDetail/Index?noticeUID=CO1.NTC.3857746&amp;isFromPublicArea=True&amp;isModal=true&amp;asPopupView=true</t>
  </si>
  <si>
    <t>OPSP-VAD-0079-2023</t>
  </si>
  <si>
    <t>JAVIER JOSE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</si>
  <si>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</si>
  <si>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https://community.secop.gov.co/Public/Tendering/OpportunityDetail/Index?noticeUID=CO1.NTC.3857757&amp;isFromPublicArea=True&amp;isModal=true&amp;asPopupView=true</t>
  </si>
  <si>
    <t>OAG-VAD-0080-2023</t>
  </si>
  <si>
    <t>JEFERSON DE JESUS GAMARRA MOLINA</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</si>
  <si>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</si>
  <si>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https://community.secop.gov.co/Public/Tendering/OpportunityDetail/Index?noticeUID=CO1.NTC.3857967&amp;isFromPublicArea=True&amp;isModal=true&amp;asPopupView=true</t>
  </si>
  <si>
    <t>OAG-VAD-0081-2023</t>
  </si>
  <si>
    <t>JERONIMO RAFAEL MONTERO OCHOA</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</si>
  <si>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</si>
  <si>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https://community.secop.gov.co/Public/Tendering/OpportunityDetail/Index?noticeUID=CO1.NTC.3857773&amp;isFromPublicArea=True&amp;isModal=true&amp;asPopupView=true</t>
  </si>
  <si>
    <t>OAG-VAD-0082-2023</t>
  </si>
  <si>
    <t>JESUS OSNAIDER URIBE SOLANO</t>
  </si>
  <si>
    <t>https://community.secop.gov.co/Public/Tendering/OpportunityDetail/Index?noticeUID=CO1.NTC.3857779&amp;isFromPublicArea=True&amp;isModal=true&amp;asPopupView=true</t>
  </si>
  <si>
    <t>OPSP-VAD-0083-2023</t>
  </si>
  <si>
    <t>JONATHAN JAVIER COHEN GRANADOS</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</si>
  <si>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</si>
  <si>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https://community.secop.gov.co/Public/Tendering/OpportunityDetail/Index?noticeUID=CO1.NTC.3857783&amp;isFromPublicArea=True&amp;isModal=true&amp;asPopupView=true</t>
  </si>
  <si>
    <t>OAG-VAD-0084-2023</t>
  </si>
  <si>
    <t>JOSE FRANCISCO SABAN DIAZ GRANADOS</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</si>
  <si>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</si>
  <si>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https://community.secop.gov.co/Public/Tendering/OpportunityDetail/Index?noticeUID=CO1.NTC.3857987&amp;isFromPublicArea=True&amp;isModal=true&amp;asPopupView=true</t>
  </si>
  <si>
    <t>OPSP-VAD-0085-2023</t>
  </si>
  <si>
    <t>JOSE GABRIEL MONTERO PATIÑO</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</si>
  <si>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</si>
  <si>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https://community.secop.gov.co/Public/Tendering/OpportunityDetail/Index?noticeUID=CO1.NTC.3858171&amp;isFromPublicArea=True&amp;isModal=true&amp;asPopupView=true</t>
  </si>
  <si>
    <t>OPSP-VAD-0086-2023</t>
  </si>
  <si>
    <t>JUAN CARLOS BLANCO NAVARRO</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</si>
  <si>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</si>
  <si>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https://community.secop.gov.co/Public/Tendering/OpportunityDetail/Index?noticeUID=CO1.NTC.3858068&amp;isFromPublicArea=True&amp;isModal=true&amp;asPopupView=true</t>
  </si>
  <si>
    <t>OPSP-VAD-0087-2023</t>
  </si>
  <si>
    <t>KARINA JOHANNA FERREIRA QUINTO</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</si>
  <si>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</si>
  <si>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https://community.secop.gov.co/Public/Tendering/OpportunityDetail/Index?noticeUID=CO1.NTC.3858206&amp;isFromPublicArea=True&amp;isModal=true&amp;asPopupView=true</t>
  </si>
  <si>
    <t>OPSP-VAD-0088-2023</t>
  </si>
  <si>
    <t>KATHLEEN JOHANA BOLAÑO PEREZ</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</si>
  <si>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</si>
  <si>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https://community.secop.gov.co/Public/Tendering/OpportunityDetail/Index?noticeUID=CO1.NTC.3858075&amp;isFromPublicArea=True&amp;isModal=true&amp;asPopupView=true</t>
  </si>
  <si>
    <t>OPSP-VAD-0089-2023</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</si>
  <si>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</si>
  <si>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</si>
  <si>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https://community.secop.gov.co/Public/Tendering/OpportunityDetail/Index?noticeUID=CO1.NTC.3858218&amp;isFromPublicArea=True&amp;isModal=true&amp;asPopupView=true</t>
  </si>
  <si>
    <t>OAG-VAD-0090-2023</t>
  </si>
  <si>
    <t>LAINA VANESSA CERVANTES AREVALO</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</si>
  <si>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</si>
  <si>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https://community.secop.gov.co/Public/Tendering/OpportunityDetail/Index?noticeUID=CO1.NTC.3858226&amp;isFromPublicArea=True&amp;isModal=true&amp;asPopupView=true</t>
  </si>
  <si>
    <t>OPSP-VAD-0091-2023</t>
  </si>
  <si>
    <t>LIZETH CAROLINA DE LA HOZ COTES</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</si>
  <si>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</si>
  <si>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https://community.secop.gov.co/Public/Tendering/OpportunityDetail/Index?noticeUID=CO1.NTC.3858232&amp;isFromPublicArea=True&amp;isModal=true&amp;asPopupView=true</t>
  </si>
  <si>
    <t>OPSP-VAD-0092-2023</t>
  </si>
  <si>
    <t>LUIS FERNANDO PALMERA ESCORCIA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</si>
  <si>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</si>
  <si>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https://community.secop.gov.co/Public/Tendering/OpportunityDetail/Index?noticeUID=CO1.NTC.3858236&amp;isFromPublicArea=True&amp;isModal=true&amp;asPopupView=true</t>
  </si>
  <si>
    <t>OPSP-VAD-0093-2023</t>
  </si>
  <si>
    <t>MANUEL RAFAEL AREVALO LOBATO</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</si>
  <si>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</si>
  <si>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https://community.secop.gov.co/Public/Tendering/OpportunityDetail/Index?noticeUID=CO1.NTC.3858243&amp;isFromPublicArea=True&amp;isModal=true&amp;asPopupView=true</t>
  </si>
  <si>
    <t>OAG-VAD-0094-2023</t>
  </si>
  <si>
    <t>MARIA DEL CARMEN CALDERON ORTIZ</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</si>
  <si>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</si>
  <si>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https://community.secop.gov.co/Public/Tendering/OpportunityDetail/Index?noticeUID=CO1.NTC.3857896&amp;isFromPublicArea=True&amp;isModal=true&amp;asPopupView=true</t>
  </si>
  <si>
    <t>OAG-VAD-0095-2023</t>
  </si>
  <si>
    <t>MARIA MARCELA PASMIN GUZMAN</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</si>
  <si>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</si>
  <si>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https://community.secop.gov.co/Public/Tendering/OpportunityDetail/Index?noticeUID=CO1.NTC.3858254&amp;isFromPublicArea=True&amp;isModal=true&amp;asPopupView=true</t>
  </si>
  <si>
    <t>OAG-VAD-0096-2023</t>
  </si>
  <si>
    <t>MARIANNA KARINA SALAS PATERNINA</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</si>
  <si>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</si>
  <si>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https://community.secop.gov.co/Public/Tendering/OpportunityDetail/Index?noticeUID=CO1.NTC.3858084&amp;isFromPublicArea=True&amp;isModal=true&amp;asPopupView=true</t>
  </si>
  <si>
    <t>OPSP-VAD-0097-2023</t>
  </si>
  <si>
    <t>MARIO ALBERTO MENDEZ VAZQUEZ</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</si>
  <si>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</si>
  <si>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https://community.secop.gov.co/Public/Tendering/OpportunityDetail/Index?noticeUID=CO1.NTC.3858281&amp;isFromPublicArea=True&amp;isModal=true&amp;asPopupView=true</t>
  </si>
  <si>
    <t>OAG-VAD-0098-2023</t>
  </si>
  <si>
    <t>MISLEE MAIRETH MEZA MASSON</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</si>
  <si>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</si>
  <si>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https://community.secop.gov.co/Public/Tendering/OpportunityDetail/Index?noticeUID=CO1.NTC.3858533&amp;isFromPublicArea=True&amp;isModal=true&amp;asPopupView=true</t>
  </si>
  <si>
    <t>OPSP-VAD-0099-2023</t>
  </si>
  <si>
    <t>NOELSY MEDRANO TORRES</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</si>
  <si>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</si>
  <si>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https://community.secop.gov.co/Public/Tendering/OpportunityDetail/Index?noticeUID=CO1.NTC.3858538&amp;isFromPublicArea=True&amp;isModal=true&amp;asPopupView=true</t>
  </si>
  <si>
    <t>OAG-VAD-0100-2023</t>
  </si>
  <si>
    <t>PAOLA PATRICIA GARCIA CERVANTES</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</si>
  <si>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</si>
  <si>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https://community.secop.gov.co/Public/Tendering/OpportunityDetail/Index?noticeUID=CO1.NTC.3858292&amp;isFromPublicArea=True&amp;isModal=true&amp;asPopupView=true</t>
  </si>
  <si>
    <t>OAG-VAD-0101-2023</t>
  </si>
  <si>
    <t>PEDRO NEL ESMERAL MUÑOZ</t>
  </si>
  <si>
    <t>https://community.secop.gov.co/Public/Tendering/OpportunityDetail/Index?noticeUID=CO1.NTC.3858295&amp;isFromPublicArea=True&amp;isModal=true&amp;asPopupView=true</t>
  </si>
  <si>
    <t>OAG-VAD-0102-2023</t>
  </si>
  <si>
    <t>RAFAEL DAVID VALENCIA PALACIO</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</si>
  <si>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</si>
  <si>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https://community.secop.gov.co/Public/Tendering/OpportunityDetail/Index?noticeUID=CO1.NTC.3858547&amp;isFromPublicArea=True&amp;isModal=true&amp;asPopupView=true</t>
  </si>
  <si>
    <t>OPSP-VAD-0103-2023</t>
  </si>
  <si>
    <t>ROBERTO CARLOS MAL VILLALOBO</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</si>
  <si>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</si>
  <si>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https://community.secop.gov.co/Public/Tendering/OpportunityDetail/Index?noticeUID=CO1.NTC.3858300&amp;isFromPublicArea=True&amp;isModal=true&amp;asPopupView=true</t>
  </si>
  <si>
    <t>OAG-VAD-0104-2023</t>
  </si>
  <si>
    <t>ROSALBA GRAVINI PORRAS</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</si>
  <si>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</si>
  <si>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https://community.secop.gov.co/Public/Tendering/OpportunityDetail/Index?noticeUID=CO1.NTC.3858704&amp;isFromPublicArea=True&amp;isModal=true&amp;asPopupView=true</t>
  </si>
  <si>
    <t>OPSP-VAD-0105-2023</t>
  </si>
  <si>
    <t>SAUL ANTONIO TEJEDA ECHEVERRIA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</si>
  <si>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</si>
  <si>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https://community.secop.gov.co/Public/Tendering/OpportunityDetail/Index?noticeUID=CO1.NTC.3858708&amp;isFromPublicArea=True&amp;isModal=true&amp;asPopupView=true</t>
  </si>
  <si>
    <t>OPSP-VAD-0106-2023</t>
  </si>
  <si>
    <t>VANESSA RAQUEL MIER GARCIA</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</si>
  <si>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</si>
  <si>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https://community.secop.gov.co/Public/Tendering/OpportunityDetail/Index?noticeUID=CO1.NTC.3858713&amp;isFromPublicArea=True&amp;isModal=true&amp;asPopupView=true</t>
  </si>
  <si>
    <t>OAG-VAD-0107-2023</t>
  </si>
  <si>
    <t>YELENA MARIA GAITAN MARTINEZ</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</si>
  <si>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</si>
  <si>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https://community.secop.gov.co/Public/Tendering/OpportunityDetail/Index?noticeUID=CO1.NTC.3858550&amp;isFromPublicArea=True&amp;isModal=true&amp;asPopupView=true</t>
  </si>
  <si>
    <t>OPSP-VAD-0108-2023</t>
  </si>
  <si>
    <t>YESID FABIAN VILORIA MANJARRES</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</si>
  <si>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</si>
  <si>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https://community.secop.gov.co/Public/Tendering/OpportunityDetail/Index?noticeUID=CO1.NTC.3872697&amp;isFromPublicArea=True&amp;isModal=true&amp;asPopupView=true</t>
  </si>
  <si>
    <t>OPSP-VAD-0109-2023</t>
  </si>
  <si>
    <t>ANA MARIA DEL CARMEN GONZALEZ ROJAS</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</si>
  <si>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</si>
  <si>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https://community.secop.gov.co/Public/Tendering/OpportunityDetail/Index?noticeUID=CO1.NTC.3858552&amp;isFromPublicArea=True&amp;isModal=true&amp;asPopupView=true</t>
  </si>
  <si>
    <t>OPSP-VAD-0110-2023</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</si>
  <si>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</si>
  <si>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</si>
  <si>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https://community.secop.gov.co/Public/Tendering/OpportunityDetail/Index?noticeUID=CO1.NTC.3858556&amp;isFromPublicArea=True&amp;isModal=true&amp;asPopupView=true</t>
  </si>
  <si>
    <t>OPSP-VAD-0111-2023</t>
  </si>
  <si>
    <t>JOSE LUIS PACHECO PEREZ</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</si>
  <si>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</si>
  <si>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https://community.secop.gov.co/Public/Tendering/OpportunityDetail/Index?noticeUID=CO1.NTC.3858558&amp;isFromPublicArea=True&amp;isModal=true&amp;asPopupView=true</t>
  </si>
  <si>
    <t>OPSP-VAD-0112-2023</t>
  </si>
  <si>
    <t>LAURA VELEZ VARGAS</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</si>
  <si>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</si>
  <si>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https://community.secop.gov.co/Public/Tendering/OpportunityDetail/Index?noticeUID=CO1.NTC.3858394&amp;isFromPublicArea=True&amp;isModal=true&amp;asPopupView=true</t>
  </si>
  <si>
    <t>OAG-VAD-0113-2023</t>
  </si>
  <si>
    <t>MARIA ANGELICA SALAZAR MONTERROSA</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</si>
  <si>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</si>
  <si>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https://community.secop.gov.co/Public/Tendering/OpportunityDetail/Index?noticeUID=CO1.NTC.3858560&amp;isFromPublicArea=True&amp;isModal=true&amp;asPopupView=true</t>
  </si>
  <si>
    <t>OPSP-VAD-0114-2023</t>
  </si>
  <si>
    <t>MARIA CAMILA BORJA ALARCON</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</si>
  <si>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</si>
  <si>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https://community.secop.gov.co/Public/Tendering/OpportunityDetail/Index?noticeUID=CO1.NTC.3858562&amp;isFromPublicArea=True&amp;isModal=true&amp;asPopupView=true</t>
  </si>
  <si>
    <t>OPSP-VAD-0115-2023</t>
  </si>
  <si>
    <t>OSCAR JOSE ANDRADE NORIEGA</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</si>
  <si>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</si>
  <si>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https://community.secop.gov.co/Public/Tendering/OpportunityDetail/Index?noticeUID=CO1.NTC.3858563&amp;isFromPublicArea=True&amp;isModal=true&amp;asPopupView=true</t>
  </si>
  <si>
    <t>OAG-VAD-0116-2023</t>
  </si>
  <si>
    <t>ADRIANA PAOLA PEREIRA RIZZO</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</si>
  <si>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</si>
  <si>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https://community.secop.gov.co/Public/Tendering/OpportunityDetail/Index?noticeUID=CO1.NTC.3858623&amp;isFromPublicArea=True&amp;isModal=true&amp;asPopupView=true</t>
  </si>
  <si>
    <t>OAG-VAD-0117-2023</t>
  </si>
  <si>
    <t>YAHAINIS LISSETH CABRERA DURAN</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</si>
  <si>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</si>
  <si>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https://community.secop.gov.co/Public/Tendering/OpportunityDetail/Index?noticeUID=CO1.NTC.3858624&amp;isFromPublicArea=True&amp;isModal=true&amp;asPopupView=true</t>
  </si>
  <si>
    <t>OPSP-VAD-0118-2023</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</si>
  <si>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</si>
  <si>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https://community.secop.gov.co/Public/Tendering/OpportunityDetail/Index?noticeUID=CO1.NTC.3858626&amp;isFromPublicArea=True&amp;isModal=true&amp;asPopupView=true</t>
  </si>
  <si>
    <t>OPSP-VAD-0119-2023</t>
  </si>
  <si>
    <t>JAIME FRANCISCO LLANOS ESCOBAR</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</si>
  <si>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</si>
  <si>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https://community.secop.gov.co/Public/Tendering/OpportunityDetail/Index?noticeUID=CO1.NTC.3858627&amp;isFromPublicArea=True&amp;isModal=true&amp;asPopupView=true</t>
  </si>
  <si>
    <t>OPSP-VAD-0120-2023</t>
  </si>
  <si>
    <t>ALEX YAIR GUTIERREZ BARRIOS</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</si>
  <si>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</si>
  <si>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https://community.secop.gov.co/Public/Tendering/OpportunityDetail/Index?noticeUID=CO1.NTC.3883383&amp;isFromPublicArea=True&amp;isModal=true&amp;asPopupView=true</t>
  </si>
  <si>
    <t>OPSP-VAD-0121-2023</t>
  </si>
  <si>
    <t>ALVARO JAVIER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</si>
  <si>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</si>
  <si>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https://community.secop.gov.co/Public/Tendering/OpportunityDetail/Index?noticeUID=CO1.NTC.3883715&amp;isFromPublicArea=True&amp;isModal=true&amp;asPopupView=true</t>
  </si>
  <si>
    <t>OPSP-VAD-0122-2023</t>
  </si>
  <si>
    <t>ALVARO JOSE VITTORINO ZUÑIGA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</si>
  <si>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</si>
  <si>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https://community.secop.gov.co/Public/Tendering/OpportunityDetail/Index?noticeUID=CO1.NTC.3883387&amp;isFromPublicArea=True&amp;isModal=true&amp;asPopupView=true</t>
  </si>
  <si>
    <t>OAG-VAD-0123-2023</t>
  </si>
  <si>
    <t>AMANDA ESTER MOJICA CUETO</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</si>
  <si>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</si>
  <si>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https://community.secop.gov.co/Public/Tendering/OpportunityDetail/Index?noticeUID=CO1.NTC.3883389&amp;isFromPublicArea=True&amp;isModal=true&amp;asPopupView=true</t>
  </si>
  <si>
    <t>OAG-VAD-0124-2023</t>
  </si>
  <si>
    <t>ANA ISABEL VALERA GUERRERO</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</si>
  <si>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</si>
  <si>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 xml:space="preserve">ROSMERY DEVIA </t>
  </si>
  <si>
    <t>https://community.secop.gov.co/Public/Tendering/OpportunityDetail/Index?noticeUID=CO1.NTC.3883391&amp;isFromPublicArea=True&amp;isModal=true&amp;asPopupView=true</t>
  </si>
  <si>
    <t>OAG-VAD-0125-2023</t>
  </si>
  <si>
    <t>ANA KARINA DEL MAR OBREDOR GARCIA</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</si>
  <si>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</si>
  <si>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https://community.secop.gov.co/Public/Tendering/OpportunityDetail/Index?noticeUID=CO1.NTC.3883393&amp;isFromPublicArea=True&amp;isModal=true&amp;asPopupView=true</t>
  </si>
  <si>
    <t>OAG-VAD-0126-2023</t>
  </si>
  <si>
    <t>ANDREA CAROLINA PEREA MOLINA</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</si>
  <si>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</si>
  <si>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https://community.secop.gov.co/Public/Tendering/OpportunityDetail/Index?noticeUID=CO1.NTC.3883719&amp;isFromPublicArea=True&amp;isModal=true&amp;asPopupView=true</t>
  </si>
  <si>
    <t>OAG-VAD-0127-2023</t>
  </si>
  <si>
    <t>ANDRES FELIPE MEJIA QUINTERO</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</si>
  <si>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</si>
  <si>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DEWARD LOPEZ MORGAN</t>
  </si>
  <si>
    <t>https://community.secop.gov.co/Public/Tendering/OpportunityDetail/Index?noticeUID=CO1.NTC.3883720&amp;isFromPublicArea=True&amp;isModal=true&amp;asPopupView=true</t>
  </si>
  <si>
    <t>OPSP-VAD-0128-2023</t>
  </si>
  <si>
    <t>ANDY  JOSE GUERRA CORREDOR</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</si>
  <si>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</si>
  <si>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https://community.secop.gov.co/Public/Tendering/OpportunityDetail/Index?noticeUID=CO1.NTC.3883722&amp;isFromPublicArea=True&amp;isModal=true&amp;asPopupView=true</t>
  </si>
  <si>
    <t>OPSP-VAD-0129-2023</t>
  </si>
  <si>
    <t>ARMANDO YUNIOR POLO PAZ</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</si>
  <si>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</si>
  <si>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https://community.secop.gov.co/Public/Tendering/OpportunityDetail/Index?noticeUID=CO1.NTC.3883400&amp;isFromPublicArea=True&amp;isModal=true&amp;asPopupView=true</t>
  </si>
  <si>
    <t>OAG-VAD-0130-2023</t>
  </si>
  <si>
    <t>BLEIDIS SULAYS ACOSTA PALACIO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</si>
  <si>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</si>
  <si>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ROSALIA LIA BUSTILLO VERBEL</t>
  </si>
  <si>
    <t>https://community.secop.gov.co/Public/Tendering/OpportunityDetail/Index?noticeUID=CO1.NTC.3883724&amp;isFromPublicArea=True&amp;isModal=true&amp;asPopupView=true</t>
  </si>
  <si>
    <t>OAG-VAD-0131-2023</t>
  </si>
  <si>
    <t>CARLOS ALFONSO RIVAS CABALLERO</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</si>
  <si>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</si>
  <si>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LUZ MARINA VIVES LACOUTURE</t>
  </si>
  <si>
    <t>https://community.secop.gov.co/Public/Tendering/OpportunityDetail/Index?noticeUID=CO1.NTC.3883726&amp;isFromPublicArea=True&amp;isModal=true&amp;asPopupView=true</t>
  </si>
  <si>
    <t>OPSP-VAD-0132-2023</t>
  </si>
  <si>
    <t>CARLOS MIGUEL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</si>
  <si>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</si>
  <si>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https://community.secop.gov.co/Public/Tendering/OpportunityDetail/Index?noticeUID=CO1.NTC.3883727&amp;isFromPublicArea=True&amp;isModal=true&amp;asPopupView=true</t>
  </si>
  <si>
    <t>OPSP-VAD-0133-2023</t>
  </si>
  <si>
    <t>CLARA INES LACOUTURE BAYENA</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</si>
  <si>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</si>
  <si>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ALBERTO RUIZ MIER</t>
  </si>
  <si>
    <t>https://community.secop.gov.co/Public/Tendering/OpportunityDetail/Index?noticeUID=CO1.NTC.3883728&amp;isFromPublicArea=True&amp;isModal=true&amp;asPopupView=true</t>
  </si>
  <si>
    <t>OPSP-VAD-0134-2023</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</si>
  <si>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</si>
  <si>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</si>
  <si>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https://community.secop.gov.co/Public/Tendering/OpportunityDetail/Index?noticeUID=CO1.NTC.3883729&amp;isFromPublicArea=True&amp;isModal=true&amp;asPopupView=true</t>
  </si>
  <si>
    <t>OPSP-VAD-0135-2023</t>
  </si>
  <si>
    <t>CRISTIAN ALEXIS ORTIZ BERMUDEZ</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</si>
  <si>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</si>
  <si>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https://community.secop.gov.co/Public/Tendering/OpportunityDetail/Index?noticeUID=CO1.NTC.3883730&amp;isFromPublicArea=True&amp;isModal=true&amp;asPopupView=true</t>
  </si>
  <si>
    <t>OPSP-VAD-0136-2023</t>
  </si>
  <si>
    <t>DANIELA ANDREA SOLANO DIAZ</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</si>
  <si>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</si>
  <si>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https://community.secop.gov.co/Public/Tendering/OpportunityDetail/Index?noticeUID=CO1.NTC.3883732&amp;isFromPublicArea=True&amp;isModal=true&amp;asPopupView=true</t>
  </si>
  <si>
    <t>OPSP-VAD-0137-2023</t>
  </si>
  <si>
    <t>EDGARDO RAFAEL QUINTERO GUERRA</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</si>
  <si>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</si>
  <si>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https://community.secop.gov.co/Public/Tendering/OpportunityDetail/Index?noticeUID=CO1.NTC.3883563&amp;isFromPublicArea=True&amp;isModal=true&amp;asPopupView=true</t>
  </si>
  <si>
    <t>OPSP-VAD-0138-2023</t>
  </si>
  <si>
    <t>ELIANA MARGARITA GARCIA LOPEZ</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</si>
  <si>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</si>
  <si>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https://community.secop.gov.co/Public/Tendering/OpportunityDetail/Index?noticeUID=CO1.NTC.3883915&amp;isFromPublicArea=True&amp;isModal=true&amp;asPopupView=true</t>
  </si>
  <si>
    <t>OPSP-VAD-0139-2023</t>
  </si>
  <si>
    <t>ELKIN DE JESUS VELASQUEZ POLO</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</si>
  <si>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</si>
  <si>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https://community.secop.gov.co/Public/Tendering/OpportunityDetail/Index?noticeUID=CO1.NTC.3883566&amp;isFromPublicArea=True&amp;isModal=true&amp;asPopupView=true</t>
  </si>
  <si>
    <t>OAG-VAD-0140-2023</t>
  </si>
  <si>
    <t>ENDER SABEDIT HUERTAS ROBLES</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</si>
  <si>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</si>
  <si>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https://community.secop.gov.co/Public/Tendering/OpportunityDetail/Index?noticeUID=CO1.NTC.3883918&amp;isFromPublicArea=True&amp;isModal=true&amp;asPopupView=true</t>
  </si>
  <si>
    <t>OPSP-VAD-0141-2023</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</si>
  <si>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</si>
  <si>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https://community.secop.gov.co/Public/Tendering/OpportunityDetail/Index?noticeUID=CO1.NTC.3883569&amp;isFromPublicArea=True&amp;isModal=true&amp;asPopupView=true</t>
  </si>
  <si>
    <t>OAG-VAD-0142-2023</t>
  </si>
  <si>
    <t>EVERT SEGUNDO CHARRIS GRANADOS</t>
  </si>
  <si>
    <t>https://community.secop.gov.co/Public/Tendering/OpportunityDetail/Index?noticeUID=CO1.NTC.3883920&amp;isFromPublicArea=True&amp;isModal=true&amp;asPopupView=true</t>
  </si>
  <si>
    <t>OPSP-VAD-0143-2023</t>
  </si>
  <si>
    <t>FABIO ANDRES FERNANDEZ PINTO</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</si>
  <si>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</si>
  <si>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https://community.secop.gov.co/Public/Tendering/OpportunityDetail/Index?noticeUID=CO1.NTC.3883834&amp;isFromPublicArea=True&amp;isModal=true&amp;asPopupView=true</t>
  </si>
  <si>
    <t>OAG-VAD-0144-2023</t>
  </si>
  <si>
    <t>FANNEDIS FERNANDEZ JARABA</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</si>
  <si>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</si>
  <si>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https://community.secop.gov.co/Public/Tendering/OpportunityDetail/Index?noticeUID=CO1.NTC.3883835&amp;isFromPublicArea=True&amp;isModal=true&amp;asPopupView=true</t>
  </si>
  <si>
    <t>OPSP-VAD-0145-2023</t>
  </si>
  <si>
    <t>FELIX ARTURO LOBO CASTRO</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</si>
  <si>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</si>
  <si>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https://community.secop.gov.co/Public/Tendering/OpportunityDetail/Index?noticeUID=CO1.NTC.3883836&amp;isFromPublicArea=True&amp;isModal=true&amp;asPopupView=true</t>
  </si>
  <si>
    <t>OPSP-VAD-0146-2023</t>
  </si>
  <si>
    <t>FLAVIA KALINA MARRIAGA OLIVEROS</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</si>
  <si>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</si>
  <si>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https://community.secop.gov.co/Public/Tendering/OpportunityDetail/Index?noticeUID=CO1.NTC.3883837&amp;isFromPublicArea=True&amp;isModal=true&amp;asPopupView=true</t>
  </si>
  <si>
    <t>OAG-VAD-0147-2023</t>
  </si>
  <si>
    <t>GLORIA INES FLOREZ FONTALVO</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</si>
  <si>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</si>
  <si>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https://community.secop.gov.co/Public/Tendering/OpportunityDetail/Index?noticeUID=CO1.NTC.3883838&amp;isFromPublicArea=True&amp;isModal=true&amp;asPopupView=true</t>
  </si>
  <si>
    <t>OPSP-VAD-0148-2023</t>
  </si>
  <si>
    <t>GUSTAVO ANTONIO MUÑOZ CONTRERAS</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</si>
  <si>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</si>
  <si>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 xml:space="preserve">JESÚS SUESCÚN ARREGOCÉS </t>
  </si>
  <si>
    <t>https://community.secop.gov.co/Public/Tendering/OpportunityDetail/Index?noticeUID=CO1.NTC.3883839&amp;isFromPublicArea=True&amp;isModal=true&amp;asPopupView=true</t>
  </si>
  <si>
    <t>OAG-VAD-0149-2023</t>
  </si>
  <si>
    <t>HECTOR MARIO MOLINA RODRIGUEZ</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</si>
  <si>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</si>
  <si>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https://community.secop.gov.co/Public/Tendering/OpportunityDetail/Index?noticeUID=CO1.NTC.3883841&amp;isFromPublicArea=True&amp;isModal=true&amp;asPopupView=true</t>
  </si>
  <si>
    <t>OAG-VAD-0150-2023</t>
  </si>
  <si>
    <t>HERNANDO JUNIOR BRAVO LLANOS</t>
  </si>
  <si>
    <t>https://community.secop.gov.co/Public/Tendering/OpportunityDetail/Index?noticeUID=CO1.NTC.3883842&amp;isFromPublicArea=True&amp;isModal=true&amp;asPopupView=true</t>
  </si>
  <si>
    <t>OPSP-VAD-0151-2023</t>
  </si>
  <si>
    <t>ISAAC DE JESUS PALACIO FRIAS</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</si>
  <si>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</si>
  <si>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https://community.secop.gov.co/Public/Tendering/OpportunityDetail/Index?noticeUID=CO1.NTC.3883843&amp;isFromPublicArea=True&amp;isModal=true&amp;asPopupView=true</t>
  </si>
  <si>
    <t>OPSP-VAD-0152-2023</t>
  </si>
  <si>
    <t>ISABEL ROSARIO CASTAÑEDA DE CHARRIS</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</si>
  <si>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</si>
  <si>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https://community.secop.gov.co/Public/Tendering/OpportunityDetail/Index?noticeUID=CO1.NTC.3883844&amp;isFromPublicArea=True&amp;isModal=true&amp;asPopupView=true</t>
  </si>
  <si>
    <t>OAG-VAD-0153-2023</t>
  </si>
  <si>
    <t>JEEZETH MILENA PERTUZ TAIBEL</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</si>
  <si>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</si>
  <si>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https://community.secop.gov.co/Public/Tendering/OpportunityDetail/Index?noticeUID=CO1.NTC.3883845&amp;isFromPublicArea=True&amp;isModal=true&amp;asPopupView=true</t>
  </si>
  <si>
    <t>OPSP-VAD-0154-2023</t>
  </si>
  <si>
    <t>JENNY FERNANDA TORRES BRAVO</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</si>
  <si>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</si>
  <si>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https://community.secop.gov.co/Public/Tendering/OpportunityDetail/Index?noticeUID=CO1.NTC.3883846&amp;isFromPublicArea=True&amp;isModal=true&amp;asPopupView=true</t>
  </si>
  <si>
    <t>OPSP-VAD-0155-2023</t>
  </si>
  <si>
    <t>JOHAN DAVID OLAYA MERCADO</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</si>
  <si>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</si>
  <si>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https://community.secop.gov.co/Public/Tendering/OpportunityDetail/Index?noticeUID=CO1.NTC.3883847&amp;isFromPublicArea=True&amp;isModal=true&amp;asPopupView=true</t>
  </si>
  <si>
    <t>OAG-VAD-0156-2023</t>
  </si>
  <si>
    <t>JOHN JAIRO DIAZ RINCON</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</si>
  <si>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</si>
  <si>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https://community.secop.gov.co/Public/Tendering/OpportunityDetail/Index?noticeUID=CO1.NTC.3883848&amp;isFromPublicArea=True&amp;isModal=true&amp;asPopupView=true</t>
  </si>
  <si>
    <t>OPSP-VAD-0157-2023</t>
  </si>
  <si>
    <t>JUAN CARLOS BERNIER TAPIA</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</si>
  <si>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</si>
  <si>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https://community.secop.gov.co/Public/Tendering/OpportunityDetail/Index?noticeUID=CO1.NTC.3883849&amp;isFromPublicArea=True&amp;isModal=true&amp;asPopupView=true</t>
  </si>
  <si>
    <t>OAG-VAD-0158-2023</t>
  </si>
  <si>
    <t>LEONARDO DE JESUS LIÑAN MARQUEZ</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</si>
  <si>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</si>
  <si>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https://community.secop.gov.co/Public/Tendering/OpportunityDetail/Index?noticeUID=CO1.NTC.3883850&amp;isFromPublicArea=True&amp;isModal=true&amp;asPopupView=true</t>
  </si>
  <si>
    <t>OPSP-VAD-0159-2023</t>
  </si>
  <si>
    <t>LEYDI CLARET PATIÑO AFANADOR</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</si>
  <si>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</si>
  <si>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https://community.secop.gov.co/Public/Tendering/OpportunityDetail/Index?noticeUID=CO1.NTC.3883851&amp;isFromPublicArea=True&amp;isModal=true&amp;asPopupView=true</t>
  </si>
  <si>
    <t>OPSP-VAD-0160-2023</t>
  </si>
  <si>
    <t>LIANA PATRICIA MACHADO SANABRIA</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</si>
  <si>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</si>
  <si>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https://community.secop.gov.co/Public/Tendering/OpportunityDetail/Index?noticeUID=CO1.NTC.3883530&amp;isFromPublicArea=True&amp;isModal=true&amp;asPopupView=true</t>
  </si>
  <si>
    <t>OPSP-VAD-0161-2023</t>
  </si>
  <si>
    <t>LORENNI JOHANA AMAYA ZUÑIGA</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</si>
  <si>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</si>
  <si>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https://community.secop.gov.co/Public/Tendering/OpportunityDetail/Index?noticeUID=CO1.NTC.3883532&amp;isFromPublicArea=True&amp;isModal=true&amp;asPopupView=true</t>
  </si>
  <si>
    <t>OPSP-VAD-0162-2023</t>
  </si>
  <si>
    <t>LUIS ALBERTO AARON VILORIA</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</si>
  <si>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</si>
  <si>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https://community.secop.gov.co/Public/Tendering/OpportunityDetail/Index?noticeUID=CO1.NTC.3883534&amp;isFromPublicArea=True&amp;isModal=true&amp;asPopupView=true</t>
  </si>
  <si>
    <t>OPSP-VAD-0163-2023</t>
  </si>
  <si>
    <t>LUIS FELIPE FUENTES MONTES</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</si>
  <si>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</si>
  <si>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https://community.secop.gov.co/Public/Tendering/OpportunityDetail/Index?noticeUID=CO1.NTC.3883538&amp;isFromPublicArea=True&amp;isModal=true&amp;asPopupView=true</t>
  </si>
  <si>
    <t>OAG-VAD-0164-2023</t>
  </si>
  <si>
    <t>MARIA CONCEPCION PINEDO MURGAS</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</si>
  <si>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</si>
  <si>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https://community.secop.gov.co/Public/Tendering/OpportunityDetail/Index?noticeUID=CO1.NTC.3883543&amp;isFromPublicArea=True&amp;isModal=true&amp;asPopupView=true</t>
  </si>
  <si>
    <t>OAG-VAD-0165-2023</t>
  </si>
  <si>
    <t>MARIA DE JESUS GALINDO VILLALOBOS</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</si>
  <si>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</si>
  <si>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https://community.secop.gov.co/Public/Tendering/OpportunityDetail/Index?noticeUID=CO1.NTC.3883388&amp;isFromPublicArea=True&amp;isModal=true&amp;asPopupView=true</t>
  </si>
  <si>
    <t>OPSP-VAD-0166-2023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</si>
  <si>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</si>
  <si>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</si>
  <si>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https://community.secop.gov.co/Public/Tendering/OpportunityDetail/Index?noticeUID=CO1.NTC.3883390&amp;isFromPublicArea=True&amp;isModal=true&amp;asPopupView=true</t>
  </si>
  <si>
    <t>OPSP-VAD-0167-2023</t>
  </si>
  <si>
    <t>MARIA JOSE MEYER MUGNO</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</si>
  <si>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</si>
  <si>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https://community.secop.gov.co/Public/Tendering/OpportunityDetail/Index?noticeUID=CO1.NTC.3883398&amp;isFromPublicArea=True&amp;isModal=true&amp;asPopupView=true</t>
  </si>
  <si>
    <t>OPSP-VAD-0168-2023</t>
  </si>
  <si>
    <t>MARIELA FERMINA DE LA OSSA DE MERCADO</t>
  </si>
  <si>
    <t>https://community.secop.gov.co/Public/Tendering/OpportunityDetail/Index?noticeUID=CO1.NTC.3883396&amp;isFromPublicArea=True&amp;isModal=true&amp;asPopupView=true</t>
  </si>
  <si>
    <t>OAG-VAD-0169-2023</t>
  </si>
  <si>
    <t>MARIO ANDRES NAVARRO TANO</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</si>
  <si>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</si>
  <si>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https://community.secop.gov.co/Public/Tendering/OpportunityDetail/Index?noticeUID=CO1.NTC.3883549&amp;isFromPublicArea=True&amp;isModal=true&amp;asPopupView=true</t>
  </si>
  <si>
    <t>OPSP-VAD-0170-2023</t>
  </si>
  <si>
    <t>MARLA LUCIA MAESTRE MEYER</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</si>
  <si>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</si>
  <si>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CARLOS CORONADO VARGAS</t>
  </si>
  <si>
    <t>https://community.secop.gov.co/Public/Tendering/OpportunityDetail/Index?noticeUID=CO1.NTC.3883902&amp;isFromPublicArea=True&amp;isModal=true&amp;asPopupView=true</t>
  </si>
  <si>
    <t>OPSP-VAD-0171-2023</t>
  </si>
  <si>
    <t>MARTA CRISTINA MEJIA SANCHEZ</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</si>
  <si>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</si>
  <si>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https://community.secop.gov.co/Public/Tendering/OpportunityDetail/Index?noticeUID=CO1.NTC.3883813&amp;isFromPublicArea=True&amp;isModal=true&amp;asPopupView=true</t>
  </si>
  <si>
    <t>OAG-VAD-0172-2023</t>
  </si>
  <si>
    <t>MAXIMILIANO GARCIA TEJEDA</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</si>
  <si>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</si>
  <si>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https://community.secop.gov.co/Public/Tendering/OpportunityDetail/Index?noticeUID=CO1.NTC.3883612&amp;isFromPublicArea=True&amp;isModal=true&amp;asPopupView=true</t>
  </si>
  <si>
    <t>OPSP-VAD-0173-2023</t>
  </si>
  <si>
    <t>MIGUEL MARIANO TORRALVO PUERTA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</si>
  <si>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</si>
  <si>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https://community.secop.gov.co/Public/Tendering/OpportunityDetail/Index?noticeUID=CO1.NTC.3883814&amp;isFromPublicArea=True&amp;isModal=true&amp;asPopupView=true</t>
  </si>
  <si>
    <t>OPSP-VAD-0174-2023</t>
  </si>
  <si>
    <t>MILAGROS KAROLINA ALVARADO AVENDAÑO</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</si>
  <si>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</si>
  <si>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https://community.secop.gov.co/Public/Tendering/OpportunityDetail/Index?noticeUID=CO1.NTC.3883819&amp;isFromPublicArea=True&amp;isModal=true&amp;asPopupView=true</t>
  </si>
  <si>
    <t>OAG-VAD-0175-2023</t>
  </si>
  <si>
    <t>MILENA PATRICIA TOVAR LUNA</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</si>
  <si>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</si>
  <si>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https://community.secop.gov.co/Public/Tendering/OpportunityDetail/Index?noticeUID=CO1.NTC.3883821&amp;isFromPublicArea=True&amp;isModal=true&amp;asPopupView=true</t>
  </si>
  <si>
    <t>OAG-VAD-0176-2023</t>
  </si>
  <si>
    <t>MONICA MARINA POSADA GUTIERREZ</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</si>
  <si>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</si>
  <si>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https://community.secop.gov.co/Public/Tendering/OpportunityDetail/Index?noticeUID=CO1.NTC.3883731&amp;isFromPublicArea=True&amp;isModal=true&amp;asPopupView=true</t>
  </si>
  <si>
    <t>OPSP-VAD-0177-2023</t>
  </si>
  <si>
    <t>NATALIA RUIZ CAPATAZ</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</si>
  <si>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</si>
  <si>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https://community.secop.gov.co/Public/Tendering/OpportunityDetail/Index?noticeUID=CO1.NTC.3883734&amp;isFromPublicArea=True&amp;isModal=true&amp;asPopupView=true</t>
  </si>
  <si>
    <t>OAG-VAD-0178-2023</t>
  </si>
  <si>
    <t>NEVIN ANDRES ROSADO VILLEGAS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</si>
  <si>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</si>
  <si>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https://community.secop.gov.co/Public/Tendering/OpportunityDetail/Index?noticeUID=CO1.NTC.3883828&amp;isFromPublicArea=True&amp;isModal=true&amp;asPopupView=true</t>
  </si>
  <si>
    <t>OAG-VAD-0179-2023</t>
  </si>
  <si>
    <t>RAFAEL ALBERTO SANCHEZ OVIEDO</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</si>
  <si>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</si>
  <si>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https://community.secop.gov.co/Public/Tendering/OpportunityDetail/Index?noticeUID=CO1.NTC.3883735&amp;isFromPublicArea=True&amp;isModal=true&amp;asPopupView=true</t>
  </si>
  <si>
    <t>OPSP-VAD-0180-2023</t>
  </si>
  <si>
    <t>RICARDO JAVIER PUPO DIAZ</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</si>
  <si>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</si>
  <si>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https://community.secop.gov.co/Public/Tendering/OpportunityDetail/Index?noticeUID=CO1.NTC.3883830&amp;isFromPublicArea=True&amp;isModal=true&amp;asPopupView=true</t>
  </si>
  <si>
    <t>OPSP-VAD-0181-2023</t>
  </si>
  <si>
    <t>RICARDO JOSE ABELLO ZORRO</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</si>
  <si>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</si>
  <si>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https://community.secop.gov.co/Public/Tendering/OpportunityDetail/Index?noticeUID=CO1.NTC.3883736&amp;isFromPublicArea=True&amp;isModal=true&amp;asPopupView=true</t>
  </si>
  <si>
    <t>OPSP-VAD-0182-2023</t>
  </si>
  <si>
    <t>ROSA PAULINA CEBALLOS RIASCOS</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</si>
  <si>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</si>
  <si>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https://community.secop.gov.co/Public/Tendering/OpportunityDetail/Index?noticeUID=CO1.NTC.3883738&amp;isFromPublicArea=True&amp;isModal=true&amp;asPopupView=true</t>
  </si>
  <si>
    <t>OAG-VAD-0183-2023</t>
  </si>
  <si>
    <t>ROSALBA ESTHER JIMENEZ MOSS</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</si>
  <si>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</si>
  <si>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https://community.secop.gov.co/Public/Tendering/OpportunityDetail/Index?noticeUID=CO1.NTC.3883743&amp;isFromPublicArea=True&amp;isModal=true&amp;asPopupView=true</t>
  </si>
  <si>
    <t>OPSP-VAD-0184-2023</t>
  </si>
  <si>
    <t>ROSEMBER EMILIO RIVADENEIRA BERMUDEZ</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</si>
  <si>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</si>
  <si>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https://community.secop.gov.co/Public/Tendering/OpportunityDetail/Index?noticeUID=CO1.NTC.3883741&amp;isFromPublicArea=True&amp;isModal=true&amp;asPopupView=true</t>
  </si>
  <si>
    <t>OAG-VAD-0185-2023</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</si>
  <si>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</si>
  <si>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https://community.secop.gov.co/Public/Tendering/OpportunityDetail/Index?noticeUID=CO1.NTC.3883744&amp;isFromPublicArea=True&amp;isModal=true&amp;asPopupView=true</t>
  </si>
  <si>
    <t>OPSP-VAD-0186-2023</t>
  </si>
  <si>
    <t>TATIANA ISABEL ZUÑIGA YEPES</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</si>
  <si>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</si>
  <si>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https://community.secop.gov.co/Public/Tendering/OpportunityDetail/Index?noticeUID=CO1.NTC.3883746&amp;isFromPublicArea=True&amp;isModal=true&amp;asPopupView=true</t>
  </si>
  <si>
    <t>OPSP-VAD-0187-2023</t>
  </si>
  <si>
    <t>TULIA ROSA VALVERDE NUÑEZ</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</si>
  <si>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</si>
  <si>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https://community.secop.gov.co/Public/Tendering/OpportunityDetail/Index?noticeUID=CO1.NTC.3883749&amp;isFromPublicArea=True&amp;isModal=true&amp;asPopupView=true</t>
  </si>
  <si>
    <t>OPSP-VAD-0188-2023</t>
  </si>
  <si>
    <t>WILFREN PACHECO BOBADILLA</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</si>
  <si>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</si>
  <si>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https://community.secop.gov.co/Public/Tendering/OpportunityDetail/Index?noticeUID=CO1.NTC.3883750&amp;isFromPublicArea=True&amp;isModal=true&amp;asPopupView=true</t>
  </si>
  <si>
    <t>OPSP-VAD-0189-2023</t>
  </si>
  <si>
    <t>WILLIGTON ALEXANDER MAIGUEL GOENAGA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</si>
  <si>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</si>
  <si>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https://community.secop.gov.co/Public/Tendering/OpportunityDetail/Index?noticeUID=CO1.NTC.3884408&amp;isFromPublicArea=True&amp;isModal=true&amp;asPopupView=true</t>
  </si>
  <si>
    <t>OAG-VAD-0190-2023</t>
  </si>
  <si>
    <t>YARAIMA LIBETH GUERRERO FAJARDO</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</si>
  <si>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</si>
  <si>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https://community.secop.gov.co/Public/Tendering/OpportunityDetail/Index?noticeUID=CO1.NTC.3884410&amp;isFromPublicArea=True&amp;isModal=true&amp;asPopupView=true</t>
  </si>
  <si>
    <t>OAG-VAD-0191-2023</t>
  </si>
  <si>
    <t>YILIAN ELIANA ARAUJO BARRERA</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</si>
  <si>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</si>
  <si>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https://community.secop.gov.co/Public/Tendering/OpportunityDetail/Index?noticeUID=CO1.NTC.3884412&amp;isFromPublicArea=True&amp;isModal=true&amp;asPopupView=true</t>
  </si>
  <si>
    <t>OPSP-VAD-0192-2023</t>
  </si>
  <si>
    <t>MAYERLIS PATRICIA PEREA CHAVEZ</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</si>
  <si>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</si>
  <si>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https://community.secop.gov.co/Public/Tendering/OpportunityDetail/Index?noticeUID=CO1.NTC.3884416&amp;isFromPublicArea=True&amp;isModal=true&amp;asPopupView=true</t>
  </si>
  <si>
    <t>OPSP-VAD-0193-2023</t>
  </si>
  <si>
    <t>ANA MARIA CARDONA HERNANDEZ</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</si>
  <si>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</si>
  <si>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CARLOS ANDRES CAMACHO SERGE</t>
  </si>
  <si>
    <t>https://community.secop.gov.co/Public/Tendering/OpportunityDetail/Index?noticeUID=CO1.NTC.3884426&amp;isFromPublicArea=True&amp;isModal=true&amp;asPopupView=true</t>
  </si>
  <si>
    <t>OPSP-VAD-0194-2023</t>
  </si>
  <si>
    <t xml:space="preserve">ANGELA VANESSA IBARRA BOLAÑOS </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</si>
  <si>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</si>
  <si>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https://community.secop.gov.co/Public/Tendering/OpportunityDetail/Index?noticeUID=CO1.NTC.3884868&amp;isFromPublicArea=True&amp;isModal=true&amp;asPopupView=true</t>
  </si>
  <si>
    <t>OPSP-VAD-0195-2023</t>
  </si>
  <si>
    <t xml:space="preserve">CARLOS MARIO VILORIA CALABRIA </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</si>
  <si>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</si>
  <si>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JEAN ROGELIO LINERO CUENTO</t>
  </si>
  <si>
    <t>https://community.secop.gov.co/Public/Tendering/OpportunityDetail/Index?noticeUID=CO1.NTC.3885093&amp;isFromPublicArea=True&amp;isModal=true&amp;asPopupView=true</t>
  </si>
  <si>
    <t>OPSP-VAD-0196-2023</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</si>
  <si>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</si>
  <si>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https://community.secop.gov.co/Public/Tendering/OpportunityDetail/Index?noticeUID=CO1.NTC.3885515&amp;isFromPublicArea=True&amp;isModal=true&amp;asPopupView=true</t>
  </si>
  <si>
    <t>OPSP-VAD-0197-2023</t>
  </si>
  <si>
    <t>ELIANA RAQUEL CASTELLANOS BOTTO</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</si>
  <si>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</si>
  <si>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https://community.secop.gov.co/Public/Tendering/OpportunityDetail/Index?noticeUID=CO1.NTC.3885474&amp;isFromPublicArea=True&amp;isModal=true&amp;asPopupView=true</t>
  </si>
  <si>
    <t>OPSP-VAD-0198-2023</t>
  </si>
  <si>
    <t>IVAN ROMARIO RODRIGUEZ GOMEZ</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</si>
  <si>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</si>
  <si>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ALFA SIELO JAIMES SILVA</t>
  </si>
  <si>
    <t>https://community.secop.gov.co/Public/Tendering/OpportunityDetail/Index?noticeUID=CO1.NTC.3885579&amp;isFromPublicArea=True&amp;isModal=true&amp;asPopupView=true</t>
  </si>
  <si>
    <t>OPSP-VAD-0199-2023</t>
  </si>
  <si>
    <t>JESUS DAVID MIRANDA CORRALES</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</si>
  <si>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</si>
  <si>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https://community.secop.gov.co/Public/Tendering/OpportunityDetail/Index?noticeUID=CO1.NTC.3886143&amp;isFromPublicArea=True&amp;isModal=true&amp;asPopupView=true</t>
  </si>
  <si>
    <t>OPSP-VAD-0200-2023</t>
  </si>
  <si>
    <t>MARIA ALEJANDRA TABORDA DE LA HOZ</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</si>
  <si>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</si>
  <si>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https://community.secop.gov.co/Public/Tendering/OpportunityDetail/Index?noticeUID=CO1.NTC.3886171&amp;isFromPublicArea=True&amp;isModal=true&amp;asPopupView=true</t>
  </si>
  <si>
    <t>OPSP-VAD-0201-2023</t>
  </si>
  <si>
    <t>MARIA FERNANDA HERNANDEZ POMARES</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</si>
  <si>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</si>
  <si>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https://community.secop.gov.co/Public/Tendering/OpportunityDetail/Index?noticeUID=CO1.NTC.3886409&amp;isFromPublicArea=True&amp;isModal=true&amp;asPopupView=true</t>
  </si>
  <si>
    <t>OPSP-VAD-0202-2023</t>
  </si>
  <si>
    <t>https://community.secop.gov.co/Public/Tendering/OpportunityDetail/Index?noticeUID=CO1.NTC.3886456&amp;isFromPublicArea=True&amp;isModal=true&amp;asPopupView=true</t>
  </si>
  <si>
    <t>OAG-VAD-0203-2023</t>
  </si>
  <si>
    <t>OMAR ENRIQUE SEGURA ASCENCIO</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</si>
  <si>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</si>
  <si>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https://community.secop.gov.co/Public/Tendering/OpportunityDetail/Index?noticeUID=CO1.NTC.3886659&amp;isFromPublicArea=True&amp;isModal=true&amp;asPopupView=true</t>
  </si>
  <si>
    <t>OPSP-VAD-0204-2023</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</si>
  <si>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</si>
  <si>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https://community.secop.gov.co/Public/Tendering/OpportunityDetail/Index?noticeUID=CO1.NTC.3893351&amp;isFromPublicArea=True&amp;isModal=true&amp;asPopupView=true</t>
  </si>
  <si>
    <t>OAG-VAD-0205-2023</t>
  </si>
  <si>
    <t>BRIAN JOSE DE LEON MARQUEZ</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</si>
  <si>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</si>
  <si>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https://community.secop.gov.co/Public/Tendering/OpportunityDetail/Index?noticeUID=CO1.NTC.3893534&amp;isFromPublicArea=True&amp;isModal=true&amp;asPopupView=true</t>
  </si>
  <si>
    <t>OPSP-VAD-0206-2023</t>
  </si>
  <si>
    <t xml:space="preserve">CARLOS ANDRES PAEZ ROJAS </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</si>
  <si>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</si>
  <si>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https://community.secop.gov.co/Public/Tendering/OpportunityDetail/Index?noticeUID=CO1.NTC.3893622&amp;isFromPublicArea=True&amp;isModal=true&amp;asPopupView=true</t>
  </si>
  <si>
    <t>OPSP-VAD-0207-2023</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</si>
  <si>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</si>
  <si>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https://community.secop.gov.co/Public/Tendering/OpportunityDetail/Index?noticeUID=CO1.NTC.3893633&amp;isFromPublicArea=True&amp;isModal=true&amp;asPopupView=true</t>
  </si>
  <si>
    <t>OPSP-VAD-0208-2023</t>
  </si>
  <si>
    <t>KEVIN DAVID DAZA MONTENEGRO</t>
  </si>
  <si>
    <t>https://community.secop.gov.co/Public/Tendering/OpportunityDetail/Index?noticeUID=CO1.NTC.3893192&amp;isFromPublicArea=True&amp;isModal=true&amp;asPopupView=true</t>
  </si>
  <si>
    <t>OPSP-VAD-0209-2023</t>
  </si>
  <si>
    <t xml:space="preserve">MARIA MERCEDES PACHECO PACHECO </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</si>
  <si>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</si>
  <si>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https://community.secop.gov.co/Public/Tendering/OpportunityDetail/Index?noticeUID=CO1.NTC.3893195&amp;isFromPublicArea=True&amp;isModal=true&amp;asPopupView=true</t>
  </si>
  <si>
    <t>OPSP-VAD-0210-2023</t>
  </si>
  <si>
    <t>MARTHA CECILIA FRANCO PACHECO</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</si>
  <si>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</si>
  <si>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https://community.secop.gov.co/Public/Tendering/OpportunityDetail/Index?noticeUID=CO1.NTC.3893702&amp;isFromPublicArea=True&amp;isModal=true&amp;asPopupView=true</t>
  </si>
  <si>
    <t>OPSP-VAD-0211-2023</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</si>
  <si>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</si>
  <si>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https://community.secop.gov.co/Public/Tendering/OpportunityDetail/Index?noticeUID=CO1.NTC.3893563&amp;isFromPublicArea=True&amp;isModal=true&amp;asPopupView=true</t>
  </si>
  <si>
    <t>OPSP-VAD-0212-2023</t>
  </si>
  <si>
    <t>MONICA CANDELARIO MOROS</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</si>
  <si>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</si>
  <si>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https://community.secop.gov.co/Public/Tendering/OpportunityDetail/Index?noticeUID=CO1.NTC.3893564&amp;isFromPublicArea=True&amp;isModal=true&amp;asPopupView=true</t>
  </si>
  <si>
    <t>OPSP-VAD-0213-2023</t>
  </si>
  <si>
    <t>ANA MARIA SUAREZ ALVAREZ</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</si>
  <si>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</si>
  <si>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https://community.secop.gov.co/Public/Tendering/OpportunityDetail/Index?noticeUID=CO1.NTC.3893567&amp;isFromPublicArea=True&amp;isModal=true&amp;asPopupView=true</t>
  </si>
  <si>
    <t>OAG-VAD-0214-2023</t>
  </si>
  <si>
    <t>https://community.secop.gov.co/Public/Tendering/OpportunityDetail/Index?noticeUID=CO1.NTC.3893391&amp;isFromPublicArea=True&amp;isModal=true&amp;asPopupView=true</t>
  </si>
  <si>
    <t>OPSP-VAD-0215-2023</t>
  </si>
  <si>
    <t>DANIEL MARIA FERNANDEZ NORIEGA</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</si>
  <si>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</si>
  <si>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https://community.secop.gov.co/Public/Tendering/OpportunityDetail/Index?noticeUID=CO1.NTC.3893659&amp;isFromPublicArea=True&amp;isModal=true&amp;asPopupView=true</t>
  </si>
  <si>
    <t>OPSP-VAD-0216-2023</t>
  </si>
  <si>
    <t>DAYANIS ROBLES POLO</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</si>
  <si>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</si>
  <si>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https://community.secop.gov.co/Public/Tendering/OpportunityDetail/Index?noticeUID=CO1.NTC.3893666&amp;isFromPublicArea=True&amp;isModal=true&amp;asPopupView=true</t>
  </si>
  <si>
    <t>OAG-VAD-0217-2023</t>
  </si>
  <si>
    <t>FABIOLA DEL CARMEN ROSADO PERALTA</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</si>
  <si>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</si>
  <si>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https://community.secop.gov.co/Public/Tendering/OpportunityDetail/Index?noticeUID=CO1.NTC.3893676&amp;isFromPublicArea=True&amp;isModal=true&amp;asPopupView=true</t>
  </si>
  <si>
    <t>OAG-VAD-0218-2023</t>
  </si>
  <si>
    <t>HENDERSON ADOLFO VERGARA AHUMADA</t>
  </si>
  <si>
    <t xml:space="preserve">La presente orden tiene por objeto: 1. Apoyar en la grabación de imágenes y sonido para videos. 2. Apoyar en la realización de motion graphics 3. Apoyar en el diseño de piezas graficas para el proyecto. </t>
  </si>
  <si>
    <t>https://community.secop.gov.co/Public/Tendering/OpportunityDetail/Index?noticeUID=CO1.NTC.3893812&amp;isFromPublicArea=True&amp;isModal=true&amp;asPopupView=true</t>
  </si>
  <si>
    <t>OAG-VAD-0219-2023</t>
  </si>
  <si>
    <t>ISAAC MATEO CANTILLO GAMARRA</t>
  </si>
  <si>
    <t>https://community.secop.gov.co/Public/Tendering/OpportunityDetail/Index?noticeUID=CO1.NTC.3893682&amp;isFromPublicArea=True&amp;isModal=true&amp;asPopupView=true</t>
  </si>
  <si>
    <t>OAG-VAD-0220-2023</t>
  </si>
  <si>
    <t>JOHN JAIRO ROMERO LUNA</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</si>
  <si>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</si>
  <si>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https://community.secop.gov.co/Public/Tendering/OpportunityDetail/Index?noticeUID=CO1.NTC.3893690&amp;isFromPublicArea=True&amp;isModal=true&amp;asPopupView=true</t>
  </si>
  <si>
    <t>OPSP-VAD-0221-2023</t>
  </si>
  <si>
    <t>KATERINA ACOSTA MARTINEZ</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</si>
  <si>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</si>
  <si>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https://community.secop.gov.co/Public/Tendering/OpportunityDetail/Index?noticeUID=CO1.NTC.3893422&amp;isFromPublicArea=True&amp;isModal=true&amp;asPopupView=true</t>
  </si>
  <si>
    <t>OPSP-VAD-0222-2023</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</si>
  <si>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</si>
  <si>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</si>
  <si>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https://community.secop.gov.co/Public/Tendering/OpportunityDetail/Index?noticeUID=CO1.NTC.3893409&amp;isFromPublicArea=True&amp;isModal=true&amp;asPopupView=true</t>
  </si>
  <si>
    <t>OPSP-VAD-0223-2023</t>
  </si>
  <si>
    <t>LILIBETH OLIVEROS VILLANUEVA</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</si>
  <si>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</si>
  <si>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https://community.secop.gov.co/Public/Tendering/OpportunityDetail/Index?noticeUID=CO1.NTC.3893244&amp;isFromPublicArea=True&amp;isModal=true&amp;asPopupView=true</t>
  </si>
  <si>
    <t>OAG-VAD-0224-2023</t>
  </si>
  <si>
    <t>LILIBETH ESTHER FLOREZ DIAZ</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</si>
  <si>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</si>
  <si>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https://community.secop.gov.co/Public/Tendering/OpportunityDetail/Index?noticeUID=CO1.NTC.3893086&amp;isFromPublicArea=True&amp;isModal=true&amp;asPopupView=true</t>
  </si>
  <si>
    <t>OPSP-VAD-0225-2023</t>
  </si>
  <si>
    <t>MARIA DE LOS ANGELES ACOSTA MORA</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</si>
  <si>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</si>
  <si>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YANNIS MOSCOTE CASTILLO</t>
  </si>
  <si>
    <t>https://community.secop.gov.co/Public/Tendering/OpportunityDetail/Index?noticeUID=CO1.NTC.3893220&amp;isFromPublicArea=True&amp;isModal=true&amp;asPopupView=true</t>
  </si>
  <si>
    <t>OPSP-VAD-0226-2023</t>
  </si>
  <si>
    <t>MARIA ISABEL FERNANDEZ PINTO</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</si>
  <si>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</si>
  <si>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https://community.secop.gov.co/Public/Tendering/OpportunityDetail/Index?noticeUID=CO1.NTC.3892982&amp;isFromPublicArea=True&amp;isModal=true&amp;asPopupView=true</t>
  </si>
  <si>
    <t>OAG-VAD-0227-2023</t>
  </si>
  <si>
    <t>MARIA JOSE FUENTES ALVAREZ</t>
  </si>
  <si>
    <t xml:space="preserve">La presente orden tiene por objeto: 1. Apoyar en el montaje de imágenes para video. 2. Apoyar en la edición y postproducción de los materiales audiovisuales. </t>
  </si>
  <si>
    <t>https://community.secop.gov.co/Public/Tendering/OpportunityDetail/Index?noticeUID=CO1.NTC.3892893&amp;isFromPublicArea=True&amp;isModal=true&amp;asPopupView=true</t>
  </si>
  <si>
    <t>OPSP-VAD-0228-2023</t>
  </si>
  <si>
    <t>MARY DESIDERIA GARCIA VELASQUEZ</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</si>
  <si>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</si>
  <si>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https://community.secop.gov.co/Public/Tendering/OpportunityDetail/Index?noticeUID=CO1.NTC.3893052&amp;isFromPublicArea=True&amp;isModal=true&amp;asPopupView=true</t>
  </si>
  <si>
    <t>OAG-VAD-0229-2023</t>
  </si>
  <si>
    <t>OMAR DAVID DEAVILA MEJIA</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</si>
  <si>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</si>
  <si>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https://community.secop.gov.co/Public/Tendering/OpportunityDetail/Index?noticeUID=CO1.NTC.3892948&amp;isFromPublicArea=True&amp;isModal=true&amp;asPopupView=true</t>
  </si>
  <si>
    <t>OPSP-VAD-0230-2023</t>
  </si>
  <si>
    <t>RAISSA CARIME MURILLO DEMETRIO</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</si>
  <si>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</si>
  <si>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https://community.secop.gov.co/Public/Tendering/OpportunityDetail/Index?noticeUID=CO1.NTC.3893029&amp;isFromPublicArea=True&amp;isModal=true&amp;asPopupView=true</t>
  </si>
  <si>
    <t>OPSP-VAD-0231-2023</t>
  </si>
  <si>
    <t>RUTH ELENA NIETO BENJUMEA</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</si>
  <si>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</si>
  <si>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https://community.secop.gov.co/Public/Tendering/OpportunityDetail/Index?noticeUID=CO1.NTC.3892848&amp;isFromPublicArea=True&amp;isModal=true&amp;asPopupView=true</t>
  </si>
  <si>
    <t>OPSP-VAD-0232-2023</t>
  </si>
  <si>
    <t>WILSON TOMAS GARCIA MARTINEZ</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</si>
  <si>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</si>
  <si>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https://community.secop.gov.co/Public/Tendering/OpportunityDetail/Index?noticeUID=CO1.NTC.3892838&amp;isFromPublicArea=True&amp;isModal=true&amp;asPopupView=true</t>
  </si>
  <si>
    <t>OPSP-VAD-0233-2023</t>
  </si>
  <si>
    <t>ALISON DANIELA FONTALVO NAVARRO</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</si>
  <si>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</si>
  <si>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ADRIANO ISRAEL GUERRA</t>
  </si>
  <si>
    <t>https://community.secop.gov.co/Public/Tendering/OpportunityDetail/Index?noticeUID=CO1.NTC.3892763&amp;isFromPublicArea=True&amp;isModal=true&amp;asPopupView=true</t>
  </si>
  <si>
    <t>OAG-VAD-0234-2023</t>
  </si>
  <si>
    <t>GISSELL PAOLA CHIQUILLO MACIAS</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</si>
  <si>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</si>
  <si>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https://community.secop.gov.co/Public/Tendering/OpportunityDetail/Index?noticeUID=CO1.NTC.3892812&amp;isFromPublicArea=True&amp;isModal=true&amp;asPopupView=true</t>
  </si>
  <si>
    <t>OAG-VAD-0235-2023</t>
  </si>
  <si>
    <t>LUIS ANGEL ACOSTA MARTINEZ</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</si>
  <si>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</si>
  <si>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https://community.secop.gov.co/Public/Tendering/OpportunityDetail/Index?noticeUID=CO1.NTC.3892584&amp;isFromPublicArea=True&amp;isModal=true&amp;asPopupView=true</t>
  </si>
  <si>
    <t>OAG-VAD-0236-2023</t>
  </si>
  <si>
    <t>SANDRA MILENA AGUIRRE REDONDO </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</si>
  <si>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</si>
  <si>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https://community.secop.gov.co/Public/Tendering/OpportunityDetail/Index?noticeUID=CO1.NTC.3892640&amp;isFromPublicArea=True&amp;isModal=true&amp;asPopupView=true</t>
  </si>
  <si>
    <t>OPSP-VAD-0237-2023</t>
  </si>
  <si>
    <t xml:space="preserve">ANGELICA PATRICIA CARREÑO AGUIRRE </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</si>
  <si>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</si>
  <si>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https://community.secop.gov.co/Public/Tendering/OpportunityDetail/Index?noticeUID=CO1.NTC.3904564&amp;isFromPublicArea=True&amp;isModal=true&amp;asPopupView=true</t>
  </si>
  <si>
    <t>OPSP-VAD-0238-2023</t>
  </si>
  <si>
    <t>BERNARDO JOSE NOGUERA DIAZ GRANADOS</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</si>
  <si>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</si>
  <si>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JAIME ALBERTO MORON CARDENAS</t>
  </si>
  <si>
    <t>https://community.secop.gov.co/Public/Tendering/OpportunityDetail/Index?noticeUID=CO1.NTC.3904764&amp;isFromPublicArea=True&amp;isModal=true&amp;asPopupView=true</t>
  </si>
  <si>
    <t>OPSP-VAD-0239-2023</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</si>
  <si>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</si>
  <si>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https://community.secop.gov.co/Public/Tendering/OpportunityDetail/Index?noticeUID=CO1.NTC.3905123&amp;isFromPublicArea=True&amp;isModal=true&amp;asPopupView=true</t>
  </si>
  <si>
    <t>OPSP-VAD-0240-2023</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</si>
  <si>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</si>
  <si>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HUGO JOSE MERCADO SERVERA</t>
  </si>
  <si>
    <t>https://community.secop.gov.co/Public/Tendering/OpportunityDetail/Index?noticeUID=CO1.NTC.3905243&amp;isFromPublicArea=True&amp;isModal=true&amp;asPopupView=true</t>
  </si>
  <si>
    <t>OAG-VAD-0241-2023</t>
  </si>
  <si>
    <t>CLARIBEL VARGAS GUETTE</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</si>
  <si>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</si>
  <si>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https://community.secop.gov.co/Public/Tendering/OpportunityDetail/Index?noticeUID=CO1.NTC.3905886&amp;isFromPublicArea=True&amp;isModal=true&amp;asPopupView=true</t>
  </si>
  <si>
    <t>OAG-VAD-0242-2023</t>
  </si>
  <si>
    <t>CRISTIN DAVID LAUREN GARCIA</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</si>
  <si>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</si>
  <si>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https://community.secop.gov.co/Public/Tendering/OpportunityDetail/Index?noticeUID=CO1.NTC.3905796&amp;isFromPublicArea=True&amp;isModal=true&amp;asPopupView=true</t>
  </si>
  <si>
    <t>OPSP-VAD-0243-2023</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</si>
  <si>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</si>
  <si>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https://community.secop.gov.co/Public/Tendering/OpportunityDetail/Index?noticeUID=CO1.NTC.3906062&amp;isFromPublicArea=True&amp;isModal=true&amp;asPopupView=true</t>
  </si>
  <si>
    <t>OPSP-VAD-0244-2023</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</si>
  <si>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</si>
  <si>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https://community.secop.gov.co/Public/Tendering/OpportunityDetail/Index?noticeUID=CO1.NTC.3906306&amp;isFromPublicArea=True&amp;isModal=true&amp;asPopupView=true</t>
  </si>
  <si>
    <t>OAG-VAD-0245-2023</t>
  </si>
  <si>
    <t>GUSTAVO MANUEL LOPEZ GOMEZ</t>
  </si>
  <si>
    <t>https://community.secop.gov.co/Public/Tendering/OpportunityDetail/Index?noticeUID=CO1.NTC.3906245&amp;isFromPublicArea=True&amp;isModal=true&amp;asPopupView=true</t>
  </si>
  <si>
    <t>OAG-VAD-0246-2023</t>
  </si>
  <si>
    <t>JOSE IGNACIO STROBEL PAREJO</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</si>
  <si>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</si>
  <si>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https://community.secop.gov.co/Public/Tendering/OpportunityDetail/Index?noticeUID=CO1.NTC.3906256&amp;isFromPublicArea=True&amp;isModal=true&amp;asPopupView=true</t>
  </si>
  <si>
    <t>OAG-VAD-0247-2023</t>
  </si>
  <si>
    <t>LAURA CAROLINA PEREZ MARTINEZ</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</si>
  <si>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</si>
  <si>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https://community.secop.gov.co/Public/Tendering/OpportunityDetail/Index?noticeUID=CO1.NTC.3906328&amp;isFromPublicArea=True&amp;isModal=true&amp;asPopupView=true</t>
  </si>
  <si>
    <t>OPSP-VAD-0248-2023</t>
  </si>
  <si>
    <t>LORENA GRACIELA DIAZ CASTILLA</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</si>
  <si>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</si>
  <si>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https://community.secop.gov.co/Public/Tendering/OpportunityDetail/Index?noticeUID=CO1.NTC.3906330&amp;isFromPublicArea=True&amp;isModal=true&amp;asPopupView=true</t>
  </si>
  <si>
    <t>OAG-VAD-0249-2023</t>
  </si>
  <si>
    <t>MARIA CONCEPCION MARTINEZ DIAZ</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</si>
  <si>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</si>
  <si>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https://community.secop.gov.co/Public/Tendering/OpportunityDetail/Index?noticeUID=CO1.NTC.3905981&amp;isFromPublicArea=True&amp;isModal=true&amp;asPopupView=true</t>
  </si>
  <si>
    <t>OPSP-VAD-0250-2023</t>
  </si>
  <si>
    <t>MARIANA STAND AYALA</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</si>
  <si>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</si>
  <si>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ARMANDO JOSÉ SILVA HAMBURGER</t>
  </si>
  <si>
    <t>https://community.secop.gov.co/Public/Tendering/OpportunityDetail/Index?noticeUID=CO1.NTC.3906613&amp;isFromPublicArea=True&amp;isModal=true&amp;asPopupView=true</t>
  </si>
  <si>
    <t>OPSP-VAD-0251-2023</t>
  </si>
  <si>
    <t>NATALY JINETH MALDONADO COHEN</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</si>
  <si>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</si>
  <si>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https://community.secop.gov.co/Public/Tendering/OpportunityDetail/Index?noticeUID=CO1.NTC.3904300&amp;isFromPublicArea=True&amp;isModal=true&amp;asPopupView=true</t>
  </si>
  <si>
    <t>OAG-VAD-0252-2023</t>
  </si>
  <si>
    <t>NEWIN DE JESUS CORREA RIQUETT</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</si>
  <si>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</si>
  <si>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https://community.secop.gov.co/Public/Tendering/OpportunityDetail/Index?noticeUID=CO1.NTC.3904629&amp;isFromPublicArea=True&amp;isModal=true&amp;asPopupView=true</t>
  </si>
  <si>
    <t>OAG-VAD-0253-2023</t>
  </si>
  <si>
    <t>NYLLYRETH PINZON JARAMILLO</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</si>
  <si>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</si>
  <si>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https://community.secop.gov.co/Public/Tendering/OpportunityDetail/Index?noticeUID=CO1.NTC.3904641&amp;isFromPublicArea=True&amp;isModal=true&amp;asPopupView=true</t>
  </si>
  <si>
    <t>OPSP-VAD-0254-2023</t>
  </si>
  <si>
    <t>ROBERT FRANKLIN BECERRA ORTEGA</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</si>
  <si>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</si>
  <si>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https://community.secop.gov.co/Public/Tendering/OpportunityDetail/Index?noticeUID=CO1.NTC.3904538&amp;isFromPublicArea=True&amp;isModal=true&amp;asPopupView=true</t>
  </si>
  <si>
    <t>OPSP-VAD-0255-2023</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</si>
  <si>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</si>
  <si>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https://community.secop.gov.co/Public/Tendering/OpportunityDetail/Index?noticeUID=CO1.NTC.3904666&amp;isFromPublicArea=True&amp;isModal=true&amp;asPopupView=true</t>
  </si>
  <si>
    <t>OPSP-VAD-0256-2023</t>
  </si>
  <si>
    <t>VANESA PAOLA VIVES CORONEL</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</si>
  <si>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</si>
  <si>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https://community.secop.gov.co/Public/Tendering/OpportunityDetail/Index?noticeUID=CO1.NTC.3904677&amp;isFromPublicArea=True&amp;isModal=true&amp;asPopupView=true</t>
  </si>
  <si>
    <t>OAG-VAD-0257-2023</t>
  </si>
  <si>
    <t>VIVIANA ANDREA  CARDENAS ARIAS</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</si>
  <si>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</si>
  <si>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https://community.secop.gov.co/Public/Tendering/OpportunityDetail/Index?noticeUID=CO1.NTC.3904379&amp;isFromPublicArea=True&amp;isModal=true&amp;asPopupView=true</t>
  </si>
  <si>
    <t>OAG-VAD-0258-2023</t>
  </si>
  <si>
    <t>YUBIRIS ZAMBRANO GUERRERO</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</si>
  <si>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</si>
  <si>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https://community.secop.gov.co/Public/Tendering/OpportunityDetail/Index?noticeUID=CO1.NTC.3905193&amp;isFromPublicArea=True&amp;isModal=true&amp;asPopupView=true</t>
  </si>
  <si>
    <t>OAG-VAD-0259-2023</t>
  </si>
  <si>
    <t>ANA MELISSA CABARCAS ACUÑA</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</si>
  <si>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</si>
  <si>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https://community.secop.gov.co/Public/Tendering/OpportunityDetail/Index?noticeUID=CO1.NTC.3905287&amp;isFromPublicArea=True&amp;isModal=true&amp;asPopupView=true</t>
  </si>
  <si>
    <t>OPSP-VAD-0260-2023</t>
  </si>
  <si>
    <t>SEBASTIAN EDUARDO ARRIETA TORRES</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</si>
  <si>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</si>
  <si>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 xml:space="preserve">PEDRO MERCADO GONZALEZ </t>
  </si>
  <si>
    <t>https://community.secop.gov.co/Public/Tendering/OpportunityDetail/Index?noticeUID=CO1.NTC.3905419&amp;isFromPublicArea=True&amp;isModal=true&amp;asPopupView=true</t>
  </si>
  <si>
    <t>OAG-VAD-0261-2023</t>
  </si>
  <si>
    <t>OLVIS MARIA LOPEZ CALDERA</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</si>
  <si>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</si>
  <si>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https://community.secop.gov.co/Public/Tendering/OpportunityDetail/Index?noticeUID=CO1.NTC.3905623&amp;isFromPublicArea=True&amp;isModal=true&amp;asPopupView=true</t>
  </si>
  <si>
    <t>OAG-VAD-0262-2023</t>
  </si>
  <si>
    <t>YOLANDA AGUILAR GARCIA</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</si>
  <si>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</si>
  <si>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https://community.secop.gov.co/Public/Tendering/OpportunityDetail/Index?noticeUID=CO1.NTC.3905631&amp;isFromPublicArea=True&amp;isModal=true&amp;asPopupView=true</t>
  </si>
  <si>
    <t>OPSP-VAD-0263-2023</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</si>
  <si>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</si>
  <si>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</si>
  <si>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https://community.secop.gov.co/Public/Tendering/OpportunityDetail/Index?noticeUID=CO1.NTC.3905723&amp;isFromPublicArea=True&amp;isModal=true&amp;asPopupView=true</t>
  </si>
  <si>
    <t>OPSP-VAD-0264-2023</t>
  </si>
  <si>
    <t>HUGO CESAR VEGA ALVAREZ</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</si>
  <si>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</si>
  <si>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https://community.secop.gov.co/Public/Tendering/OpportunityDetail/Index?noticeUID=CO1.NTC.3906551&amp;isFromPublicArea=True&amp;isModal=true&amp;asPopupView=true</t>
  </si>
  <si>
    <t>OPSP-VAD-0265-2023</t>
  </si>
  <si>
    <t>KELLY GABRIELA ANDRADE VILLEGAS</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</si>
  <si>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Apoyo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existente.8. Apoyo en la coordinación de cursos virtuales en la plataforma de Bloque 10. 9. Apoyo en la asesoría a docentes en realización y estructuración de piezas audiovisuales para sus clases.</t>
  </si>
  <si>
    <t>https://community.secop.gov.co/Public/Tendering/OpportunityDetail/Index?noticeUID=CO1.NTC.3906554&amp;isFromPublicArea=True&amp;isModal=true&amp;asPopupView=true</t>
  </si>
  <si>
    <t>OPSP-VAD-0266-2023</t>
  </si>
  <si>
    <t xml:space="preserve"> MARIA FERNANDA GOMEZ HENAO</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</si>
  <si>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</si>
  <si>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https://community.secop.gov.co/Public/Tendering/OpportunityDetail/Index?noticeUID=CO1.NTC.3906560&amp;isFromPublicArea=True&amp;isModal=true&amp;asPopupView=true</t>
  </si>
  <si>
    <t>OAG-VAD-0267-2023</t>
  </si>
  <si>
    <t>SERGIO ANDRES CRESPO PALMERA</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</si>
  <si>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</si>
  <si>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https://community.secop.gov.co/Public/Tendering/OpportunityDetail/Index?noticeUID=CO1.NTC.3906720&amp;isFromPublicArea=True&amp;isModal=true&amp;asPopupView=true</t>
  </si>
  <si>
    <t>OAG-VAD-0268-2023</t>
  </si>
  <si>
    <t>HENRY ROGER ROJAS FERRARI</t>
  </si>
  <si>
    <t>https://community.secop.gov.co/Public/Tendering/OpportunityDetail/Index?noticeUID=CO1.NTC.3953044&amp;isFromPublicArea=True&amp;isModal=true&amp;asPopupView=true</t>
  </si>
  <si>
    <t>OPSP-VAD-0269-2023</t>
  </si>
  <si>
    <t>CAMILA BARRIOS LEON</t>
  </si>
  <si>
    <t xml:space="preserve">La presente orden tiene por objeto: 1. Apoyar en la evaluación y actualización a los procedimientos descritos en la Resolución Rectoral N° 00721 para el ingreso, egreso y baja de bienes del Grupo de Compras y Administración de Bienes. 2. Elaborar informes sobre el manejo de los rubros PAA que soporten los procesos administrativos de la institución. 3. Apoyar al Grupo de Compras y Administración de Bienes en las diferentes etapas de elaboración del Plan Anual de Adquisiciones - PAA- 4. Apoyar al Grupo de Compras y administración de Bienes en revisión y actualización de la codificación de los presupuestos de las dependencias de la institución según lo establecidos en el clasificador de bienes y servicios SECOP II. 5. Realizar apoyo en el proceso de compras en línea a cargo del Grupo de Compras y Administración de Bienes. 6. Apoyar en el diseño de estrategias para el mejoramiento del proceso de recepción y registro de bienes.  7. Asesorar en la implementación de estrategias que contribuyan al mejoramiento del desempeño de la dependencia. </t>
  </si>
  <si>
    <t>https://community.secop.gov.co/Public/Tendering/OpportunityDetail/Index?noticeUID=CO1.NTC.3953413&amp;isFromPublicArea=True&amp;isModal=true&amp;asPopupView=true</t>
  </si>
  <si>
    <t>OAG-VAD-0270-2023</t>
  </si>
  <si>
    <t>STANED RAFAEL OROZCO SIERRA</t>
  </si>
  <si>
    <t xml:space="preserve">La presente orden tiene por objeto: 1. Apoyar en la captura de sonido directo en producciones audiovisuales. 2. Apoyar en la grabación de podcast como contenidos multimedia. 3, Apoyar en la postproducción de sonido en producciones audiovisuales. </t>
  </si>
  <si>
    <t>https://community.secop.gov.co/Public/Tendering/OpportunityDetail/Index?noticeUID=CO1.NTC.3952857&amp;isFromPublicArea=True&amp;isModal=true&amp;asPopupView=true</t>
  </si>
  <si>
    <t>OPSP-VAD-0271-2023</t>
  </si>
  <si>
    <t xml:space="preserve">La presente orden tiene por objeto: 1. Apoyar en la evaluación de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en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8. Apoyar en la atención de las orientaciones de la Universidad en aspectos relacionados con planes curriculares, estrategias pedagógicas y de evaluación formativa (Decreto 780 de 2016, parte 7, capítulo 1, Artículo 2.7.1.1.17 Parágrafo 2). 9. Apoyar en la verificación de que los procesos y manuales organizacionales del programa que existen se cumplan. </t>
  </si>
  <si>
    <t>KAREN AVILA LABASTIDAS</t>
  </si>
  <si>
    <t>https://community.secop.gov.co/Public/Tendering/OpportunityDetail/Index?noticeUID=CO1.NTC.3953047&amp;isFromPublicArea=True&amp;isModal=true&amp;asPopupView=true</t>
  </si>
  <si>
    <t>OPSP-VAD-0272-2023</t>
  </si>
  <si>
    <t>MAYRA ALEJANDRA MENDOZA HERNANDEZ</t>
  </si>
  <si>
    <t xml:space="preserve">La presente orden tiene por objeto: 1. Desarrollar actividades de diagnóstico, evaluación, intervención clínica para niños, adolescentes y adultos o los servicios que desde su área requiera el Programa, 2. Apoyar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</si>
  <si>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https://community.secop.gov.co/Public/Tendering/OpportunityDetail/Index?noticeUID=CO1.NTC.3952867&amp;isFromPublicArea=True&amp;isModal=true&amp;asPopupView=true</t>
  </si>
  <si>
    <t>OPSP-VAD-0273-2023</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</si>
  <si>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Apoyar en el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Apoyar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dé respuesta a las actividades para las cuales fue contratado. </t>
  </si>
  <si>
    <t>https://community.secop.gov.co/Public/Tendering/OpportunityDetail/Index?noticeUID=CO1.NTC.3952871&amp;isFromPublicArea=True&amp;isModal=true&amp;asPopupView=true</t>
  </si>
  <si>
    <t>OPSP-VAD-0274-2023</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</si>
  <si>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para lsa cuales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2023-I. 12. Revisar los informes psicológicos de las entrevistas de orientación vocacional del proceso de admisión del programa “Talento Magdalena” para el periodo académico 2023-I. 14. Asesorar y Apoyar al Director(a)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t>
  </si>
  <si>
    <t>https://community.secop.gov.co/Public/Tendering/OpportunityDetail/Index?noticeUID=CO1.NTC.3952877&amp;isFromPublicArea=True&amp;isModal=true&amp;asPopupView=true</t>
  </si>
  <si>
    <t>OAG-VAD-0275-2023</t>
  </si>
  <si>
    <t xml:space="preserve">ENRIQUE ALFONSO NAVARRO URBINA </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</si>
  <si>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</si>
  <si>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https://community.secop.gov.co/Public/Tendering/OpportunityDetail/Index?noticeUID=CO1.NTC.3952885&amp;isFromPublicArea=True&amp;isModal=true&amp;asPopupView=true</t>
  </si>
  <si>
    <t>OAG-VAD-0276-2023</t>
  </si>
  <si>
    <t>HEYNER ALONSO CARROL PINEDA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</si>
  <si>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</si>
  <si>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https://community.secop.gov.co/Public/Tendering/OpportunityDetail/Index?noticeUID=CO1.NTC.3952888&amp;isFromPublicArea=True&amp;isModal=true&amp;asPopupView=true</t>
  </si>
  <si>
    <t>OPSP-VAD-0277-2023</t>
  </si>
  <si>
    <t>OSCAR DAVID VANEGAS QUERUZ</t>
  </si>
  <si>
    <t xml:space="preserve">La presente orden tiene por objeto: 1. Presentar el plan de trabajo de actividades a desarrollar, detallando objetivos, fechas, metas, indicadores acordes con las directrices impartidas por el Director de Desarrollo estudiantil que dé respuesta a las actividades para las cuales fue contratado 2. Apoyar el proceso de acompañamiento socioeconómico a los estudiantes pertenecientes al programa "Talento Magdalena". 3. Apoyar en la planeación y ejecución de actividades relacionadas con el desarrollo de habilidades de liderazgo social y político en los estudiantes del Programa “Talento Magdalena”. 4. Apoyar a la Dirección de Desarrollo Estudiantil en la ejecución de las estrategias diseñadas para favorecer la permanencia estudiantil y disminuir los índices de deserción de los estudiantes del programa “Talento Magdalena”. 5. Apoyar en los espacios de protección y promoción de los derechos de los estudiantes del programa “Talento Magdalena”. 6. Recopilar la información y entrega de informes solicitados por el Supervisor de la orden. 7. Desarrollar el proceso de tabulación de la ficha de caracterización aplicada, así como la respectiva preparación de informes que sean solicitados por el supervisor o la Dirección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Identificar y reportar a los estudiantes en riesgo de deserción por factores socioeconómicos del programa “Talento Magdalena”. 11. Sistematizar quincenalmente los datos recopilados en la plataforma de “Talento Magdalena”. 12. Apoyar a la Dirección de Desarrollo estudiantil en las actividades de inducción de los estudiantes que ingresan al programa “Talento Magdalena”. 13. Apoyar en las actividades realizadas para favorecer la participación de los estudiantes de la Universidad del Magdalena desde el centro de liderazgo y participación. </t>
  </si>
  <si>
    <t>https://community.secop.gov.co/Public/Tendering/OpportunityDetail/Index?noticeUID=CO1.NTC.3952892&amp;isFromPublicArea=True&amp;isModal=true&amp;asPopupView=true</t>
  </si>
  <si>
    <t>OAG-VAD-0278-2023</t>
  </si>
  <si>
    <t>RODOLFO DE JESUS MONTERO VILLA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</si>
  <si>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</si>
  <si>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https://community.secop.gov.co/Public/Tendering/OpportunityDetail/Index?noticeUID=CO1.NTC.3952984&amp;isFromPublicArea=True&amp;isModal=true&amp;asPopupView=true</t>
  </si>
  <si>
    <t>OPSP-VAD-0279-2023</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</si>
  <si>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</si>
  <si>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Apoyar las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t>
  </si>
  <si>
    <t>https://community.secop.gov.co/Public/Tendering/OpportunityDetail/Index?noticeUID=CO1.NTC.3953116&amp;isFromPublicArea=True&amp;isModal=true&amp;asPopupView=true</t>
  </si>
  <si>
    <t>OAG-VAD-0280-2023</t>
  </si>
  <si>
    <t>CARLOS EDUARDO CONTRERAS ABELLO</t>
  </si>
  <si>
    <t xml:space="preserve">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los equipos de transmisiones, los cuales se difunden en dos tipos de canales, externos e internos. En las plataformas de YouTube y Facebook institucionales; así mismo por zoom y teams para reuniones privadas y/o procesos de acreditación. 10. Apoyar en la realización de alrededor 30 transmisiones mensuales, en las cuales se encuentran enlaces, transmisiones en vivo y pregrabados. </t>
  </si>
  <si>
    <t>https://community.secop.gov.co/Public/Tendering/OpportunityDetail/Index?noticeUID=CO1.NTC.3952989&amp;isFromPublicArea=True&amp;isModal=true&amp;asPopupView=true</t>
  </si>
  <si>
    <t>OAG-VAD-0281-2023</t>
  </si>
  <si>
    <t>CAROLY MILDRED CORONADO ALCALA</t>
  </si>
  <si>
    <t xml:space="preserve">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 intensivos 7. Apoyar en la inducción de manejo de equipos si se requiere. </t>
  </si>
  <si>
    <t>https://community.secop.gov.co/Public/Tendering/OpportunityDetail/Index?noticeUID=CO1.NTC.3953205&amp;isFromPublicArea=True&amp;isModal=true&amp;asPopupView=true</t>
  </si>
  <si>
    <t>OPSP-VAD-0282-2023</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</si>
  <si>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</si>
  <si>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t>
  </si>
  <si>
    <t>https://community.secop.gov.co/Public/Tendering/OpportunityDetail/Index?noticeUID=CO1.NTC.3952994&amp;isFromPublicArea=True&amp;isModal=true&amp;asPopupView=true</t>
  </si>
  <si>
    <t>OPSP-VAD-0283-2023</t>
  </si>
  <si>
    <t>IBIS LENIS RODRIGUEZ CRUZ</t>
  </si>
  <si>
    <t xml:space="preserve">La presente orden tiene por objeto: 1. Apoyar la generación y proyección de informe sobre el área de proyectos especiales, Talleres Saber Pro. 2. Apoyar la gestión de las diferentes áreas de formación general e integral del Departamento de Estudios Generales.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t>
  </si>
  <si>
    <t>https://community.secop.gov.co/Public/Tendering/OpportunityDetail/Index?noticeUID=CO1.NTC.3952997&amp;isFromPublicArea=True&amp;isModal=true&amp;asPopupView=true</t>
  </si>
  <si>
    <t>OAG-VAD-0284-2023</t>
  </si>
  <si>
    <t>LUIS FERNANDO ESCOBAR RESTREPO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</si>
  <si>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primer semestre 2023-1. 9. Asesorar a la Dirección de Desarrollo estudiantil en la creación de campañas publicitarias de divulgación masiva para la prevención y promoción de la salud metal de los estudiantes que ingresan al primer semestre 2023-1.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t>
  </si>
  <si>
    <t>https://community.secop.gov.co/Public/Tendering/OpportunityDetail/Index?noticeUID=CO1.NTC.3953137&amp;isFromPublicArea=True&amp;isModal=true&amp;asPopupView=true</t>
  </si>
  <si>
    <t>OAG-VAD-0285-2023</t>
  </si>
  <si>
    <t>CHRISTIAN JAVIER MOZO CABAS</t>
  </si>
  <si>
    <t xml:space="preserve">La presente orden tiene por objeto: 1. Apoyar la apertura, entrega y cierre del laboratorio de edición, sala de realización, animación o la de su correspondencia en la rotación de responsabilidades, de acuerdo con el cronograma establecido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Apoyar el cumplimiento de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con las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t>
  </si>
  <si>
    <t>https://community.secop.gov.co/Public/Tendering/OpportunityDetail/Index?noticeUID=CO1.NTC.3953404&amp;isFromPublicArea=True&amp;isModal=true&amp;asPopupView=true</t>
  </si>
  <si>
    <t>OAG-VAD-0286-2023</t>
  </si>
  <si>
    <t>JOSE FERNANDO PAVA LOPEZ</t>
  </si>
  <si>
    <t xml:space="preserve">La presente orden tiene por objeto: 1. Apoyar en el montaje de imágenes para video. 2. Apoyar en la edición y postprodución de los materiales audiovisuales. </t>
  </si>
  <si>
    <t>https://community.secop.gov.co/Public/Tendering/OpportunityDetail/Index?noticeUID=CO1.NTC.3953406&amp;isFromPublicArea=True&amp;isModal=true&amp;asPopupView=true</t>
  </si>
  <si>
    <t>OAG-VAD-0287-2023</t>
  </si>
  <si>
    <t>CARMEN VANESSA MENDEZ POLO</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</si>
  <si>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 organización y desarrollo de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</si>
  <si>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https://community.secop.gov.co/Public/Tendering/OpportunityDetail/Index?noticeUID=CO1.NTC.3957589&amp;isFromPublicArea=True&amp;isModal=true&amp;asPopupView=true</t>
  </si>
  <si>
    <t>OAG-VAD-0288-2023</t>
  </si>
  <si>
    <t>CESAR DAVID NAVARRO ALTAMAR</t>
  </si>
  <si>
    <t>https://community.secop.gov.co/Public/Tendering/OpportunityDetail/Index?noticeUID=CO1.NTC.3962856&amp;isFromPublicArea=True&amp;isModal=true&amp;asPopupView=true</t>
  </si>
  <si>
    <t>OAG-VAD-0289-2023</t>
  </si>
  <si>
    <t>JUAN CARLOS MIRANDA VASQUEZ</t>
  </si>
  <si>
    <t xml:space="preserve">La presente orden tiene por objeto: 1. Brindar orientación a los usuarios acerca de cómo acceder a los servicios de la Biblioteca. 2. Apoyar con la atención de usuarios en el servicio de préstamo de computadores en salas virtuales. 3. Apoyar la organización y desarrollo de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procurar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</si>
  <si>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https://community.secop.gov.co/Public/Tendering/OpportunityDetail/Index?noticeUID=CO1.NTC.3957915&amp;isFromPublicArea=True&amp;isModal=true&amp;asPopupView=true</t>
  </si>
  <si>
    <t>OAG-VAD-0290-2023</t>
  </si>
  <si>
    <t>LIZARDO JOSE BALLESTEROS MEJIA</t>
  </si>
  <si>
    <t>https://community.secop.gov.co/Public/Tendering/OpportunityDetail/Index?noticeUID=CO1.NTC.3962886&amp;isFromPublicArea=True&amp;isModal=true&amp;asPopupView=true</t>
  </si>
  <si>
    <t>OPSP-VAD-0291-2023</t>
  </si>
  <si>
    <t>LORENA ISABEL GONZALEZ ARIAS</t>
  </si>
  <si>
    <t xml:space="preserve">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Apoyar la verificación de la conformación de los menús de los programas alimentarios dirigidos a la comunidad universitaria. 9. Apoyar al supervisor en la actualización del inventario de los equipos e insumos de oficina y de salud además apoyar en la verificación del buen uso de los mismos. </t>
  </si>
  <si>
    <t>https://community.secop.gov.co/Public/Tendering/OpportunityDetail/Index?noticeUID=CO1.NTC.3963061&amp;isFromPublicArea=True&amp;isModal=true&amp;asPopupView=true</t>
  </si>
  <si>
    <t>OPSP-VAD-0292-2023</t>
  </si>
  <si>
    <t>MALORY PAOLA SAAVEDRA PIMIENTA</t>
  </si>
  <si>
    <t xml:space="preserve">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t>
  </si>
  <si>
    <t>https://community.secop.gov.co/Public/Tendering/OpportunityDetail/Index?noticeUID=CO1.NTC.3963072&amp;isFromPublicArea=True&amp;isModal=true&amp;asPopupView=true</t>
  </si>
  <si>
    <t>OAG-VAD-0293-2023</t>
  </si>
  <si>
    <t>MARVI LAIDYS CAICEDO OSPINA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</si>
  <si>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</si>
  <si>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https://community.secop.gov.co/Public/Tendering/OpportunityDetail/Index?noticeUID=CO1.NTC.3962794&amp;isFromPublicArea=True&amp;isModal=true&amp;asPopupView=true</t>
  </si>
  <si>
    <t>OAG-VAD-0294-2023</t>
  </si>
  <si>
    <t>MAURICIO DE JESUS TORRES IZAQUITA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</si>
  <si>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</si>
  <si>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https://community.secop.gov.co/Public/Tendering/OpportunityDetail/Index?noticeUID=CO1.NTC.3963086&amp;isFromPublicArea=True&amp;isModal=true&amp;asPopupView=true</t>
  </si>
  <si>
    <t>OPSP-VAD-0295-2023</t>
  </si>
  <si>
    <t>MILAGRO DEL CARMEN PONCE MONTES</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</si>
  <si>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t>
  </si>
  <si>
    <t>https://community.secop.gov.co/Public/Tendering/OpportunityDetail/Index?noticeUID=CO1.NTC.3963099&amp;isFromPublicArea=True&amp;isModal=true&amp;asPopupView=true</t>
  </si>
  <si>
    <t>OPSP-VAD-0296-2023</t>
  </si>
  <si>
    <t>ORLANDO SANTIAGO MORENO BARRIGA</t>
  </si>
  <si>
    <t xml:space="preserve">La presente orden tiene por objeto: 1. Apoyar en la atención básica, oportuna y adecuada en consulta como Medico Deportologo a todos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la prestación del servicio.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 </t>
  </si>
  <si>
    <t>https://community.secop.gov.co/Public/Tendering/OpportunityDetail/Index?noticeUID=CO1.NTC.3963327&amp;isFromPublicArea=True&amp;isModal=true&amp;asPopupView=true</t>
  </si>
  <si>
    <t>OAG-VAD-0297-2023</t>
  </si>
  <si>
    <t>TATIANA MARGARITA TERNERA OROZCO</t>
  </si>
  <si>
    <t>https://community.secop.gov.co/Public/Tendering/OpportunityDetail/Index?noticeUID=CO1.NTC.3963234&amp;isFromPublicArea=True&amp;isModal=true&amp;asPopupView=true</t>
  </si>
  <si>
    <t>OAG-VAD-0298-2023</t>
  </si>
  <si>
    <t>WILLIAM EDUARDO VELEZ GONZALEZ</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</si>
  <si>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</si>
  <si>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https://community.secop.gov.co/Public/Tendering/OpportunityDetail/Index?noticeUID=CO1.NTC.3963238&amp;isFromPublicArea=True&amp;isModal=true&amp;asPopupView=true</t>
  </si>
  <si>
    <t>OAG-VAD-0299-2023</t>
  </si>
  <si>
    <t>JOSE PAIPA LUNA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</si>
  <si>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</si>
  <si>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https://community.secop.gov.co/Public/Tendering/OpportunityDetail/Index?noticeUID=CO1.NTC.3963243&amp;isFromPublicArea=True&amp;isModal=true&amp;asPopupView=true</t>
  </si>
  <si>
    <t>OAG-VAD-0300-2023</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</si>
  <si>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</si>
  <si>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MARIA EMMA MORALES</t>
  </si>
  <si>
    <t>https://community.secop.gov.co/Public/Tendering/OpportunityDetail/Index?noticeUID=CO1.NTC.3963181&amp;isFromPublicArea=True&amp;isModal=true&amp;asPopupView=true</t>
  </si>
  <si>
    <t>OAG-VAD-0301-2023</t>
  </si>
  <si>
    <t>GEIDIS MARCELA ARRAZOLA MURILLO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</si>
  <si>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t>
  </si>
  <si>
    <t>https://community.secop.gov.co/Public/Tendering/OpportunityDetail/Index?noticeUID=CO1.NTC.3963274&amp;isFromPublicArea=True&amp;isModal=true&amp;asPopupView=true</t>
  </si>
  <si>
    <t>OPSP-VAD-0302-2023</t>
  </si>
  <si>
    <t>LEONOR MARIA MANOTAS GARCIA </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</si>
  <si>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t>
  </si>
  <si>
    <t>https://community.secop.gov.co/Public/Tendering/OpportunityDetail/Index?noticeUID=CO1.NTC.3963624&amp;isFromPublicArea=True&amp;isModal=true&amp;asPopupView=true</t>
  </si>
  <si>
    <t>OAG-VAD-0303-2023</t>
  </si>
  <si>
    <t>DANIEL ESTEBAN QUIÑONEZ MUÑOZ</t>
  </si>
  <si>
    <t xml:space="preserve">La presente orden tiene por objeto: 1. Desarrollar diseño gráfico para los distintos procesos institucionales. 2. Construir piezas gráficas solicitadas para el desarrollo de eventos internos o externos de la Universidad de Magdalena. 3. Apoyar en el diseño de la imagen corporativa de la universidad. 4. Diseñar piezas para lo oferta académica y elementos de merchandising para diferentes áreas y/o eventos institucionales. 5.Crear contenido audiovisual para la promoción de eventos realizados adscritos a la Universidad del Magdalena. 6. Apoyar en el fortalecimiento de la Gestión de la Calidad "Sistema COGUI". 7, Apoyar en el proceso de Gestión Documental. 8. Apoyar en los procedimientos y procesos del sistema de Gestión de la Calidad. 9. Presentar los informes que sean requeridos por el Supervisor de la orden. </t>
  </si>
  <si>
    <t>https://community.secop.gov.co/Public/Tendering/OpportunityDetail/Index?noticeUID=CO1.NTC.3963473&amp;isFromPublicArea=True&amp;isModal=true&amp;asPopupView=true</t>
  </si>
  <si>
    <t>OAG-VAD-0304-2023</t>
  </si>
  <si>
    <t>JAMES GARCIA FUENTES</t>
  </si>
  <si>
    <t xml:space="preserve">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t>
  </si>
  <si>
    <t>https://community.secop.gov.co/Public/Tendering/OpportunityDetail/Index?noticeUID=CO1.NTC.3963813&amp;isFromPublicArea=True&amp;isModal=true&amp;asPopupView=true</t>
  </si>
  <si>
    <t>OAG-VAD-0305-2023</t>
  </si>
  <si>
    <t>KARY BEATRIZ BLANCO GOMEZ</t>
  </si>
  <si>
    <t xml:space="preserve">La presente orden tiene por objeto: 1. Apoyar en la formulación, planificación de políticas, planes y proyectos tendientes a la promoción, coordinación y desarrollo del programa de Derecho. 2. Apoyar en la redacción, elaboración y condensación del documento Registro Calificado del Programa de Derecho. 3. Apoyar al programa de Derecho en el proceso de autoevaluación para la renovación de su registro calificado y en el proceso de acreditación. 4. Apoyar y Asesorar en la revisión y cumplimiento de los objetivos y aplicación de las normas institucionales dentro de los procesos académicos en el programa de Derecho, Consultorio Jurídico y Centro de Conciliación de conformidad con el Proyecto Educativo Institucional y el Plan de Desarrollo. 5. Apoyar en las actividades del programa de Derecho y Consultorio Jurídico, teniendo en cuenta las actividades académicas, extensión, científico, humanístico y cultural. 6. Apoyar y Asesorar a los estudiantes del Consultorio Jurídico y Centro de Conciliación que se encuentran designados en puntos de atención descentralizados del Distrito de Santa Marta en relación a los distintos casos que son de sus conocimientos en las distintas áreas del derecho: Publico, Civil, Comercial, Penal, Laboral, Familia y Derechos Humanos. 7. Apoyar al Programa de Derecho en la organización de capacitaciones de los estudiantes y a la comunidad en temas que se relacionen con las competencias legales del Consultorio Jurídico y Centro de Conciliación. 8. Apoyar y asesorar a la Dirección de Consultorio Jurídico y Dirección de programa de Derecho en las jornadas de asistencia jurídicas a población vulnerable en el distrito de Santa Marta. 9. Apoyar con el trámite de solicitudes de conciliación que se generen en la casa de justicia del Distrito de Santa Marta y que puedan ser tramitadas por el Centro de Conciliación en el marco de sus competencias, conforme al ordenamiento jurídico colombiano. </t>
  </si>
  <si>
    <t>GIOVANNA MARÍA SIMANCAS TINOCO</t>
  </si>
  <si>
    <t>https://community.secop.gov.co/Public/Tendering/OpportunityDetail/Index?noticeUID=CO1.NTC.3963668&amp;isFromPublicArea=True&amp;isModal=true&amp;asPopupView=true</t>
  </si>
  <si>
    <t>OAG-VAD-0306-2023</t>
  </si>
  <si>
    <t>CLARA INES APREZA FERNANDEZ</t>
  </si>
  <si>
    <t xml:space="preserve">La presente orden tiene por objeto: 1. Presentar plan de trabajo de actividades, detallando objetivos, fechas, metodología, metas, indicadores acordes con las directrices impartidas por el Director de Bienestar y el coordinador (a) del área que dé respuesta a las actividades por la cual fue contratado. 2. Apoyar en la recepción e ingreso de los niños y niñas al centro, así como la orientación de los padres en los servicios que se ofrecen 3. Programar y organizar actividades destinadas a estimular el desarrollo psicológico, físico y social de los niños. 4. Orientar a practicantes en las actividades de estimulación diseñada para los niños en los diferentes rincones de estimulación, armando y construcción, simbólico, literatura y danza, cuerpo y movimiento. 5. Apoyar en la observación a los niños para detectar signos de dificultades en el aprendizaje o problemas emocionales. 6. Socializar progresos o problemas de los niños con el encargado del centro, para la adecuada garantía de derechos y la derivación a otras dependencias 7. Proponer talleres para la capacitación de padres y madres Unimagdalena 8. Apoyar en la realización de los informes que se le soliciten para ser presentados en otras dependencias. 9. Diligenciar oportunamente todos los formatos establecidos por Bienestar Universitario en el Sistema de Gestión de la Calidad y otros procesos, para el registro de todas las actividades que se realicen. </t>
  </si>
  <si>
    <t>https://community.secop.gov.co/Public/Tendering/OpportunityDetail/Index?noticeUID=CO1.NTC.3964280&amp;isFromPublicArea=True&amp;isModal=true&amp;asPopupView=true</t>
  </si>
  <si>
    <t>OPSP-VAD-0307-2023</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</si>
  <si>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</si>
  <si>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docentes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</si>
  <si>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https://community.secop.gov.co/Public/Tendering/OpportunityDetail/Index?noticeUID=CO1.NTC.3972772&amp;isFromPublicArea=True&amp;isModal=true&amp;asPopupView=true</t>
  </si>
  <si>
    <t>OPSP-VAD-0308-2023</t>
  </si>
  <si>
    <t>CARMEN ELENA ROMERO RODRIGUEZ</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</si>
  <si>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t>
  </si>
  <si>
    <t>https://community.secop.gov.co/Public/Tendering/OpportunityDetail/Index?noticeUID=CO1.NTC.3972789&amp;isFromPublicArea=True&amp;isModal=true&amp;asPopupView=true</t>
  </si>
  <si>
    <t>OAG-VAD-0309-2023</t>
  </si>
  <si>
    <t>EFRAIN ALFONSO RADA VARGAS</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</si>
  <si>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</si>
  <si>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JORGE ALFONSO APREZA FERNANDEZ</t>
  </si>
  <si>
    <t>https://community.secop.gov.co/Public/Tendering/OpportunityDetail/Index?noticeUID=CO1.NTC.3973214&amp;isFromPublicArea=True&amp;isModal=true&amp;asPopupView=true</t>
  </si>
  <si>
    <t>OPSP-VAD-0310-2023</t>
  </si>
  <si>
    <t>ESTEFANIA BRAVO MENA</t>
  </si>
  <si>
    <t>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t>
  </si>
  <si>
    <t>https://community.secop.gov.co/Public/Tendering/OpportunityDetail/Index?noticeUID=CO1.NTC.3972959&amp;isFromPublicArea=True&amp;isModal=true&amp;asPopupView=true</t>
  </si>
  <si>
    <t>OAG-VAD-0311-2023</t>
  </si>
  <si>
    <t>HUGO ELIECER ACOSTA MOLINA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</si>
  <si>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Ejecutar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</si>
  <si>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https://community.secop.gov.co/Public/Tendering/OpportunityDetail/Index?noticeUID=CO1.NTC.3972971&amp;isFromPublicArea=True&amp;isModal=true&amp;asPopupView=true</t>
  </si>
  <si>
    <t>OAG-VAD-0312-2023</t>
  </si>
  <si>
    <t>JOSE LUIS RODRIGUEZ GARCIA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</si>
  <si>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Apoyar y asesorar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desarrollo de los grupos y/o talleres culturales ofrecidos por Bienestar Universitario. </t>
  </si>
  <si>
    <t>https://community.secop.gov.co/Public/Tendering/OpportunityDetail/Index?noticeUID=CO1.NTC.3973260&amp;isFromPublicArea=True&amp;isModal=true&amp;asPopupView=true</t>
  </si>
  <si>
    <t>OAG-VAD-0313-2023</t>
  </si>
  <si>
    <t>JULIETH KARINA GARCIA GAMARRA</t>
  </si>
  <si>
    <t xml:space="preserve">La presente orden tiene por objeto: 1. Apoyar al Grupo Interno de Servicios Generales en la supervisión de espacios físicos que comprenden la Biblioteca German Bula Meyer. 2. Apoyar al GSG en aperturas de salones, espacios académicos y administrativos cuando se necesite cubrir a otro contratista que ejecute actividades afines y en otros espacios del Campus o alguna Sede Alterna. 3. Apoyar al GSG en revisiones a los diferentes espacios que controla en su turno y reportando a su supervisor inmediato cualquier anomalía que observe y afecte negativamente a la institución. 4. Apoyar al GSG en brindar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t>
  </si>
  <si>
    <t>https://community.secop.gov.co/Public/Tendering/OpportunityDetail/Index?noticeUID=CO1.NTC.3973088&amp;isFromPublicArea=True&amp;isModal=true&amp;asPopupView=true</t>
  </si>
  <si>
    <t>OAG-VAD-0314-2023</t>
  </si>
  <si>
    <t>MANUEL ALEJANDRO RAMIREZ VELASQUEZ</t>
  </si>
  <si>
    <t>https://community.secop.gov.co/Public/Tendering/OpportunityDetail/Index?noticeUID=CO1.NTC.3973296&amp;isFromPublicArea=True&amp;isModal=true&amp;asPopupView=true</t>
  </si>
  <si>
    <t>OAG-VAD-0315-2023</t>
  </si>
  <si>
    <t>MARENA SOFIA SABALLET RADA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</si>
  <si>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</si>
  <si>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https://community.secop.gov.co/Public/Tendering/OpportunityDetail/Index?noticeUID=CO1.NTC.3973708&amp;isFromPublicArea=True&amp;isModal=true&amp;asPopupView=true</t>
  </si>
  <si>
    <t>OAG-VAD-0316-2023</t>
  </si>
  <si>
    <t>YUSLAY MISEL VALLE TETTE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</si>
  <si>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</si>
  <si>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https://community.secop.gov.co/Public/Tendering/OpportunityDetail/Index?noticeUID=CO1.NTC.3973436&amp;isFromPublicArea=True&amp;isModal=true&amp;asPopupView=true</t>
  </si>
  <si>
    <t>OAG-VAD-0317-2023</t>
  </si>
  <si>
    <t>ZENITH ELENA DE LA HOZ MONSALVO</t>
  </si>
  <si>
    <t>https://community.secop.gov.co/Public/Tendering/OpportunityDetail/Index?noticeUID=CO1.NTC.3973732&amp;isFromPublicArea=True&amp;isModal=true&amp;asPopupView=true</t>
  </si>
  <si>
    <t>OPSP-VAD-0318-2023</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</si>
  <si>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</si>
  <si>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https://community.secop.gov.co/Public/Tendering/OpportunityDetail/Index?noticeUID=CO1.NTC.3973655&amp;isFromPublicArea=True&amp;isModal=true&amp;asPopupView=true</t>
  </si>
  <si>
    <t>OAG-VAD-0319-2023</t>
  </si>
  <si>
    <t>ALFREDO JOSE DAZA VELEZ</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</si>
  <si>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organización y realización de los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</si>
  <si>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https://community.secop.gov.co/Public/Tendering/OpportunityDetail/Index?noticeUID=CO1.NTC.3973753&amp;isFromPublicArea=True&amp;isModal=true&amp;asPopupView=true</t>
  </si>
  <si>
    <t>OAG-VAD-0320-2023</t>
  </si>
  <si>
    <t>BELKYS PATRICIA MANGA BLANCO</t>
  </si>
  <si>
    <t xml:space="preserve">La presente orden tiene por objeto: 1. Apoyar las actividades de recepción telefónica y atención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t>
  </si>
  <si>
    <t>https://community.secop.gov.co/Public/Tendering/OpportunityDetail/Index?noticeUID=CO1.NTC.3973766&amp;isFromPublicArea=True&amp;isModal=true&amp;asPopupView=true</t>
  </si>
  <si>
    <t>OPSP-VAD-0321-2023</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</si>
  <si>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</si>
  <si>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 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t>
  </si>
  <si>
    <t>https://community.secop.gov.co/Public/Tendering/OpportunityDetail/Index?noticeUID=CO1.NTC.3973784&amp;isFromPublicArea=True&amp;isModal=true&amp;asPopupView=true</t>
  </si>
  <si>
    <t>OPSP-VAD-0322-2023</t>
  </si>
  <si>
    <t>DORIS LUCIA FRANCO ARZUAGA</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</si>
  <si>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</si>
  <si>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https://community.secop.gov.co/Public/Tendering/OpportunityDetail/Index?noticeUID=CO1.NTC.3974004&amp;isFromPublicArea=True&amp;isModal=true&amp;asPopupView=true</t>
  </si>
  <si>
    <t>OAG-VAD-0323-2023</t>
  </si>
  <si>
    <t>ENRIQUE MORENO SILVA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</si>
  <si>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</si>
  <si>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https://community.secop.gov.co/Public/Tendering/OpportunityDetail/Index?noticeUID=CO1.NTC.3973692&amp;isFromPublicArea=True&amp;isModal=true&amp;asPopupView=true</t>
  </si>
  <si>
    <t>OAG-VAD-0324-2023</t>
  </si>
  <si>
    <t>GINA MARTHA ADARRAGA GOMEZ</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</si>
  <si>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</si>
  <si>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https://community.secop.gov.co/Public/Tendering/OpportunityDetail/Index?noticeUID=CO1.NTC.3974021&amp;isFromPublicArea=True&amp;isModal=true&amp;asPopupView=true</t>
  </si>
  <si>
    <t>OAG-VAD-0325-2023</t>
  </si>
  <si>
    <t>GREGORIA INES ESCORCIA BUSTAMANTE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</si>
  <si>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</si>
  <si>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https://community.secop.gov.co/Public/Tendering/OpportunityDetail/Index?noticeUID=CO1.NTC.3973746&amp;isFromPublicArea=True&amp;isModal=true&amp;asPopupView=true</t>
  </si>
  <si>
    <t>OAG-VAD-0326-2023</t>
  </si>
  <si>
    <t>GUSTAVO ARTURO DANIEL PEREZ MUÑOZ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</si>
  <si>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</si>
  <si>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AQUILES COHEN LLANES</t>
  </si>
  <si>
    <t>https://community.secop.gov.co/Public/Tendering/OpportunityDetail/Index?noticeUID=CO1.NTC.3973748&amp;isFromPublicArea=True&amp;isModal=true&amp;asPopupView=true</t>
  </si>
  <si>
    <t>OPSP-VAD-0327-2023</t>
  </si>
  <si>
    <t>JAVIER DONALDO HERRERA SANTIAGO</t>
  </si>
  <si>
    <t xml:space="preserve">La presente orden tiene por objeto: 1. Apoyar en la estructuración de proyectos integradores. 2. Apoyar en la organización de actividades para dar cumplimiento al plan de acción de los proyectos integradores estructurados. 3. Realizar seguimiento a las actividades que se desarrollen en el marco de los proyectos integradores estructurados. </t>
  </si>
  <si>
    <t>https://community.secop.gov.co/Public/Tendering/OpportunityDetail/Index?noticeUID=CO1.NTC.3973752&amp;isFromPublicArea=True&amp;isModal=true&amp;asPopupView=true</t>
  </si>
  <si>
    <t>OAG-VAD-0328-2023</t>
  </si>
  <si>
    <t>JOSE ALFREDO DE LA HOZ BALLENA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</si>
  <si>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</si>
  <si>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https://community.secop.gov.co/Public/Tendering/OpportunityDetail/Index?noticeUID=CO1.NTC.3973484&amp;isFromPublicArea=True&amp;isModal=true&amp;asPopupView=true</t>
  </si>
  <si>
    <t>OAG-VAD-0329-2023</t>
  </si>
  <si>
    <t>JUAN CARLOS MAESTRE DOMINGUEZ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</si>
  <si>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</si>
  <si>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https://community.secop.gov.co/Public/Tendering/OpportunityDetail/Index?noticeUID=CO1.NTC.3973491&amp;isFromPublicArea=True&amp;isModal=true&amp;asPopupView=true</t>
  </si>
  <si>
    <t>OPSP-VAD-0330-2023</t>
  </si>
  <si>
    <t>JUAN DE JESUS FINCE GUZMAN</t>
  </si>
  <si>
    <t xml:space="preserve">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t>
  </si>
  <si>
    <t>HUMBERTO CALABRIA</t>
  </si>
  <si>
    <t>https://community.secop.gov.co/Public/Tendering/OpportunityDetail/Index?noticeUID=CO1.NTC.3973788&amp;isFromPublicArea=True&amp;isModal=true&amp;asPopupView=true</t>
  </si>
  <si>
    <t>OPSP-VAD-0331-2023</t>
  </si>
  <si>
    <t>KATHERINE PATRICIA BALLESTAS MESTRE</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</si>
  <si>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el buen manejo del archivo y la correspondencia de acuerdo a los lineamientos del Grupo de Gestión Documental. 6. Rendir informes mensuales sobre las actividades desarrolladas, en cumplimiento de la presente orden de prestación de servicios. </t>
  </si>
  <si>
    <t>https://community.secop.gov.co/Public/Tendering/OpportunityDetail/Index?noticeUID=CO1.NTC.3973795&amp;isFromPublicArea=True&amp;isModal=true&amp;asPopupView=true</t>
  </si>
  <si>
    <t>OAG-VAD-0332-2023</t>
  </si>
  <si>
    <t>LORENA PIRAGUA CASTRO</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</si>
  <si>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</si>
  <si>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https://community.secop.gov.co/Public/Tendering/OpportunityDetail/Index?noticeUID=CO1.NTC.3974006&amp;isFromPublicArea=True&amp;isModal=true&amp;asPopupView=true</t>
  </si>
  <si>
    <t>OAG-VAD-0333-2023</t>
  </si>
  <si>
    <t>LUIS FERNANDO GARCIA CASTRO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</si>
  <si>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Prestar servicios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</si>
  <si>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https://community.secop.gov.co/Public/Tendering/OpportunityDetail/Index?noticeUID=CO1.NTC.3973922&amp;isFromPublicArea=True&amp;isModal=true&amp;asPopupView=true</t>
  </si>
  <si>
    <t>OPSP-VAD-0334-2023</t>
  </si>
  <si>
    <t>MARIO ALBERTO LOPEZ HERRERA</t>
  </si>
  <si>
    <t xml:space="preserve">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6. Apoyar las actividades para brindar atención a la comunidad universitaria a través del Centro de Escucha. 7. Realizar seguimiento y apoyo a los estudiantes vinculados como facilitadores de Salud Mental que hacen parte del Centro de Escucha. </t>
  </si>
  <si>
    <t>https://community.secop.gov.co/Public/Tendering/OpportunityDetail/Index?noticeUID=CO1.NTC.3974102&amp;isFromPublicArea=True&amp;isModal=true&amp;asPopupView=true</t>
  </si>
  <si>
    <t>OAG-VAD-0335-2023</t>
  </si>
  <si>
    <t>RAFAEL DE JESUS CABRERA BRICEÑO</t>
  </si>
  <si>
    <t xml:space="preserve">La presente orden tiene por objeto: 1. Apoyar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</si>
  <si>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https://community.secop.gov.co/Public/Tendering/OpportunityDetail/Index?noticeUID=CO1.NTC.3973926&amp;isFromPublicArea=True&amp;isModal=true&amp;asPopupView=true</t>
  </si>
  <si>
    <t>OPSP-VAD-0336-2023</t>
  </si>
  <si>
    <t>RAFAEL JOSE CAMPO CAMPO</t>
  </si>
  <si>
    <t xml:space="preserve">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t>
  </si>
  <si>
    <t>https://community.secop.gov.co/Public/Tendering/OpportunityDetail/Index?noticeUID=CO1.NTC.3973932&amp;isFromPublicArea=True&amp;isModal=true&amp;asPopupView=true</t>
  </si>
  <si>
    <t>OAG-VAD-0337-2023</t>
  </si>
  <si>
    <t>RICHAR DE JESUS MONTERO OJEDA</t>
  </si>
  <si>
    <t>https://community.secop.gov.co/Public/Tendering/OpportunityDetail/Index?noticeUID=CO1.NTC.3974115&amp;isFromPublicArea=True&amp;isModal=true&amp;asPopupView=true</t>
  </si>
  <si>
    <t>OAG-VAD-0338-2023</t>
  </si>
  <si>
    <t>ROMARIO FARIA PEREZ MACHADO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</si>
  <si>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</si>
  <si>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https://community.secop.gov.co/Public/Tendering/OpportunityDetail/Index?noticeUID=CO1.NTC.3974223&amp;isFromPublicArea=True&amp;isModal=true&amp;asPopupView=true</t>
  </si>
  <si>
    <t>OAG-VAD-0339-2023</t>
  </si>
  <si>
    <t>SIGIFREDO GARCIA FUENTES</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</si>
  <si>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</si>
  <si>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https://community.secop.gov.co/Public/Tendering/OpportunityDetail/Index?noticeUID=CO1.NTC.3973959&amp;isFromPublicArea=True&amp;isModal=true&amp;asPopupView=true</t>
  </si>
  <si>
    <t>OAG-VAD-0340-2023</t>
  </si>
  <si>
    <t>YEINNER DE JESUS MEZA RIVAS</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</si>
  <si>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gestión de las redes sociales de la biblioteca. 9. Apoyar los procesos de evaluación de los servicios de la biblioteca. 10. Apoyar la construcción de informes y estadísticas de servicios y/o procesos. </t>
  </si>
  <si>
    <t>https://community.secop.gov.co/Public/Tendering/OpportunityDetail/Index?noticeUID=CO1.NTC.3974057&amp;isFromPublicArea=True&amp;isModal=true&amp;asPopupView=true</t>
  </si>
  <si>
    <t>OAG-VAD-0341-2023</t>
  </si>
  <si>
    <t>YUDYS ULISES ARCE VILLAREAL</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</si>
  <si>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</si>
  <si>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https://community.secop.gov.co/Public/Tendering/OpportunityDetail/Index?noticeUID=CO1.NTC.3974060&amp;isFromPublicArea=True&amp;isModal=true&amp;asPopupView=true</t>
  </si>
  <si>
    <t>OPSP-VAD-0342-2023</t>
  </si>
  <si>
    <t>La presente orden tiene por objeto 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y asistir a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en los procesos de compra de equipos e insumos del Objetivo 1.</t>
  </si>
  <si>
    <t>https://community.secop.gov.co/Public/Tendering/OpportunityDetail/Index?noticeUID=CO1.NTC.3983168&amp;isFromPublicArea=True&amp;isModal=true&amp;asPopupView=true</t>
  </si>
  <si>
    <t>OPSP-VAD-0343-2023</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</si>
  <si>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</si>
  <si>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</si>
  <si>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https://community.secop.gov.co/Public/Tendering/OpportunityDetail/Index?noticeUID=CO1.NTC.3983179&amp;isFromPublicArea=True&amp;isModal=true&amp;asPopupView=true</t>
  </si>
  <si>
    <t>OPSP-VAD-0344-2023</t>
  </si>
  <si>
    <t>SIDIS JOHANA SUAREZ MEDINA</t>
  </si>
  <si>
    <t xml:space="preserve">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</si>
  <si>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https://community.secop.gov.co/Public/Tendering/OpportunityDetail/Index?noticeUID=CO1.NTC.3983188&amp;isFromPublicArea=True&amp;isModal=true&amp;asPopupView=true</t>
  </si>
  <si>
    <t>OPSP-VAD-0345-2023</t>
  </si>
  <si>
    <t>OSCAR FERNANDO BORRERO PARDO</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</si>
  <si>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t>
  </si>
  <si>
    <t>https://community.secop.gov.co/Public/Tendering/OpportunityDetail/Index?noticeUID=CO1.NTC.3983196&amp;isFromPublicArea=True&amp;isModal=true&amp;asPopupView=true</t>
  </si>
  <si>
    <t>OAG-VAD-0346-2023</t>
  </si>
  <si>
    <t>ELVIRA MARIA ATIA BELLO</t>
  </si>
  <si>
    <t xml:space="preserve">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a los miembros de la comunidad Universitaria que requieran información sobre las distintas áreas de Bienestar. </t>
  </si>
  <si>
    <t>https://community.secop.gov.co/Public/Tendering/OpportunityDetail/Index?noticeUID=CO1.NTC.3983522&amp;isFromPublicArea=True&amp;isModal=true&amp;asPopupView=true</t>
  </si>
  <si>
    <t>OAG-VAD-0347-2023</t>
  </si>
  <si>
    <t>ELVIRA OLGA TORREGROZA CABARCAS</t>
  </si>
  <si>
    <t xml:space="preserve">La presente orden tiene por objeto: 1. Apoyar en la organización de los expedientes documentales de la Vicerrectoría de Extensión y Proyección Social de acuerdo con los procedimientos y directrices institucionales. </t>
  </si>
  <si>
    <t>https://community.secop.gov.co/Public/Tendering/OpportunityDetail/Index?noticeUID=CO1.NTC.3983528&amp;isFromPublicArea=True&amp;isModal=true&amp;asPopupView=true</t>
  </si>
  <si>
    <t>OAG-VAD-0348-2023</t>
  </si>
  <si>
    <t>ENEL JESUS NIETO ROPAIN</t>
  </si>
  <si>
    <t xml:space="preserve">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el mantenimiento general a los equipos del laboratorio. 8. Apoyar en la toma de datos de campo en los pozos de monitoreo de agua subterránea. 9. Apoyar en la atención para el préstamo de equipos e insumos de topografía. </t>
  </si>
  <si>
    <t>KATHERINE OLIVOS COLLANTES</t>
  </si>
  <si>
    <t>https://community.secop.gov.co/Public/Tendering/OpportunityDetail/Index?noticeUID=CO1.NTC.3983485&amp;isFromPublicArea=True&amp;isModal=true&amp;asPopupView=true</t>
  </si>
  <si>
    <t>OPSP-VAD-0349-2023</t>
  </si>
  <si>
    <t>FRANCKY NORBERTO CORREDOR SANTAMARIA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</si>
  <si>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frente a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</si>
  <si>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https://community.secop.gov.co/Public/Tendering/OpportunityDetail/Index?noticeUID=CO1.NTC.3983707&amp;isFromPublicArea=True&amp;isModal=true&amp;asPopupView=true</t>
  </si>
  <si>
    <t>OAG-VAD-0350-2023</t>
  </si>
  <si>
    <t>GUSTAVO ADOLFO ARDILA RODRIGUEZ</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</si>
  <si>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t>
  </si>
  <si>
    <t>https://community.secop.gov.co/Public/Tendering/OpportunityDetail/Index?noticeUID=CO1.NTC.3983551&amp;isFromPublicArea=True&amp;isModal=true&amp;asPopupView=true</t>
  </si>
  <si>
    <t>OPSP-VAD-0351-2023</t>
  </si>
  <si>
    <t xml:space="preserve">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t>
  </si>
  <si>
    <t>https://community.secop.gov.co/Public/Tendering/OpportunityDetail/Index?noticeUID=CO1.NTC.3983735&amp;isFromPublicArea=True&amp;isModal=true&amp;asPopupView=true</t>
  </si>
  <si>
    <t>OAG-VAD-0352-2023</t>
  </si>
  <si>
    <t>IVONE PAOLA ARIAS ALCOCER</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</si>
  <si>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t>
  </si>
  <si>
    <t>https://community.secop.gov.co/Public/Tendering/OpportunityDetail/Index?noticeUID=CO1.NTC.3983745&amp;isFromPublicArea=True&amp;isModal=true&amp;asPopupView=true</t>
  </si>
  <si>
    <t>OAG-VAD-0353-2023</t>
  </si>
  <si>
    <t>JADER PINEDA ARRIETA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</si>
  <si>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</si>
  <si>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https://community.secop.gov.co/Public/Tendering/OpportunityDetail/Index?noticeUID=CO1.NTC.3983753&amp;isFromPublicArea=True&amp;isModal=true&amp;asPopupView=true</t>
  </si>
  <si>
    <t>OPSP-VAD-0354-2023</t>
  </si>
  <si>
    <t>JOSE ALFONSO VILLACOB ROYERTH</t>
  </si>
  <si>
    <t xml:space="preserve">La presente orden tiene por objeto: 1. Apoyar la Facultad de Ciencias Básicas en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 acreditación y registro calificado del programa de Biología. 6. Apoyar en la divulgación de información de regulación académica, calendarios, eventos, promoción de la oferta académica, convocatoria de reuniones, en las redes sociales de la Facultad. 7. Apoyar en el proceso de construcción del programa académico de Etnobiología. </t>
  </si>
  <si>
    <t>https://community.secop.gov.co/Public/Tendering/OpportunityDetail/Index?noticeUID=CO1.NTC.3983663&amp;isFromPublicArea=True&amp;isModal=true&amp;asPopupView=true</t>
  </si>
  <si>
    <t>OAG-VAD-0355-2023</t>
  </si>
  <si>
    <t>LAUDYS  ESTHER GUTIERREZ  PABA</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</si>
  <si>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</si>
  <si>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https://community.secop.gov.co/Public/Tendering/OpportunityDetail/Index?noticeUID=CO1.NTC.3983772&amp;isFromPublicArea=True&amp;isModal=true&amp;asPopupView=true</t>
  </si>
  <si>
    <t>OAG-VAD-0356-2023</t>
  </si>
  <si>
    <t>LILIANA ESTHER CARDONA PERTUZ</t>
  </si>
  <si>
    <t xml:space="preserve">La presente orden tiene por objeto: 1. Apoyar al Grupo Interno de Servicios Generales en la atención a los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t>
  </si>
  <si>
    <t>https://community.secop.gov.co/Public/Tendering/OpportunityDetail/Index?noticeUID=CO1.NTC.3983577&amp;isFromPublicArea=True&amp;isModal=true&amp;asPopupView=true</t>
  </si>
  <si>
    <t>OAG-VAD-0357-2023</t>
  </si>
  <si>
    <t>LUIS JOSE AYALA CORREDOR</t>
  </si>
  <si>
    <t>https://community.secop.gov.co/Public/Tendering/OpportunityDetail/Index?noticeUID=CO1.NTC.3983583&amp;isFromPublicArea=True&amp;isModal=true&amp;asPopupView=true</t>
  </si>
  <si>
    <t>OPSP-VAD-0358-2023</t>
  </si>
  <si>
    <t>MARIA INES MOSCARELLA VALLE</t>
  </si>
  <si>
    <t xml:space="preserve">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el buen manejo del archivo y la correspondencia de acuerdo a los lineamientos del Grupo de Gestión Documental. 7. Rendir informes mensuales sobre las actividades desarrolladas, en cumplimiento de la presente orden de prestación de servicios. </t>
  </si>
  <si>
    <t>https://community.secop.gov.co/Public/Tendering/OpportunityDetail/Index?noticeUID=CO1.NTC.3983684&amp;isFromPublicArea=True&amp;isModal=true&amp;asPopupView=true</t>
  </si>
  <si>
    <t>OPSP-VAD-0359-2023</t>
  </si>
  <si>
    <t>NATALIA MARIA LARA SAMPAYO</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</si>
  <si>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</si>
  <si>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https://community.secop.gov.co/Public/Tendering/OpportunityDetail/Index?noticeUID=CO1.NTC.3983795&amp;isFromPublicArea=True&amp;isModal=true&amp;asPopupView=true</t>
  </si>
  <si>
    <t>OPSP-VAD-0360-2023</t>
  </si>
  <si>
    <t>ORLANDO CLARETH LABORDE MONTES</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</si>
  <si>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</si>
  <si>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https://community.secop.gov.co/Public/Tendering/OpportunityDetail/Index?noticeUID=CO1.NTC.3983804&amp;isFromPublicArea=True&amp;isModal=true&amp;asPopupView=true</t>
  </si>
  <si>
    <t>OAG-VAD-0361-2023</t>
  </si>
  <si>
    <t>RAFAEL ANGEL VARGAS CONTRERAS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</si>
  <si>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</si>
  <si>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https://community.secop.gov.co/Public/Tendering/OpportunityDetail/Index?noticeUID=CO1.NTC.3983811&amp;isFromPublicArea=True&amp;isModal=true&amp;asPopupView=true</t>
  </si>
  <si>
    <t>OPSP-VAD-0362-2023</t>
  </si>
  <si>
    <t>RODRIGO DAVID FRANCO BERROCAL</t>
  </si>
  <si>
    <t xml:space="preserve">La presente orden tiene por objeto: 1. Apoyar en la Consolidación y elaborar reportes de SNIES. 2. Apoyar en la organización y liderar la realización de actividades en las sedes digitales bloque 10 de la Universidad del Magdalena. 3. Apoyar en la gestión alianzas para la puesta en funcionamiento de nuevas sedes digitales bloque 10. </t>
  </si>
  <si>
    <t>https://community.secop.gov.co/Public/Tendering/OpportunityDetail/Index?noticeUID=CO1.NTC.3983814&amp;isFromPublicArea=True&amp;isModal=true&amp;asPopupView=true</t>
  </si>
  <si>
    <t>OAG-VAD-0363-2023</t>
  </si>
  <si>
    <t>STEVEN DANIEL CODINA CANTILLO</t>
  </si>
  <si>
    <t xml:space="preserve">La presente orden tiene por objeto: 1. Apoyar a la Direccion de Bienestar Universitario en la elaboración de un Plan de Trabajo, proponiendo metas encaminadas al desarrollo de las actividades objeto de la presente orden.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las actividades. </t>
  </si>
  <si>
    <t>https://community.secop.gov.co/Public/Tendering/OpportunityDetail/Index?noticeUID=CO1.NTC.3983821&amp;isFromPublicArea=True&amp;isModal=true&amp;asPopupView=true</t>
  </si>
  <si>
    <t>OAG-VAD-0364-2023</t>
  </si>
  <si>
    <t>YASNIRIS JULIO MUÑOZ</t>
  </si>
  <si>
    <t>La presente orden tiene por objeto: 1. Apoyar al Grupo Interno de Servicios Generales en la supervisión de espacios físicos que comprenden la Biblioteca German Bula Meyer. 2. Apoyar al GSG en aperturas de salones, espacios académicos y administrativos del Campus o alguna Sede Alterna. 3. Apoyar al GSG en revisiones a los diferentes espacios y reportar cualquier anomalía que observe y afecte negativamente a la institución. 4. Apoyar al GSG en la entrega de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7. Cumplir con las normas de higiene, medicina del trabajo, salud ocupacional, prevención y control de riesgo que determine la institución como de obligatorio cumplimiento</t>
  </si>
  <si>
    <t>https://community.secop.gov.co/Public/Tendering/OpportunityDetail/Index?noticeUID=CO1.NTC.3983750&amp;isFromPublicArea=True&amp;isModal=true&amp;asPopupView=true</t>
  </si>
  <si>
    <t>OAG-VAD-0365-2023</t>
  </si>
  <si>
    <t>ANA KARINA CAMPO VERGARA</t>
  </si>
  <si>
    <t xml:space="preserve">La presente orden tiene por objeto: 1.Apoyar a la Dirección de Bienestar Universitario en el diseño gráfico de los distintos procesos institucionales. 2. Apoyar en la construcción de piezas gráficas solicitadas para el desarrollo de eventos internos o externos de la universidad del Magdalena. 3. Apoyar en el diseño de la imagen corporativa de la universidad. 4. Apoyar en la elaboración de piezas para la oferta académica y elementos de merchandising para diferentes áreas y/o eventos institucionales. 5. Apoyar en la atención a los miembros de la comunidad Universitaria que requieran información sobre las distintas áreas de Bienestar. </t>
  </si>
  <si>
    <t>https://community.secop.gov.co/Public/Tendering/OpportunityDetail/Index?noticeUID=CO1.NTC.3983276&amp;isFromPublicArea=True&amp;isModal=true&amp;asPopupView=true</t>
  </si>
  <si>
    <t>OPSP-VAD-0366-2023</t>
  </si>
  <si>
    <t>CRISTINA ISABEL PEINADO GUTIERREZ</t>
  </si>
  <si>
    <t xml:space="preserve">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t>
  </si>
  <si>
    <t>https://community.secop.gov.co/Public/Tendering/OpportunityDetail/Index?noticeUID=CO1.NTC.3983836&amp;isFromPublicArea=True&amp;isModal=true&amp;asPopupView=true</t>
  </si>
  <si>
    <t>OPSP-VAD-0367-2023</t>
  </si>
  <si>
    <t>DANIEL JOSE TAMAYO ELJURE</t>
  </si>
  <si>
    <t>https://community.secop.gov.co/Public/Tendering/OpportunityDetail/Index?noticeUID=CO1.NTC.3983841&amp;isFromPublicArea=True&amp;isModal=true&amp;asPopupView=true</t>
  </si>
  <si>
    <t>OAG-VAD-0368-2023</t>
  </si>
  <si>
    <t>EDILBERTO GOMEZ ANAYA</t>
  </si>
  <si>
    <t>https://community.secop.gov.co/Public/Tendering/OpportunityDetail/Index?noticeUID=CO1.NTC.3983766&amp;isFromPublicArea=True&amp;isModal=true&amp;asPopupView=true</t>
  </si>
  <si>
    <t>OAG-VAD-0369-2023</t>
  </si>
  <si>
    <t>GUSTAVO ENRIQUE CUAO CAMPO</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</si>
  <si>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5. Diligenciar oportunamente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</si>
  <si>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https://community.secop.gov.co/Public/Tendering/OpportunityDetail/Index?noticeUID=CO1.NTC.3983770&amp;isFromPublicArea=True&amp;isModal=true&amp;asPopupView=true</t>
  </si>
  <si>
    <t>OAG-VAD-0370-2023</t>
  </si>
  <si>
    <t>JAIME RAFAEL VILLA VALENCIA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</si>
  <si>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</si>
  <si>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https://community.secop.gov.co/Public/Tendering/OpportunityDetail/Index?noticeUID=CO1.NTC.3983775&amp;isFromPublicArea=True&amp;isModal=true&amp;asPopupView=true</t>
  </si>
  <si>
    <t>OAG-VAD-0371-2023</t>
  </si>
  <si>
    <t>LUIS MIGUEL MADERO OLIVARES</t>
  </si>
  <si>
    <t xml:space="preserve">La presente orden tiene por objeto: 1. Apoyar a la Direccion de Bienestar Universitario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</si>
  <si>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https://community.secop.gov.co/Public/Tendering/OpportunityDetail/Index?noticeUID=CO1.NTC.3983781&amp;isFromPublicArea=True&amp;isModal=true&amp;asPopupView=true</t>
  </si>
  <si>
    <t>OAG-VAD-0372-2023</t>
  </si>
  <si>
    <t>MARTIN ALONSO SUAREZ MAZENETT</t>
  </si>
  <si>
    <t xml:space="preserve">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t>
  </si>
  <si>
    <t>https://community.secop.gov.co/Public/Tendering/OpportunityDetail/Index?noticeUID=CO1.NTC.3983675&amp;isFromPublicArea=True&amp;isModal=true&amp;asPopupView=true</t>
  </si>
  <si>
    <t>OAG-VAD-0373-2023</t>
  </si>
  <si>
    <t>RODNEY DAVID GARCIA OSPINO</t>
  </si>
  <si>
    <t xml:space="preserve">La presente orden tiene por objeto: 1. Apoyar a la Direccion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</si>
  <si>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https://community.secop.gov.co/Public/Tendering/OpportunityDetail/Index?noticeUID=CO1.NTC.3983581&amp;isFromPublicArea=True&amp;isModal=true&amp;asPopupView=true</t>
  </si>
  <si>
    <t>OPSP-VAD-0374-2023</t>
  </si>
  <si>
    <t>RODRIGO ANTONIO PEÑARREDONDA DUEÑAS</t>
  </si>
  <si>
    <t xml:space="preserve">La presente orden tiene por objeto: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 por la Dirección de Prácticas Profesionales. </t>
  </si>
  <si>
    <t>https://community.secop.gov.co/Public/Tendering/OpportunityDetail/Index?noticeUID=CO1.NTC.3983588&amp;isFromPublicArea=True&amp;isModal=true&amp;asPopupView=true</t>
  </si>
  <si>
    <t>OPSP-VAD-0375-2023</t>
  </si>
  <si>
    <t>YEINS ORLANDO RODRIGUEZ GUTIERREZ</t>
  </si>
  <si>
    <t>https://community.secop.gov.co/Public/Tendering/OpportunityDetail/Index?noticeUID=CO1.NTC.3983589&amp;isFromPublicArea=True&amp;isModal=true&amp;asPopupView=true</t>
  </si>
  <si>
    <t>OPSP-VAD-0376-2023</t>
  </si>
  <si>
    <t>LUIS FERNANDO SANCHEZ LOPEZ</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</si>
  <si>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 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t>
  </si>
  <si>
    <t>https://community.secop.gov.co/Public/Tendering/OpportunityDetail/Index?noticeUID=CO1.NTC.3983592&amp;isFromPublicArea=True&amp;isModal=true&amp;asPopupView=true</t>
  </si>
  <si>
    <t>OPSP-VAD-0377-2023</t>
  </si>
  <si>
    <t>MARIA CRISTINA LOPEZ HOYOS</t>
  </si>
  <si>
    <t xml:space="preserve">La presente orden tiene por objeto: 1. Apoyar a la Dirección de Comunicaciones en el desarrollo de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t>
  </si>
  <si>
    <t>https://community.secop.gov.co/Public/Tendering/OpportunityDetail/Index?noticeUID=CO1.NTC.3983598&amp;isFromPublicArea=True&amp;isModal=true&amp;asPopupView=true</t>
  </si>
  <si>
    <t>OAG-VAD-0378-2023</t>
  </si>
  <si>
    <t>ALFREDO SHARYNE VALDELAMAR SALJA</t>
  </si>
  <si>
    <t>https://community.secop.gov.co/Public/Tendering/OpportunityDetail/Index?noticeUID=CO1.NTC.3996156&amp;isFromPublicArea=True&amp;isModal=true&amp;asPopupView=true</t>
  </si>
  <si>
    <t>OAG-VAD-0379-2023</t>
  </si>
  <si>
    <t>ALISON PAOLA LLANES LOBO</t>
  </si>
  <si>
    <t xml:space="preserve">La presente orden tiene por objeto: 1. Apoyar en la Formulación de planes de operación de la Sala Amiga de la Familia Lactante. 2. Apoyar en la aplicación de instrumentos de chequeo con base en la Res. 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t>
  </si>
  <si>
    <t>https://community.secop.gov.co/Public/Tendering/OpportunityDetail/Index?noticeUID=CO1.NTC.3996160&amp;isFromPublicArea=True&amp;isModal=true&amp;asPopupView=true</t>
  </si>
  <si>
    <t>OPSP-VAD-0380-2023</t>
  </si>
  <si>
    <t>ANA ISABEL TETTE MARQUEZ</t>
  </si>
  <si>
    <t xml:space="preserve">La presente orden tiene por objeto: 1. Apoyar en el fortalecimiento del programa de seguridad del paciente de la clínica odontológica. 2. Apoyar en el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 </t>
  </si>
  <si>
    <t>https://community.secop.gov.co/Public/Tendering/OpportunityDetail/Index?noticeUID=CO1.NTC.3996164&amp;isFromPublicArea=True&amp;isModal=true&amp;asPopupView=true</t>
  </si>
  <si>
    <t>OAG-VAD-0381-2023</t>
  </si>
  <si>
    <t>ANDRES FELIPE VALLE GONZALEZ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</si>
  <si>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</si>
  <si>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RONAL MARTINEZ ABUABARA</t>
  </si>
  <si>
    <t>https://community.secop.gov.co/Public/Tendering/OpportunityDetail/Index?noticeUID=CO1.NTC.3996235&amp;isFromPublicArea=True&amp;isModal=true&amp;asPopupView=true</t>
  </si>
  <si>
    <t>OPSP-VAD-0382-2023</t>
  </si>
  <si>
    <t>BRAYAN JOSE PARRA ORTIZ</t>
  </si>
  <si>
    <t xml:space="preserve">La presente orden tiene por objeto: 1. Apoyar en las etapas precontractuales, contractuales y potscontractual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t>
  </si>
  <si>
    <t>https://community.secop.gov.co/Public/Tendering/OpportunityDetail/Index?noticeUID=CO1.NTC.3996169&amp;isFromPublicArea=True&amp;isModal=true&amp;asPopupView=true</t>
  </si>
  <si>
    <t>OPSP-VAD-0383-2023</t>
  </si>
  <si>
    <t>CARLOS RAFAEL GARIZABALO HOYOS</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</si>
  <si>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la revisión, analisis y elaboración de informe de Evaluación a la Gestión Contractual trimestral. 5. Apoyar a la Oficina de Control Interno en la elaboración de informe de seguimiento al estado de las PQRS recibidas por la Universidad con periodicidad semestral y anual. 6. Apoyar a la Oficina de Control Interno en el estudio, evaluación y emisión de conceptos que le sean requeridos, en el análisis y respuesta de posibles PQRS y en el seguimiento al cumplimiento de los requerimientos.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</si>
  <si>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https://community.secop.gov.co/Public/Tendering/OpportunityDetail/Index?noticeUID=CO1.NTC.3996237&amp;isFromPublicArea=True&amp;isModal=true&amp;asPopupView=true</t>
  </si>
  <si>
    <t>OAG-VAD-0384-2023</t>
  </si>
  <si>
    <t>CHRISTHIAN CAMILO NUÑEZ GARCIA</t>
  </si>
  <si>
    <t>https://community.secop.gov.co/Public/Tendering/OpportunityDetail/Index?noticeUID=CO1.NTC.3996171&amp;isFromPublicArea=True&amp;isModal=true&amp;asPopupView=true</t>
  </si>
  <si>
    <t>OPSP-VAD-0385-2023</t>
  </si>
  <si>
    <t>DANIEL CAMILO AARON LINERO</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</si>
  <si>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</si>
  <si>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https://community.secop.gov.co/Public/Tendering/OpportunityDetail/Index?noticeUID=CO1.NTC.3996526&amp;isFromPublicArea=True&amp;isModal=true&amp;asPopupView=true</t>
  </si>
  <si>
    <t>OPSP-VAD-0386-2023</t>
  </si>
  <si>
    <t>DANILA RIZA MEDINA</t>
  </si>
  <si>
    <t xml:space="preserve">La presente orden tiene por objeto: 1. Apoyar en la coordinación de la convocatoria Explora CCYK de movilidad nacional entre universidades miembro de la Red CCYK (Colombia Challenge your Knowledge). 2. Apoyar la gestión de las convocatorias de movilidad nacional e internacional saliente – Conexión Global, Doble Titulación Internacional, Pasantías Globales y otras que surjan como resultado de la participación de la oficina en convocatorias y programas internacionales. 3. Apoyar el reporte y registro de la movilidad internacional entrante y saliente. 4. Apoyar las actividades de tipo informativas y de difusión de la ORI y gestión de las redes sociales de la oficina. </t>
  </si>
  <si>
    <t>https://community.secop.gov.co/Public/Tendering/OpportunityDetail/Index?noticeUID=CO1.NTC.3996531&amp;isFromPublicArea=True&amp;isModal=true&amp;asPopupView=true</t>
  </si>
  <si>
    <t>OAG-VAD-0387-2023</t>
  </si>
  <si>
    <t>DILAN DAVID SOLAR TOUS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</si>
  <si>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</si>
  <si>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https://community.secop.gov.co/Public/Tendering/OpportunityDetail/Index?noticeUID=CO1.NTC.3996246&amp;isFromPublicArea=True&amp;isModal=true&amp;asPopupView=true</t>
  </si>
  <si>
    <t>OAG-VAD-0388-2023</t>
  </si>
  <si>
    <t>EDWIN DAVID ROSADO FLOREZ</t>
  </si>
  <si>
    <t>https://community.secop.gov.co/Public/Tendering/OpportunityDetail/Index?noticeUID=CO1.NTC.3996535&amp;isFromPublicArea=True&amp;isModal=true&amp;asPopupView=true</t>
  </si>
  <si>
    <t>OAG-VAD-0389-2023</t>
  </si>
  <si>
    <t>EMILY VANESSA CANTILLO VENERA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</si>
  <si>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</si>
  <si>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https://community.secop.gov.co/Public/Tendering/OpportunityDetail/Index?noticeUID=CO1.NTC.3996540&amp;isFromPublicArea=True&amp;isModal=true&amp;asPopupView=true</t>
  </si>
  <si>
    <t>OAG-VAD-0390-2023</t>
  </si>
  <si>
    <t>ESTEFANY RAMOS PEREZ</t>
  </si>
  <si>
    <t xml:space="preserve">La presente orden tiene por objeto: 1. Realizar indicación al personal que ingrese a la clínica sobre el protocolo de lavado de manos. 2. Apoyar en la verificación del Uso obligatorio de tapaboca al ingreso de la clínica. 3. Recibir Instrumental contaminado, lavado y empaque del Instrumental en la Central de Esterilización, después del turno clínico. 4. Apoyar en el proceso de esterilización, limpieza y desinfección de las áreas de la Clínica Odontológica. 5. Apoyar el cumplimiento del Proceso de Esterilización de la Clínica Odontológica. 6. Apoyar la entrega oportuna del instrumental esterilizado a los estudiantes de prácticas Clínica. </t>
  </si>
  <si>
    <t>https://community.secop.gov.co/Public/Tendering/OpportunityDetail/Index?noticeUID=CO1.NTC.3996543&amp;isFromPublicArea=True&amp;isModal=true&amp;asPopupView=true</t>
  </si>
  <si>
    <t>OAG-VAD-0391-2023</t>
  </si>
  <si>
    <t>IMAEL FABRICIO VARGAS MONTENEGRO</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</si>
  <si>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t>
  </si>
  <si>
    <t>JOAQUÍN ALBERTO POMARES BLAISE</t>
  </si>
  <si>
    <t>https://community.secop.gov.co/Public/Tendering/OpportunityDetail/Index?noticeUID=CO1.NTC.3996256&amp;isFromPublicArea=True&amp;isModal=true&amp;asPopupView=true</t>
  </si>
  <si>
    <t>OPSP-VAD-0392-2023</t>
  </si>
  <si>
    <t>HERNANDO JOSE SAUCEDO HERNANDEZ</t>
  </si>
  <si>
    <t xml:space="preserve">La presente orden tiene por objeto: 1. Apoyar y asesorar en la identificación de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</si>
  <si>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https://community.secop.gov.co/Public/Tendering/OpportunityDetail/Index?noticeUID=CO1.NTC.3996182&amp;isFromPublicArea=True&amp;isModal=true&amp;asPopupView=true</t>
  </si>
  <si>
    <t>OAG-VAD-0393-2023</t>
  </si>
  <si>
    <t>JULIO ENRIQUE CORVACHO LARA</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</si>
  <si>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</si>
  <si>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https://community.secop.gov.co/Public/Tendering/OpportunityDetail/Index?noticeUID=CO1.NTC.3995929&amp;isFromPublicArea=True&amp;isModal=true&amp;asPopupView=true</t>
  </si>
  <si>
    <t>OAG-VAD-0394-2023</t>
  </si>
  <si>
    <t>KAREN ROCIO SARMIENTOPEREZ VILLAREAL</t>
  </si>
  <si>
    <t xml:space="preserve">La presente orden tiene por objeto: 1. Apoyar en el ingreso y revisión de información en la plataforma SIA OBSERVA. 2. Apoyar en el cargue y revisión de información en la plataforma SECOP II. 3. Apoyar en la elaboración de informe de trasparencia mensual. 4. Apoyar en la elaboración de informe de contratación semestral. 5. Apoyar en la elaboración del Informe de contratación F20. </t>
  </si>
  <si>
    <t>https://community.secop.gov.co/Public/Tendering/OpportunityDetail/Index?noticeUID=CO1.NTC.3995947&amp;isFromPublicArea=True&amp;isModal=true&amp;asPopupView=true</t>
  </si>
  <si>
    <t>OAG-VAD-0395-2023</t>
  </si>
  <si>
    <t>KELLYS MARIA MANCERA LOPEZ</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</si>
  <si>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consevación del archivo de Historia Clínica. 4.Apoyar el registro diario de consultas de la clínica odontológica. 5. Apoyar en la atención de estudiantes, docentes y público en general. 6. Verificar el buen manejo de los recursos materiales de la clínica. 7. Apoyar en la verificación de la seguridad, orden y limpieza del área de trabajo de la clínica. </t>
  </si>
  <si>
    <t>https://community.secop.gov.co/Public/Tendering/OpportunityDetail/Index?noticeUID=CO1.NTC.3995956&amp;isFromPublicArea=True&amp;isModal=true&amp;asPopupView=true</t>
  </si>
  <si>
    <t>OAG-VAD-0396-2023</t>
  </si>
  <si>
    <t>LILIANA PAOLA RIOS PERDOMO</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</si>
  <si>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</si>
  <si>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https://community.secop.gov.co/Public/Tendering/OpportunityDetail/Index?noticeUID=CO1.NTC.3995960&amp;isFromPublicArea=True&amp;isModal=true&amp;asPopupView=true</t>
  </si>
  <si>
    <t>OAG-VAD-0397-2023</t>
  </si>
  <si>
    <t>LUIS ALEXANDER HERRERA PEREZ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</si>
  <si>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t>
  </si>
  <si>
    <t>https://community.secop.gov.co/Public/Tendering/OpportunityDetail/Index?noticeUID=CO1.NTC.3996055&amp;isFromPublicArea=True&amp;isModal=true&amp;asPopupView=true</t>
  </si>
  <si>
    <t>OAG-VAD-0398-2023</t>
  </si>
  <si>
    <t>MARA PAOLA OLMEDO ESPINOZA</t>
  </si>
  <si>
    <t xml:space="preserve">La presente orden tiene por objeto:1.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t>
  </si>
  <si>
    <t>https://community.secop.gov.co/Public/Tendering/OpportunityDetail/Index?noticeUID=CO1.NTC.3996068&amp;isFromPublicArea=True&amp;isModal=true&amp;asPopupView=true</t>
  </si>
  <si>
    <t>OPSP-VAD-0399-2023</t>
  </si>
  <si>
    <t>MARTHA PATRICIA PALACIO LIZCANO</t>
  </si>
  <si>
    <t xml:space="preserve">La presente orden tiene por objeto: 1. Apoyar en la atención básica, oportuna y adecuada en consulta como odontólogo a los miembros de Comunidad Universitaria.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t>
  </si>
  <si>
    <t>https://community.secop.gov.co/Public/Tendering/OpportunityDetail/Index?noticeUID=CO1.NTC.3996081&amp;isFromPublicArea=True&amp;isModal=true&amp;asPopupView=true</t>
  </si>
  <si>
    <t>OAG-VAD-0400-2023</t>
  </si>
  <si>
    <t>MARVIN ALEXI GARCIA RODRIGUEZ</t>
  </si>
  <si>
    <t xml:space="preserve">La presente orden tiene por objeto: 1. Apoyar  a la Dirección de Bienestar Universitario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</si>
  <si>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https://community.secop.gov.co/Public/Tendering/OpportunityDetail/Index?noticeUID=CO1.NTC.3996131&amp;isFromPublicArea=True&amp;isModal=true&amp;asPopupView=true</t>
  </si>
  <si>
    <t>OAG-VAD-0401-2023</t>
  </si>
  <si>
    <t>OLGA MARINA LOPEZ CASTRO</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</si>
  <si>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</si>
  <si>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https://community.secop.gov.co/Public/Tendering/OpportunityDetail/Index?noticeUID=CO1.NTC.3996143&amp;isFromPublicArea=True&amp;isModal=true&amp;asPopupView=true</t>
  </si>
  <si>
    <t>OAG-VAD-0402-2023</t>
  </si>
  <si>
    <t>OSCAR IVAN ORDOÑEZ VALERA</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</si>
  <si>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</si>
  <si>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https://community.secop.gov.co/Public/Tendering/OpportunityDetail/Index?noticeUID=CO1.NTC.3996405&amp;isFromPublicArea=True&amp;isModal=true&amp;asPopupView=true</t>
  </si>
  <si>
    <t>OAG-VAD-0403-2023</t>
  </si>
  <si>
    <t>SAIDI MARIA  RODRIGUEZ RATIVA</t>
  </si>
  <si>
    <t xml:space="preserve">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t>
  </si>
  <si>
    <t>https://community.secop.gov.co/Public/Tendering/OpportunityDetail/Index?noticeUID=CO1.NTC.3996511&amp;isFromPublicArea=True&amp;isModal=true&amp;asPopupView=true</t>
  </si>
  <si>
    <t>OAG-VAD-0404-2023</t>
  </si>
  <si>
    <t>SEBASTIAN  CAMILO MANOTAS VELASQUEZ</t>
  </si>
  <si>
    <t xml:space="preserve">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t>
  </si>
  <si>
    <t>https://community.secop.gov.co/Public/Tendering/OpportunityDetail/Index?noticeUID=CO1.NTC.3996355&amp;isFromPublicArea=True&amp;isModal=true&amp;asPopupView=true</t>
  </si>
  <si>
    <t>OPSP-VAD-0405-2023</t>
  </si>
  <si>
    <t>XAVIER ALEXANDER MEJIA ZAGARRA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</si>
  <si>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t>
  </si>
  <si>
    <t>https://community.secop.gov.co/Public/Tendering/OpportunityDetail/Index?noticeUID=CO1.NTC.3996168&amp;isFromPublicArea=True&amp;isModal=true&amp;asPopupView=true</t>
  </si>
  <si>
    <t>OAG-VAD-0406-2023</t>
  </si>
  <si>
    <t>YULIMA PATRICIA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</si>
  <si>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previo acuerdo con el supervisor de la orden. 9. Realizar acompañamiento como intérprete de lengua de señas colombiana en eventos institucionales. 10. Prestar servicio de interpretación en lengua de señas colombiana y castellano en las grabaciones del programa “Campus TV”. </t>
  </si>
  <si>
    <t>https://community.secop.gov.co/Public/Tendering/OpportunityDetail/Index?noticeUID=CO1.NTC.3996364&amp;isFromPublicArea=True&amp;isModal=true&amp;asPopupView=true</t>
  </si>
  <si>
    <t>OPSP-VAD-0407-2023</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</si>
  <si>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</si>
  <si>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https://community.secop.gov.co/Public/Tendering/OpportunityDetail/Index?noticeUID=CO1.NTC.4005447&amp;isFromPublicArea=True&amp;isModal=true&amp;asPopupView=true</t>
  </si>
  <si>
    <t>OAG-VAD-0408-2023</t>
  </si>
  <si>
    <t>ALEXANDER MANUEL ARANGO ROJAS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</si>
  <si>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audiovisuaes. 4. Apoyar en la verificación periódicamente del Estado de los Equipos Audiovisuales, sus horas actuales y acumuladas de uso y los accesorios dispuestos en cada espacio académico. 5. Apoyar en el cumplimiento de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</si>
  <si>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https://community.secop.gov.co/Public/Tendering/OpportunityDetail/Index?noticeUID=CO1.NTC.4005452&amp;isFromPublicArea=True&amp;isModal=true&amp;asPopupView=true</t>
  </si>
  <si>
    <t>OAG-VAD-0409-2023</t>
  </si>
  <si>
    <t>ANDREA LIZETH CASTRO VELEZ</t>
  </si>
  <si>
    <t xml:space="preserve">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t>
  </si>
  <si>
    <t>https://community.secop.gov.co/Public/Tendering/OpportunityDetail/Index?noticeUID=CO1.NTC.4005462&amp;isFromPublicArea=True&amp;isModal=true&amp;asPopupView=true</t>
  </si>
  <si>
    <t>OAG-VAD-0410-2023</t>
  </si>
  <si>
    <t>ANDREA  MARCELA RAMIREZ HERNANDEZ</t>
  </si>
  <si>
    <t>https://community.secop.gov.co/Public/Tendering/OpportunityDetail/Index?noticeUID=CO1.NTC.4005470&amp;isFromPublicArea=True&amp;isModal=true&amp;asPopupView=true</t>
  </si>
  <si>
    <t>OAG-VAD-0411-2023</t>
  </si>
  <si>
    <t>CARLOS LUIS FONSECA MENDOZA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</si>
  <si>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</si>
  <si>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https://community.secop.gov.co/Public/Tendering/OpportunityDetail/Index?noticeUID=CO1.NTC.4005474&amp;isFromPublicArea=True&amp;isModal=true&amp;asPopupView=true</t>
  </si>
  <si>
    <t>OPSP-VAD-0412-2023</t>
  </si>
  <si>
    <t>ELIU MANUEL FAJARDO CASTILLO</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</si>
  <si>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</si>
  <si>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https://community.secop.gov.co/Public/Tendering/OpportunityDetail/Index?noticeUID=CO1.NTC.4005479&amp;isFromPublicArea=True&amp;isModal=true&amp;asPopupView=true</t>
  </si>
  <si>
    <t>OPSP-VAD-0413-2023</t>
  </si>
  <si>
    <t>GISELL GRAVINI PORRAS</t>
  </si>
  <si>
    <t xml:space="preserve">La presente orden tiene por objeto: Prestar servicios jurídicos para el acompañamiento del Comité de inclusión e interculturalidad durante el período académico 2023-1, mediante el desarrollo de las siguientes actividades: 1. Asesorar y apoyar las estrategias de atención y acompañamiento de la comunidad estudiantil en riesgo de discriminación, segregación y deserción de la Universidad del Magdalena. 2.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realizar actividades que promuevan la protección y promoción de los derechos humanos de las poblaciones estudiantiles de comunidades indígenas, afrocolombianos, población “LGTBIQ+”, estudiantes con discapacidad y población en riesgo de vulnerabilidad. 5. Apoyar en la realización de actividades y procesos que promuevan la inclusión real y efectiva de todos los estudiantes en la Universidad del Magdalena. 6. 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t>
  </si>
  <si>
    <t>https://community.secop.gov.co/Public/Tendering/OpportunityDetail/Index?noticeUID=CO1.NTC.4005701&amp;isFromPublicArea=True&amp;isModal=true&amp;asPopupView=true</t>
  </si>
  <si>
    <t>OPSP-VAD-0414-2023</t>
  </si>
  <si>
    <t>GUSTAVO ADOLFO AMAYA CANDIA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</si>
  <si>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</si>
  <si>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https://community.secop.gov.co/Public/Tendering/OpportunityDetail/Index?noticeUID=CO1.NTC.4005653&amp;isFromPublicArea=True&amp;isModal=true&amp;asPopupView=true</t>
  </si>
  <si>
    <t>OAG-VAD-0415-2023</t>
  </si>
  <si>
    <t>HEIMAR SONELL HINCAPIE PISCIOTTI</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</si>
  <si>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</si>
  <si>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https://community.secop.gov.co/Public/Tendering/OpportunityDetail/Index?noticeUID=CO1.NTC.4005453&amp;isFromPublicArea=True&amp;isModal=true&amp;asPopupView=true</t>
  </si>
  <si>
    <t>OAG-VAD-0416-2023</t>
  </si>
  <si>
    <t>LUIS CARLOS OLIVEROS MANJARRES</t>
  </si>
  <si>
    <t>https://community.secop.gov.co/Public/Tendering/OpportunityDetail/Index?noticeUID=CO1.NTC.4005469&amp;isFromPublicArea=True&amp;isModal=true&amp;asPopupView=true</t>
  </si>
  <si>
    <t>OPSP-VAD-0417-2023</t>
  </si>
  <si>
    <t>LUISA FERNANDA OSPINO MENDOZA</t>
  </si>
  <si>
    <t xml:space="preserve">La presente orden tiene por objeto: 1. Asesorar y apoyar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al Grupo de Estampilla en la evaluación de la primera etapa de la auditoria a los contratos que las entidades envían como exentos del pago de la estampilla. 4. Apoyar al Grupo de Estampilla en la clasificación de los hallazgos resultantes de la primera etapa y elaboración de las comunicaciones pertinentes. 5. Apoyar al Grupo de Estampilla en el análisis y verificación de los Acuerdos Municipales por medio de los cuales los municipios adoptaron la estampilla. 6. Asesorar y apoyar en el analisis de los hallazgos encontrados con la coordinación de la oficina y el asesor jurídico. 7. Asesorar y apoyar al Grupo de Estampilla en la proyección de solicitud de información adicional que se requiera de los contratos objetos de estudio de auditoria. 8. Asesorar y apoyar en el análisis de las actividades que se determinen en las diferentes mesas de trabajos. 9. Apoyar al Grupo de Estampilla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</si>
  <si>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https://community.secop.gov.co/Public/Tendering/OpportunityDetail/Index?noticeUID=CO1.NTC.4005641&amp;isFromPublicArea=True&amp;isModal=true&amp;asPopupView=true</t>
  </si>
  <si>
    <t>OAG-VAD-0418-2023</t>
  </si>
  <si>
    <t>MARIA PATRICIA RIASCOS FANDIÑO</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</si>
  <si>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al GSG en los controles que se deben realizar a los mantenimientos de motobombas, motores eléctricos, vehículos institucionales, ascensores, soldadura, cerrajería, polarizados, lavado de albercas, carpintería en madera y plantas eléctricas.</t>
  </si>
  <si>
    <t>https://community.secop.gov.co/Public/Tendering/OpportunityDetail/Index?noticeUID=CO1.NTC.4005565&amp;isFromPublicArea=True&amp;isModal=true&amp;asPopupView=true</t>
  </si>
  <si>
    <t>OAG-VAD-0419-2023</t>
  </si>
  <si>
    <t>MARINA MERCEDES MIER MANGA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</si>
  <si>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el control de usuarios en salas de lectura y de circulación y préstamo. 6. Apoyar en la organización de las colecciones bibliográficas en la estantería y para mantenerlas en orden. 7. Apoyar en la reparación de ejemplares físicos deteriorados. </t>
  </si>
  <si>
    <t>https://community.secop.gov.co/Public/Tendering/OpportunityDetail/Index?noticeUID=CO1.NTC.4005579&amp;isFromPublicArea=True&amp;isModal=true&amp;asPopupView=true</t>
  </si>
  <si>
    <t>OAG-VAD-0420-2023</t>
  </si>
  <si>
    <t>VANESA ALEXANDRA BARRANCO EVILLA</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</si>
  <si>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limpieza y monitoreo de reproductores 16. Apoyar en el transporte de peces desde la Cienaga Grande de Santa Marta hasta la estación psicícola de la institución. </t>
  </si>
  <si>
    <t>https://community.secop.gov.co/Public/Tendering/OpportunityDetail/Index?noticeUID=CO1.NTC.4005589&amp;isFromPublicArea=True&amp;isModal=true&amp;asPopupView=true</t>
  </si>
  <si>
    <t>OAG-VAD-0421-2023</t>
  </si>
  <si>
    <t>VICTOR ALBERTO LARA MARTINEZ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</si>
  <si>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apoyar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</si>
  <si>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https://community.secop.gov.co/Public/Tendering/OpportunityDetail/Index?noticeUID=CO1.NTC.4005592&amp;isFromPublicArea=True&amp;isModal=true&amp;asPopupView=true</t>
  </si>
  <si>
    <t>OAG-VAD-0422-2023</t>
  </si>
  <si>
    <t>WALDIR MANGA BARROS</t>
  </si>
  <si>
    <t xml:space="preserve">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t>
  </si>
  <si>
    <t>https://community.secop.gov.co/Public/Tendering/OpportunityDetail/Index?noticeUID=CO1.NTC.4006009&amp;isFromPublicArea=True&amp;isModal=true&amp;asPopupView=true</t>
  </si>
  <si>
    <t>OAG-VAD-0423-2023</t>
  </si>
  <si>
    <t>ADRIANA PAOLA NAVARRO BECERRA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</si>
  <si>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</si>
  <si>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https://community.secop.gov.co/Public/Tendering/OpportunityDetail/Index?noticeUID=CO1.NTC.4015148&amp;isFromPublicArea=True&amp;isModal=true&amp;asPopupView=true</t>
  </si>
  <si>
    <t>OAG-VAD-0424-2023</t>
  </si>
  <si>
    <t>ANA JOSEFA ANAYA HERNANDEZ</t>
  </si>
  <si>
    <t>https://community.secop.gov.co/Public/Tendering/OpportunityDetail/Index?noticeUID=CO1.NTC.4015146&amp;isFromPublicArea=True&amp;isModal=true&amp;asPopupView=true</t>
  </si>
  <si>
    <t>OAG-VAD-0425-2023</t>
  </si>
  <si>
    <t>ANDREA PAOLA JARUFFE PINILLA</t>
  </si>
  <si>
    <t>https://community.secop.gov.co/Public/Tendering/OpportunityDetail/Index?noticeUID=CO1.NTC.4015334&amp;isFromPublicArea=True&amp;isModal=true&amp;asPopupView=true</t>
  </si>
  <si>
    <t>OAG-VAD-0426-2023</t>
  </si>
  <si>
    <t>CARLOS MEIKOLL PARRA CUEVA</t>
  </si>
  <si>
    <t>https://community.secop.gov.co/Public/Tendering/OpportunityDetail/Index?noticeUID=CO1.NTC.4015141&amp;isFromPublicArea=True&amp;isModal=true&amp;asPopupView=true</t>
  </si>
  <si>
    <t>OAG-VAD-0427-2023</t>
  </si>
  <si>
    <t>CLAUDIA MILENA VALENCIA PEREZ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</si>
  <si>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5.Apoyar el registro diario de consultas de la clínica odontológica. 6. Apoyar en el buen manejo de los recursos materiales de la clínica. 7. Apoyar en la seguridad, orden y limpieza del área de trabajo. </t>
  </si>
  <si>
    <t>https://community.secop.gov.co/Public/Tendering/OpportunityDetail/Index?noticeUID=CO1.NTC.4015330&amp;isFromPublicArea=True&amp;isModal=true&amp;asPopupView=true</t>
  </si>
  <si>
    <t>OPSP-VAD-0428-2023</t>
  </si>
  <si>
    <t>FEDY RAFAEL AVILA MACIAS</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</si>
  <si>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SIA Contralorias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auditorias, seguimientos, asesorias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</si>
  <si>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https://community.secop.gov.co/Public/Tendering/OpportunityDetail/Index?noticeUID=CO1.NTC.4015328&amp;isFromPublicArea=True&amp;isModal=true&amp;asPopupView=true</t>
  </si>
  <si>
    <t>OPSP-VAD-0429-2023</t>
  </si>
  <si>
    <t>GREISI MARIA BARRANCO MANOTAS</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</si>
  <si>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</si>
  <si>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https://community.secop.gov.co/Public/Tendering/OpportunityDetail/Index?noticeUID=CO1.NTC.4015326&amp;isFromPublicArea=True&amp;isModal=true&amp;asPopupView=true</t>
  </si>
  <si>
    <t>OAG-VAD-0430-2023</t>
  </si>
  <si>
    <t>JOSE MARIA GARCIA DIAZ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</si>
  <si>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</si>
  <si>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https://community.secop.gov.co/Public/Tendering/OpportunityDetail/Index?noticeUID=CO1.NTC.4015323&amp;isFromPublicArea=True&amp;isModal=true&amp;asPopupView=true</t>
  </si>
  <si>
    <t>OPSP-VAD-0431-2023</t>
  </si>
  <si>
    <t>LUDYS ETEL SANTODOMINGO VIANA</t>
  </si>
  <si>
    <t xml:space="preserve">La presente orden tiene por objeto: 1. Asesorar y apoyar al Grupo de Estampilla en las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</si>
  <si>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https://community.secop.gov.co/Public/Tendering/OpportunityDetail/Index?noticeUID=CO1.NTC.4015320&amp;isFromPublicArea=True&amp;isModal=true&amp;asPopupView=true</t>
  </si>
  <si>
    <t>OAG-VAD-0432-2023</t>
  </si>
  <si>
    <t>MARTHA BEATRIZ HUMANES MENDOZA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</si>
  <si>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</si>
  <si>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https://community.secop.gov.co/Public/Tendering/OpportunityDetail/Index?noticeUID=CO1.NTC.4014797&amp;isFromPublicArea=True&amp;isModal=true&amp;asPopupView=true</t>
  </si>
  <si>
    <t>OAG-VAD-0433-2023</t>
  </si>
  <si>
    <t>MILEIBYS CAROLINA ROJANO DEL TORO</t>
  </si>
  <si>
    <t xml:space="preserve"> 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la revisión y actualización de la documentación. </t>
  </si>
  <si>
    <t>https://community.secop.gov.co/Public/Tendering/OpportunityDetail/Index?noticeUID=CO1.NTC.4015440&amp;isFromPublicArea=True&amp;isModal=true&amp;asPopupView=true</t>
  </si>
  <si>
    <t>OPSP-VAD-0434-2023</t>
  </si>
  <si>
    <t>NIDIA PETRONA VEGA VELAIDES</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</si>
  <si>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del cual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</si>
  <si>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https://community.secop.gov.co/Public/Tendering/OpportunityDetail/Index?noticeUID=CO1.NTC.4015317&amp;isFromPublicArea=True&amp;isModal=true&amp;asPopupView=true</t>
  </si>
  <si>
    <t>OAG-VAD-0435-2023</t>
  </si>
  <si>
    <t>TEODOSIA VERGARA VENERA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</si>
  <si>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</si>
  <si>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https://community.secop.gov.co/Public/Tendering/OpportunityDetail/Index?noticeUID=CO1.NTC.4015314&amp;isFromPublicArea=True&amp;isModal=true&amp;asPopupView=true</t>
  </si>
  <si>
    <t>OAG-VAD-0436-2023</t>
  </si>
  <si>
    <t>WILMA JOSE PINTO CRISTHOFFER</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</si>
  <si>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</si>
  <si>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https://community.secop.gov.co/Public/Tendering/OpportunityDetail/Index?noticeUID=CO1.NTC.4015304&amp;isFromPublicArea=True&amp;isModal=true&amp;asPopupView=true</t>
  </si>
  <si>
    <t>OAG-VAD-0437-2023</t>
  </si>
  <si>
    <t>YONAIRA PATRICIA RODRIGUEZ LOBATO</t>
  </si>
  <si>
    <t xml:space="preserve">La presente orden tiene por objeto: 1. Apoyar a la coordinación del área de idiomas en la atención al público en general. 2. Apoyar en la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Apoyar en la realización de informes sobre docentes, estudiantes, índices de deserción y de rendimiento examen de suficiencia. 14. Apoyar la generación del informe SNIES. </t>
  </si>
  <si>
    <t>https://community.secop.gov.co/Public/Tendering/OpportunityDetail/Index?noticeUID=CO1.NTC.4014786&amp;isFromPublicArea=True&amp;isModal=true&amp;asPopupView=true</t>
  </si>
  <si>
    <t>OAG-VAD-0438-2023</t>
  </si>
  <si>
    <t>ANYELI TATIANA VILALOBOS GUERRERO</t>
  </si>
  <si>
    <t>https://community.secop.gov.co/Public/Tendering/OpportunityDetail/Index?noticeUID=CO1.NTC.4014999&amp;isFromPublicArea=True&amp;isModal=true&amp;asPopupView=true</t>
  </si>
  <si>
    <t>OPSP-VAD-0439-2023</t>
  </si>
  <si>
    <t>CAMILO DAVID PINEDO DIAZGRANADOS</t>
  </si>
  <si>
    <t>https://community.secop.gov.co/Public/Tendering/OpportunityDetail/Index?noticeUID=CO1.NTC.4014993&amp;isFromPublicArea=True&amp;isModal=true&amp;asPopupView=true</t>
  </si>
  <si>
    <t>OAG-VAD-0440-2023</t>
  </si>
  <si>
    <t>CARLOS ANDRES VICENTE VELILLA</t>
  </si>
  <si>
    <t xml:space="preserve">La presente orden tiene por objeto: 1. Apoyar en la coordinación de las actividades asociadas a la transmisión de eventos dentro de los auditorios del edificio Mar Caribe y las Salas Especializadas. 2. Apoyar en el mantenimiento en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con 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en la entrega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t>
  </si>
  <si>
    <t>https://community.secop.gov.co/Public/Tendering/OpportunityDetail/Index?noticeUID=CO1.NTC.4014991&amp;isFromPublicArea=True&amp;isModal=true&amp;asPopupView=true</t>
  </si>
  <si>
    <t>OPSP-VAD-0441-2023</t>
  </si>
  <si>
    <t>CLAUDIA PATRICIA AARON COVELLI</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</si>
  <si>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auditoría. 8. Apoyar al Grupo de Estampilla en el análisis de las actividades que se determinen en las diferentes mesas de trabajos.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</si>
  <si>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https://community.secop.gov.co/Public/Tendering/OpportunityDetail/Index?noticeUID=CO1.NTC.4014989&amp;isFromPublicArea=True&amp;isModal=true&amp;asPopupView=true</t>
  </si>
  <si>
    <t>OAG-VAD-0442-2023</t>
  </si>
  <si>
    <t>DINA MORALES GONZALEZ</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</si>
  <si>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la elaboración de Certificados contractuales solicitados por los diferentes usuarios. </t>
  </si>
  <si>
    <t>https://community.secop.gov.co/Public/Tendering/OpportunityDetail/Index?noticeUID=CO1.NTC.4014982&amp;isFromPublicArea=True&amp;isModal=true&amp;asPopupView=true</t>
  </si>
  <si>
    <t>OAG-VAD-0443-2023</t>
  </si>
  <si>
    <t>HEILEN MARIA ECHEVERRIA CRESPO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</si>
  <si>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</si>
  <si>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https://community.secop.gov.co/Public/Tendering/OpportunityDetail/Index?noticeUID=CO1.NTC.4014599&amp;isFromPublicArea=True&amp;isModal=true&amp;asPopupView=true</t>
  </si>
  <si>
    <t>OAG-VAD-0444-2023</t>
  </si>
  <si>
    <t>ISAAC DANIEL HENRIQUEZ BOUHOT</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</si>
  <si>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</si>
  <si>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https://community.secop.gov.co/Public/Tendering/OpportunityDetail/Index?noticeUID=CO1.NTC.4014975&amp;isFromPublicArea=True&amp;isModal=true&amp;asPopupView=true</t>
  </si>
  <si>
    <t>OPSP-VAD-0445-2023</t>
  </si>
  <si>
    <t>JADER DANIEL BARBOSA JULIO</t>
  </si>
  <si>
    <t xml:space="preserve">La presente orden tiene por objeto: 1. Apoyar en la coordinación de las actividades asociadas a la transmisión de eventos dentro de los auditorios del edificio Mar Caribe y las Salas Especializadas. 2. Apoyar en el mantenimiento en estado funcional las herramientas multimediales que dan soporte a las transmisiones de eventos durante el uso de los auditorios. 3. Apoyar en la coordinación conjunta con el personal de Prensa, CETEP, y nuevas tecnologías las acciones necesarias para garantizar la producción de contenidos Streaming que se realizan desde los auditorios. 4. Apoyar en la comunicación permanente con la oficina de TIC, a fin de mejorar el soporte y la configuración de los equipos multimediales (Atril PILOT y sistema de automatización) con que cuentan las salas especializadas y Auditorios. 5. Apoyar en el registro de eventos y responsables del mal uso de las herramientas y reportar su mal desempeño ante el supervisor. 6. Verificar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Hacer recomendaciones a los usuarios sobre el uso especial que debe darse a los recursos, ya sea a través de instructivos, capacitaciones o directamente en el momento del préstamo. 11. Realizar capacitaciones a los usuarios en el manejo de las ayudas multimediales del Auditorio. 12. Apoyar la entrega de los recursos para garantizar el cumplimiento de la programación que desde la plataforma SIARE se establezca para el uso de los espacios. 13. Hacer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t>
  </si>
  <si>
    <t>https://community.secop.gov.co/Public/Tendering/OpportunityDetail/Index?noticeUID=CO1.NTC.4014597&amp;isFromPublicArea=True&amp;isModal=true&amp;asPopupView=true</t>
  </si>
  <si>
    <t>OAG-VAD-0446-2023</t>
  </si>
  <si>
    <t>KAREN LORENA POLO MALDONADO</t>
  </si>
  <si>
    <t xml:space="preserve">La presente orden tiene por objeto: 1. Apoyar al Grupo Interno de Contratación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2. Apoyar al Grupo Interno de Contratación en los trámites de afiliación a la administradora de riesgos laborales que corresponda de los contratistas que vincule la vicerrectoría administrativa. 3. Apoyar al Grupo Interno de Contratación en los trámites necesarios para la verificación de las conductas relacionadas con violencia de género de los contratistas que vincule la vicerrectoría administrativa. 4. Apoyar al Grupo Interno de Contratación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al Grupo Interno de Contratación con la revisión en la plataforma del GEDOCO y SIGEP II de los documentos precontractuales necesarios para la elaboración de órdenes de servicios profesionales y de apoyo a la gestión de la Vicerrectoría y/o Dirección Administrativa. 6. Apoyar al Grupo Interno de Contratación en la revisión de los formatos de recibido a satisfacción para tramites de pago de honorarios de los contratistas por prestación de servicios profesionales y de apoyo a la gestión de la vicerrectoría y/o dirección administrativa. 7. Apoyar al Grupo Interno de Contratación en la verificación que el pago que realicen los contratistas al sistema de seguridad social en ejecución de las órdenes de prestación de servicios profesionales y de apoyo a la gestión suscritas por el Vicerrector Administrativo o el Director Administrativo corresponda a lo establecido en la Ley. 8. Apoyar al Grupo Interno de Contratación en el cargue de información precontractual, contractual y postcontractual a la plataforma del SECOP II de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el Vicerrector Administrativo o el Director Administrativo. </t>
  </si>
  <si>
    <t>https://community.secop.gov.co/Public/Tendering/OpportunityDetail/Index?noticeUID=CO1.NTC.4014594&amp;isFromPublicArea=True&amp;isModal=true&amp;asPopupView=true</t>
  </si>
  <si>
    <t>OPSP-VAD-0447-2023</t>
  </si>
  <si>
    <t>MARCELA AYALA VESGA</t>
  </si>
  <si>
    <t xml:space="preserve">La presente orden tiene por objeto: 1. Apoyar en el desarrollo de las actividades establecidas para la implementación de la Atención Primaria en Salud, con los pacientes de la Clínica Odontológica de la Universidad del Magdalena; en busca de fomentar el autocuidado de la salud bucal. 2. Apoyar en el desarrollo de las actividades extramurales establecidas para la implementación de la Atención Primaria en Salud, con la población de las comunidades del área de influencia de la Universidad del Magdalena; en busca de fomentar el autocuidado de la salud bucal. 3. Apoyar en la Promoción y Mantenimiento de la salud, mediante estrategias de educación para la salud que incidan en los factores protectores y de riesgos en salud oral de la población abordada. 4. Apoyar en la caracterización e identificación de riesgos en salud oral de la población atendida en las actividades extramurales. 5. Apoyar en el seguimiento a pacientes de la clínica odontológica. 6. Apoyar en la creación de estrategias y planes de acción que propendan por el fortalecimiento de la base de datos del banco de pacientes de la Clínica Odontológica. 7. Apoyar en el seguimiento de la base de datos del banco de pacientes. 8. Apoyar en la aplicación de encuestas de satisfacción a los pacientes de la Clínica Odontológica Universidad del Magdalena. </t>
  </si>
  <si>
    <t>https://community.secop.gov.co/Public/Tendering/OpportunityDetail/Index?noticeUID=CO1.NTC.4014591&amp;isFromPublicArea=True&amp;isModal=true&amp;asPopupView=true</t>
  </si>
  <si>
    <t>OPSP-VAD-0448-2023</t>
  </si>
  <si>
    <t>RICHAR STEVEN RAMOS DURAN</t>
  </si>
  <si>
    <t xml:space="preserve">La presente orden tiene por objeto: 1. Apoyar en la construcción y codificación de componentes software en el nuevo sistema de registro académico. 2. Apoyar en la construcción de controladores funcionales. 3. Apoyar en la implementación servicios web API en el nuevo sistema de información de registro académico. 4. Apoyar en el diseño de base de datos que soporten de acuerdo con las restricciones de negocio. 5. Apoyar en la implementación de pruebas de unidad y pruebas de integración 6. Apoyar en la construcción UI/UX. 7. Aplicar gestión de la configuración a los proyectos. </t>
  </si>
  <si>
    <t>https://community.secop.gov.co/Public/Tendering/OpportunityDetail/Index?noticeUID=CO1.NTC.4014964&amp;isFromPublicArea=True&amp;isModal=true&amp;asPopupView=true</t>
  </si>
  <si>
    <t>OPSP-VAD-0449-2023</t>
  </si>
  <si>
    <t>VICENTE MARTINEZ PANETTA</t>
  </si>
  <si>
    <t xml:space="preserve">La presente orden tiene por objeto: 1. Revisar y autoevaluar los estándares de habilitación de los servicios de salud para el fortalecimiento de los procesos de la Dirección de Bienestar Universitario. 2. Apoyar y hacer seguimiento a los procesos que se deriven de la habitación de los servicios de salud, de acuerdo a lo establecido en la Resolución N‘ 3100 de 2019 del Ministerio de Salud y Protección Social. 3. Velar por 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telefónica y presencial a los miembros de la comunidad Universitaria que requieran Información sobre los servicios de Bienestar Universitario. 7. Apoyar a la Dirección de Bienestar Universitario, en las actividades que estén relacionadas con el cumplimiento de los objetivos de la dependencia y la institución. 8 Apoyar al supervisor en la actualización del inventario de los equipos e insumos de oficina y de salud para garantizar el buen uso de los mismos. </t>
  </si>
  <si>
    <t>https://community.secop.gov.co/Public/Tendering/OpportunityDetail/Index?noticeUID=CO1.NTC.4015322&amp;isFromPublicArea=True&amp;isModal=true&amp;asPopupView=true</t>
  </si>
  <si>
    <t>OAG-VAD-0450-2023</t>
  </si>
  <si>
    <t>YURANIS PATRICIA BOTTO JIMENEZ</t>
  </si>
  <si>
    <t>https://community.secop.gov.co/Public/Tendering/OpportunityDetail/Index?noticeUID=CO1.NTC.4015134&amp;isFromPublicArea=True&amp;isModal=true&amp;asPopupView=true</t>
  </si>
  <si>
    <t>OPSP-VAD-0451-2023</t>
  </si>
  <si>
    <t>CAMILO DAVID TORRES CALLEJAS</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</si>
  <si>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</si>
  <si>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https://community.secop.gov.co/Public/Tendering/OpportunityDetail/Index?noticeUID=CO1.NTC.4015514&amp;isFromPublicArea=True&amp;isModal=true&amp;asPopupView=true</t>
  </si>
  <si>
    <t>OPSP-VAD-0452-2023</t>
  </si>
  <si>
    <t>GLORIA MARGARITA GUTIERREZ DE PIÑERES OSPINO</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</si>
  <si>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2023-I de la modalidad pregrado presencial. </t>
  </si>
  <si>
    <t>https://community.secop.gov.co/Public/Tendering/OpportunityDetail/Index?noticeUID=CO1.NTC.4015517&amp;isFromPublicArea=True&amp;isModal=true&amp;asPopupView=true</t>
  </si>
  <si>
    <t>OPSP-VAD-0453-2023</t>
  </si>
  <si>
    <t>JORGE LUIS PINEDA MONTAGUT</t>
  </si>
  <si>
    <t xml:space="preserve">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t>
  </si>
  <si>
    <t>https://community.secop.gov.co/Public/Tendering/OpportunityDetail/Index?noticeUID=CO1.NTC.4015346&amp;isFromPublicArea=True&amp;isModal=true&amp;asPopupView=true</t>
  </si>
  <si>
    <t>OAG-VAD-0454-2023</t>
  </si>
  <si>
    <t>JOSE GREGORIO COTES CEBALLOS</t>
  </si>
  <si>
    <t xml:space="preserve">La presente orden tiene por objeto: 1. Apoyar en el diseño de piezas gráficas. 2. Apoyar en la producción audiovisual multimedia. 3. Apoyar en la parte logística de grabaciones. 4. Apoyar en las actividades de streaming. </t>
  </si>
  <si>
    <t>https://community.secop.gov.co/Public/Tendering/OpportunityDetail/Index?noticeUID=CO1.NTC.4015351&amp;isFromPublicArea=True&amp;isModal=true&amp;asPopupView=true</t>
  </si>
  <si>
    <t>OAG-VAD-0455-2023</t>
  </si>
  <si>
    <t>KEVIN YORDY ROMERO CASTRO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</si>
  <si>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virtuales de aprendizaje (OVA). 6. Apoyar en el registro fotográfico y audiovisual de las producciones audiovisuales de CETEP. </t>
  </si>
  <si>
    <t>https://community.secop.gov.co/Public/Tendering/OpportunityDetail/Index?noticeUID=CO1.NTC.4015354&amp;isFromPublicArea=True&amp;isModal=true&amp;asPopupView=true</t>
  </si>
  <si>
    <t>OAG-VAD-0456-2023</t>
  </si>
  <si>
    <t>MARIA ALEJANDRA ALCAZAR QUINTO</t>
  </si>
  <si>
    <t xml:space="preserve">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t>
  </si>
  <si>
    <t>https://community.secop.gov.co/Public/Tendering/OpportunityDetail/Index?noticeUID=CO1.NTC.4015040&amp;isFromPublicArea=True&amp;isModal=true&amp;asPopupView=true</t>
  </si>
  <si>
    <t>OAG-VAD-0457-2023</t>
  </si>
  <si>
    <t>MARLON JOSE PAVA NIEBLES</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</si>
  <si>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t>
  </si>
  <si>
    <t>https://community.secop.gov.co/Public/Tendering/OpportunityDetail/Index?noticeUID=CO1.NTC.4015042&amp;isFromPublicArea=True&amp;isModal=true&amp;asPopupView=true</t>
  </si>
  <si>
    <t>OAG-VAD-0458-2023</t>
  </si>
  <si>
    <t>RUBEN ENRIQUE REALES BRITTO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</si>
  <si>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 CETEP. </t>
  </si>
  <si>
    <t>https://community.secop.gov.co/Public/Tendering/OpportunityDetail/Index?noticeUID=CO1.NTC.4015044&amp;isFromPublicArea=True&amp;isModal=true&amp;asPopupView=true</t>
  </si>
  <si>
    <t>OAG-VAD-0459-2023</t>
  </si>
  <si>
    <t>RADAMES ALEXANDER FERREIRA BARROS</t>
  </si>
  <si>
    <t xml:space="preserve">La presente orden tiene por objeto: 1. Apoyar en el desarrollo de las sesiones teóricas y prácticas, sincrónicas y asincrónicas para la asignatura de Alimentos y Bebidas III: Cocina y Servicio de Comedor y Bar para los cuatro (4) grupos de clase. 2. Apoyar en el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en la Coordinación de las sesiones prácticas en el Laboratorio de Gastronomía e Innovación de la Universidad del Magdalena. </t>
  </si>
  <si>
    <t>https://community.secop.gov.co/Public/Tendering/OpportunityDetail/Index?noticeUID=CO1.NTC.4015488&amp;isFromPublicArea=True&amp;isModal=true&amp;asPopupView=true</t>
  </si>
  <si>
    <t>OAG-VAD-0460-2023</t>
  </si>
  <si>
    <t>ERLIDES MARIA ALFARO VEGA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</si>
  <si>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</si>
  <si>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https://community.secop.gov.co/Public/Tendering/OpportunityDetail/Index?noticeUID=CO1.NTC.4015053&amp;isFromPublicArea=True&amp;isModal=true&amp;asPopupView=true</t>
  </si>
  <si>
    <t>OPSP-VAD-0461-2023</t>
  </si>
  <si>
    <t>IRIS MARIA FONSECA LIDUEÑA</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</si>
  <si>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haya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Apoyar en la elaboración de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Prestar asesoría en la proyección de autos de apertura de indagación, investigación, pruebas, archivos, cargos y fallos. </t>
  </si>
  <si>
    <t>CARMEN SILENA LABARCES</t>
  </si>
  <si>
    <t>https://community.secop.gov.co/Public/Tendering/OpportunityDetail/Index?noticeUID=CO1.NTC.4015470&amp;isFromPublicArea=True&amp;isModal=true&amp;asPopupView=true</t>
  </si>
  <si>
    <t>OAG-VAD-0462-2023</t>
  </si>
  <si>
    <t>MARIELA VARON RODRIGUEZ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</si>
  <si>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t>
  </si>
  <si>
    <t>https://community.secop.gov.co/Public/Tendering/OpportunityDetail/Index?noticeUID=CO1.NTC.4015460&amp;isFromPublicArea=True&amp;isModal=true&amp;asPopupView=true</t>
  </si>
  <si>
    <t>OAG-VAD-0463-2023</t>
  </si>
  <si>
    <t>ROCIO DEL CARMEN MOLINA GUTIERREZ</t>
  </si>
  <si>
    <t>https://community.secop.gov.co/Public/Tendering/OpportunityDetail/Index?noticeUID=CO1.NTC.4015463&amp;isFromPublicArea=True&amp;isModal=true&amp;asPopupView=true</t>
  </si>
  <si>
    <t>OAG-VAD-0464-2023</t>
  </si>
  <si>
    <t>SANDY DEL CARMEN ALDANA MERCADO</t>
  </si>
  <si>
    <t>https://community.secop.gov.co/Public/Tendering/OpportunityDetail/Index?noticeUID=CO1.NTC.4015475&amp;isFromPublicArea=True&amp;isModal=true&amp;asPopupView=true</t>
  </si>
  <si>
    <t>OAG-VAD-0465-2023</t>
  </si>
  <si>
    <t>ARLINTHONG JOSE PEREZ CAMPO</t>
  </si>
  <si>
    <t xml:space="preserve">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t>
  </si>
  <si>
    <t>https://community.secop.gov.co/Public/Tendering/OpportunityDetail/Index?noticeUID=CO1.NTC.4015239&amp;isFromPublicArea=True&amp;isModal=true&amp;asPopupView=true</t>
  </si>
  <si>
    <t>OPSP-VAD-0466-2023</t>
  </si>
  <si>
    <t>LINA MARCELA MARTES CASTRO</t>
  </si>
  <si>
    <t xml:space="preserve">La presente orden tiene por objeto: 1. Apoyar la realización de seguimientos a los pacientes de la clínica odontológica. 2. Apoyar en el área de auditoría de la Clínica Odontológica. 3. Apoyar en el proceso de egreso del paciente de la Clínica Odontológica.  4. Apoyar la realización de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Realizar los informes que se deriven de la gestión de los procesos liderados dentro de la clínica odontológica. </t>
  </si>
  <si>
    <t>https://community.secop.gov.co/Public/Tendering/OpportunityDetail/Index?noticeUID=CO1.NTC.4015477&amp;isFromPublicArea=True&amp;isModal=true&amp;asPopupView=true</t>
  </si>
  <si>
    <t>OAG-VAD-0467-2023</t>
  </si>
  <si>
    <t>JOSE AMABLE ARAUJO BLANCO</t>
  </si>
  <si>
    <t xml:space="preserve">La presente orden tiene por objeto: 1. Apoyar a la Dirección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</si>
  <si>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https://community.secop.gov.co/Public/Tendering/OpportunityDetail/Index?noticeUID=CO1.NTC.4015286&amp;isFromPublicArea=True&amp;isModal=true&amp;asPopupView=true</t>
  </si>
  <si>
    <t>OAG-VAD-0468-2023</t>
  </si>
  <si>
    <t>YANETH DEL SOCORRO DIAZ CHARRIS</t>
  </si>
  <si>
    <t xml:space="preserve">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en la ejecución de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Apoyar con la actualización de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</si>
  <si>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https://community.secop.gov.co/Public/Tendering/OpportunityDetail/Index?noticeUID=CO1.NTC.4015486&amp;isFromPublicArea=True&amp;isModal=true&amp;asPopupView=true</t>
  </si>
  <si>
    <t>OAG-VAD-0469-2023</t>
  </si>
  <si>
    <t>YELITZA PAOLA GRANADOS CUAO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</si>
  <si>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</si>
  <si>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https://community.secop.gov.co/Public/Tendering/OpportunityDetail/Index?noticeUID=CO1.NTC.4015472&amp;isFromPublicArea=True&amp;isModal=true&amp;asPopupView=true</t>
  </si>
  <si>
    <t>OPSP-VAD-0470-2023</t>
  </si>
  <si>
    <t>ORIANA PATRICIA DAZA BRITO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</si>
  <si>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la actualización del inventario de químicos e insumos del LIIC. 9. Apoyar en la atención para el préstamo de equipos e insumos de topografía. </t>
  </si>
  <si>
    <t>https://community.secop.gov.co/Public/Tendering/OpportunityDetail/Index?noticeUID=CO1.NTC.4015465&amp;isFromPublicArea=True&amp;isModal=true&amp;asPopupView=true</t>
  </si>
  <si>
    <t>OPSP-VAD-0471-2023</t>
  </si>
  <si>
    <t>MAYRA CRISTINA ZABALETA RAMOS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</si>
  <si>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</si>
  <si>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https://community.secop.gov.co/Public/Tendering/OpportunityDetail/Index?noticeUID=CO1.NTC.4015483&amp;isFromPublicArea=True&amp;isModal=true&amp;asPopupView=true</t>
  </si>
  <si>
    <t>OPSP-VAD-0472-2023</t>
  </si>
  <si>
    <t>DIEGO ARMANDO SILVA OLAYA</t>
  </si>
  <si>
    <t xml:space="preserve">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t>
  </si>
  <si>
    <t>https://community.secop.gov.co/Public/Tendering/OpportunityDetail/Index?noticeUID=CO1.NTC.4015464&amp;isFromPublicArea=True&amp;isModal=true&amp;asPopupView=true</t>
  </si>
  <si>
    <t>OPSP-VAD-0473-2023</t>
  </si>
  <si>
    <t>DANIEL DE JESUS CASTILLO SANCHEZ</t>
  </si>
  <si>
    <t>https://community.secop.gov.co/Public/Tendering/OpportunityDetail/Index?noticeUID=CO1.NTC.4015490&amp;isFromPublicArea=True&amp;isModal=true&amp;asPopupView=true</t>
  </si>
  <si>
    <t>OPSP-VAD-0474-2023</t>
  </si>
  <si>
    <t>AYMER ALBERTO  LOPESIERRA PALACIO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</si>
  <si>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en la actualización del inventario de equipos del LIIC. 9. Apoyar en la atención para el préstamo de equipos e insumos de topografía. </t>
  </si>
  <si>
    <t>https://community.secop.gov.co/Public/Tendering/OpportunityDetail/Index?noticeUID=CO1.NTC.4015462&amp;isFromPublicArea=True&amp;isModal=true&amp;asPopupView=true</t>
  </si>
  <si>
    <t>OPSP-VAD-0475-2023</t>
  </si>
  <si>
    <t xml:space="preserve">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</si>
  <si>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https://community.secop.gov.co/Public/Tendering/OpportunityDetail/Index?noticeUID=CO1.NTC.4024826&amp;isFromPublicArea=True&amp;isModal=true&amp;asPopupView=true</t>
  </si>
  <si>
    <t>OPSP-VAD-0476-2023</t>
  </si>
  <si>
    <t xml:space="preserve">La presente orden tiene por objeto: 1. Desarrollar las actividades de diagnóstico, evaluación, intervención, rehabilitación neurocognitiva. 2.  Participar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</si>
  <si>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https://community.secop.gov.co/Public/Tendering/OpportunityDetail/Index?noticeUID=CO1.NTC.4024917&amp;isFromPublicArea=True&amp;isModal=true&amp;asPopupView=true</t>
  </si>
  <si>
    <t>OPSP-VAD-0477-2023</t>
  </si>
  <si>
    <t>JENIFER SOFIA CARVAJAL LORDUY</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</si>
  <si>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</si>
  <si>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https://community.secop.gov.co/Public/Tendering/OpportunityDetail/Index?noticeUID=CO1.NTC.4024829&amp;isFromPublicArea=True&amp;isModal=true&amp;asPopupView=true</t>
  </si>
  <si>
    <t>OAG-VAD-0478-2023</t>
  </si>
  <si>
    <t>DANNY ZORAIDA VILLANUEVA DIAZ</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</si>
  <si>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</si>
  <si>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https://community.secop.gov.co/Public/Tendering/OpportunityDetail/Index?noticeUID=CO1.NTC.4024836&amp;isFromPublicArea=True&amp;isModal=true&amp;asPopupView=true</t>
  </si>
  <si>
    <t>OPSP-VAD-0479-2023</t>
  </si>
  <si>
    <t>VANESA PAOLA LIZCANO ARAGON</t>
  </si>
  <si>
    <t>https://community.secop.gov.co/Public/Tendering/OpportunityDetail/Index?noticeUID=CO1.NTC.4024838&amp;isFromPublicArea=True&amp;isModal=true&amp;asPopupView=true</t>
  </si>
  <si>
    <t>OPSP-VAD-0480-2023</t>
  </si>
  <si>
    <t>BRIAN JOSE HERNANDEZ OBREGON</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</si>
  <si>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t>
  </si>
  <si>
    <t>https://community.secop.gov.co/Public/Tendering/OpportunityDetail/Index?noticeUID=CO1.NTC.4024840&amp;isFromPublicArea=True&amp;isModal=true&amp;asPopupView=true</t>
  </si>
  <si>
    <t>OAG-VAD-0481-2023</t>
  </si>
  <si>
    <t>ALICIA ESTHER VEGA FERNANDEZ</t>
  </si>
  <si>
    <t xml:space="preserve">La presente orden tiene por objeto: 1. Apoyar el seguimiento y apoyo al proceso de Mantenimiento de Equipos de Computo.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t>
  </si>
  <si>
    <t>https://community.secop.gov.co/Public/Tendering/OpportunityDetail/Index?noticeUID=CO1.NTC.4033800&amp;isFromPublicArea=True&amp;isModal=true&amp;asPopupView=true</t>
  </si>
  <si>
    <t>OAG-VAD-0482-2023</t>
  </si>
  <si>
    <t>DENNIS JOSE PERNIA LAREZ</t>
  </si>
  <si>
    <t>https://community.secop.gov.co/Public/Tendering/OpportunityDetail/Index?noticeUID=CO1.NTC.4034057&amp;isFromPublicArea=True&amp;isModal=true&amp;asPopupView=true</t>
  </si>
  <si>
    <t>OPSP-VAD-0483-2023</t>
  </si>
  <si>
    <t>JUAN JOSE CARDENAS CARREÑO</t>
  </si>
  <si>
    <t xml:space="preserve">La presente orden tiene por objeto: 1. Apoyar la articulación entre Bienestar universitario y todos los programas académicos de la Facultad de Ingeniería. 2. Apoyar a la Dirección de Bienestar Universitario en el seguimiento de los casos de estudiantes y docentes con dificultades reportados por la Facultad de Ingeniería. 3. Apoyar a la Dirección de Bienestar Universitario en la implementación de estrategias de promoción de los servicios y actividades de Bienestar Universitario en la Facultad de Ingeniería.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8. Apoyar en la proyección de solicitudes, informes y respuestas de derecho de petición que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</si>
  <si>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https://community.secop.gov.co/Public/Tendering/OpportunityDetail/Index?noticeUID=CO1.NTC.4034060&amp;isFromPublicArea=True&amp;isModal=true&amp;asPopupView=true</t>
  </si>
  <si>
    <t>OAG-VAD-0484-2023</t>
  </si>
  <si>
    <t>KELLY DAYANA ROMANO MOLINA</t>
  </si>
  <si>
    <t xml:space="preserve">La presente orden tiene por objeto: 1. Apoyar en la convocatoria y afianzamiento de la articulación entre Bienestar Universitario y los estudiantes padres y madres cabeza de hogar.  2. Apoyar en la Coordinación la implementación de estrategias de promoción de los servicios y actividades de Bienestar Universitario con los estudiantes padres y madres cabeza de hogar de la Universidad del Magdalena. 3. Apoyar en el desarrollo de las rutas de atención, acompañamiento y sensibilización hacia la comunidad universitaria que permita mejorar la inclusión y permanencia de los estudiantes padres y madres cabeza de hogar. 4. Diligenciar oportunamente todos los formatos establecidos por Bienestar Universitario en el Sistema de Gestión de la Calidad.  5. Entregar oportunamente informes, con soportes estadísticos de las actividades realizadas.  6. Apoyar a la Dirección de Bienestar Universitario en el registro, actualización y almacenamiento de información. 7. Apoyar en la planeación y ejecución de las actividades realizadas en Centro de Atención Integral a la Infancia. 8. Apoyar en la realización de eventos académicos, culturales, deportivos y artísticos de la dirección de Bienestar Universitario dirigidos a la comunidad universitaria. </t>
  </si>
  <si>
    <t>https://community.secop.gov.co/Public/Tendering/OpportunityDetail/Index?noticeUID=CO1.NTC.4034064&amp;isFromPublicArea=True&amp;isModal=true&amp;asPopupView=true</t>
  </si>
  <si>
    <t>OPSP-VAD-0485-2023</t>
  </si>
  <si>
    <t>LUIS EDUARDO ANAYA BOTERO</t>
  </si>
  <si>
    <t xml:space="preserve">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los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modalides. 15. Apoyar en los eventos institucionales en los que se requiera financiamiento en la adquisión de servicios o productos como: Feria del libro, Feria Artesanal, Feria agricola, Feria de postgrados. </t>
  </si>
  <si>
    <t>https://community.secop.gov.co/Public/Tendering/OpportunityDetail/Index?noticeUID=CO1.NTC.4034068&amp;isFromPublicArea=True&amp;isModal=true&amp;asPopupView=true</t>
  </si>
  <si>
    <t>OAG-VAD-0486-2023</t>
  </si>
  <si>
    <t>MARINA ESMERALDA TORRES ALMEIDA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</si>
  <si>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</si>
  <si>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https://community.secop.gov.co/Public/Tendering/OpportunityDetail/Index?noticeUID=CO1.NTC.4034212&amp;isFromPublicArea=True&amp;isModal=true&amp;asPopupView=true</t>
  </si>
  <si>
    <t>OPSP-VAD-0487-2023</t>
  </si>
  <si>
    <t>MARTHA LUZ GRANADOS VANEGAS</t>
  </si>
  <si>
    <t>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los eventos institucionales en los que se requiera financiamiento en la adquisición de servicios o productos como: Feria del libro, Feria Artesanal, Feria agrícola, Feria de postgrados.</t>
  </si>
  <si>
    <t>https://community.secop.gov.co/Public/Tendering/OpportunityDetail/Index?noticeUID=CO1.NTC.4034214&amp;isFromPublicArea=True&amp;isModal=true&amp;asPopupView=true</t>
  </si>
  <si>
    <t>OAG-VAD-0488-2023</t>
  </si>
  <si>
    <t>MARTIN JOSE LLANOS PERTUZ</t>
  </si>
  <si>
    <t>https://community.secop.gov.co/Public/Tendering/OpportunityDetail/Index?noticeUID=CO1.NTC.4034216&amp;isFromPublicArea=True&amp;isModal=true&amp;asPopupView=true</t>
  </si>
  <si>
    <t>OAG-VAD-0489-2023</t>
  </si>
  <si>
    <t>MIGUEL ANGEL LOPEZ TERNERA</t>
  </si>
  <si>
    <t xml:space="preserve">La presente orden tiene por objeto: 1. Apoyar el seguimiento y actualización al proceso Apoyo Tecnológico TIC, para la toma de acciones preventivas, correctivas y mejoras. 2. Apoyar en la elaboración de manuales, formatos de procedimiento, guías, instructivos e indicadores al proceso de Apoyo Tecnológico. 3. Apoyar los seguimientos al PDU y PDA. 4. Apoyar en el Levantamiento formatos, procedimiento, guías, instructivos, manuales e indicadores al proceso de Apoyo Tecnológico. </t>
  </si>
  <si>
    <t>https://community.secop.gov.co/Public/Tendering/OpportunityDetail/Index?noticeUID=CO1.NTC.4034186&amp;isFromPublicArea=True&amp;isModal=true&amp;asPopupView=true</t>
  </si>
  <si>
    <t>OPSP-VAD-0490-2023</t>
  </si>
  <si>
    <t>NERLYS VANESSA SOBRINO ERAZO</t>
  </si>
  <si>
    <t xml:space="preserve">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asesoría básica, oportuna y adecuada como apoyo a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t>
  </si>
  <si>
    <t>https://community.secop.gov.co/Public/Tendering/OpportunityDetail/Index?noticeUID=CO1.NTC.4033865&amp;isFromPublicArea=True&amp;isModal=true&amp;asPopupView=true</t>
  </si>
  <si>
    <t>OPSP-VAD-0491-2023</t>
  </si>
  <si>
    <t>ROSSANA DIAZ ORTIZ</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</si>
  <si>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validacion y verificacion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los eventos académicos, científicos, artísticos, culturales y deportivos dentro y fuera del lugar habitual de la ejecución de sus actividades. 7. Apoyar las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</si>
  <si>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https://community.secop.gov.co/Public/Tendering/OpportunityDetail/Index?noticeUID=CO1.NTC.4034224&amp;isFromPublicArea=True&amp;isModal=true&amp;asPopupView=true</t>
  </si>
  <si>
    <t>OPSP-VAD-0492-2023</t>
  </si>
  <si>
    <t>SARA JURAIMA MERCADO MANGA</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</si>
  <si>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</si>
  <si>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https://community.secop.gov.co/Public/Tendering/OpportunityDetail/Index?noticeUID=CO1.NTC.4033869&amp;isFromPublicArea=True&amp;isModal=true&amp;asPopupView=true</t>
  </si>
  <si>
    <t>OPSP-VAD-0493-2023</t>
  </si>
  <si>
    <t>SILVANA KARINA ALMARALES BERDUGO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</si>
  <si>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maestrías). </t>
  </si>
  <si>
    <t>https://community.secop.gov.co/Public/Tendering/OpportunityDetail/Index?noticeUID=CO1.NTC.4033519&amp;isFromPublicArea=True&amp;isModal=true&amp;asPopupView=true</t>
  </si>
  <si>
    <t>OAG-VAD-0494-2023</t>
  </si>
  <si>
    <t>URILIS PAOLA FONTALVO ARIZA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</si>
  <si>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</si>
  <si>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https://community.secop.gov.co/Public/Tendering/OpportunityDetail/Index?noticeUID=CO1.NTC.4033540&amp;isFromPublicArea=True&amp;isModal=true&amp;asPopupView=true</t>
  </si>
  <si>
    <t>OAG-VAD-0495-2023</t>
  </si>
  <si>
    <t>VILMA MARGARITA CARRILLO GARCIA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</si>
  <si>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</si>
  <si>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https://community.secop.gov.co/Public/Tendering/OpportunityDetail/Index?noticeUID=CO1.NTC.4033545&amp;isFromPublicArea=True&amp;isModal=true&amp;asPopupView=true</t>
  </si>
  <si>
    <t>OPSP-VAD-0496-2023</t>
  </si>
  <si>
    <t>ASDRUBAL SENEN OROZCO SANJUANELO</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</si>
  <si>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Apoyar la realización de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</si>
  <si>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https://community.secop.gov.co/Public/Tendering/OpportunityDetail/Index?noticeUID=CO1.NTC.4033289&amp;isFromPublicArea=True&amp;isModal=true&amp;asPopupView=true</t>
  </si>
  <si>
    <t>OAG-VAD-0497-2023</t>
  </si>
  <si>
    <t>JOSE MANUEL BETANCOURT AVILA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</si>
  <si>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a la Dirección de Bienestar Universitario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</si>
  <si>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https://community.secop.gov.co/Public/Tendering/OpportunityDetail/Index?noticeUID=CO1.NTC.4033579&amp;isFromPublicArea=True&amp;isModal=true&amp;asPopupView=true</t>
  </si>
  <si>
    <t>OAG-VAD-0498-2023</t>
  </si>
  <si>
    <t>JULIO JOSE ALVAREZ NUÑEZ</t>
  </si>
  <si>
    <t xml:space="preserve">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t>
  </si>
  <si>
    <t>https://community.secop.gov.co/Public/Tendering/OpportunityDetail/Index?noticeUID=CO1.NTC.4033387&amp;isFromPublicArea=True&amp;isModal=true&amp;asPopupView=true</t>
  </si>
  <si>
    <t>OAG-VAD-0499-2023</t>
  </si>
  <si>
    <t>LUIS ALEJANDRO DAVILA CHAVEZ</t>
  </si>
  <si>
    <t xml:space="preserve">La presente orden tiene por objeto: 1. Apoyar en el proceso de admisión a el programa de Maestría en Gestión del Turismo Sostenible. 2. Apoyar en la realización de la programación de actividades académicas. 3. Apoyar en la proyección y elaboración del presupuesto de ingresos y gastos. 4. Apoyar con la verificación de la organización y marcha del programa Maestría en Gestión del Turismo Sostenible. 5. Rendir informes requeridos en los que se planteen los balances sobre la situación académica y financiera de los estudiantes del programa de Maestría en Gestión del Turismo Sostenible. 6. Apoyar en la presentación del presupuesto semestral de ejecución de los programas, ante el Decano(a) de la Facultad 7. Asesorar y apoyar en los procesos de autoevaluación, de evaluación de pares y de acreditación de los respectivos programas. 8. Prestar asesoría en el Diseño de estrategias y realizar divulgación y publicidad de los programas ofertados de Postgrados y Formación Continua. 9. Apoyar en la solución de problemas que puedan surgir entre estudiantes, profesores y jurados, en particular con los directores de monografía, trabajo de investigación y tesis. 10. Apoyar con el seguimiento a las peticiones, quejas, reclamos y trámites judiciales presentados durante el desarrollo del programa. 11. Apoyar con el seguimiento, ante las instancias competentes internas y externas de la Universidad a las solicitudes de aprobación, registro calificado, actualización y apertura de nuevas cohortes de los programas de posgrado a su cargo. 12. Apoyar en la Planeación, organización y actividades de docencia e investigación del programa. 13. Apoyar en la presentación ante decano (a) y/o consejo de programa, el personal docente a vincular en el posgrado a cargo. 14. Asesorar y apoyar el grupo de trabajo por el Comercio justo, planteando actividades de investigación desde la maestría en gestión del turismo sostenible. </t>
  </si>
  <si>
    <t>https://community.secop.gov.co/Public/Tendering/OpportunityDetail/Index?noticeUID=CO1.NTC.4033808&amp;isFromPublicArea=True&amp;isModal=true&amp;asPopupView=true</t>
  </si>
  <si>
    <t>OPSP-VAD-0500-2023</t>
  </si>
  <si>
    <t>MARIA FERNANDA AMADOR ORTIZ</t>
  </si>
  <si>
    <t xml:space="preserve">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el fomento al interior de la comunidad universitaria actividades de promoción y prevención de la violencia basada en género y violencia sexual. 3. Apoyar en las actividades y eventos académicos, sociales, deportivos y culturales de la Dirección de Bienestar Universitario. 4. Entregar de manera oportuna y bajo su responsabilidad los informes con los soportes necesarios. 5. Apoyar en la grabación y edición de mensajes institucionales. 6. Apoyar en el diligenciamiento oportuno de todos los formatos establecidos por Bienestar Universitario en el Sistema de Gestión de la Calidad y otros procesos, para el registro de todas las actividades que se realicen. </t>
  </si>
  <si>
    <t>https://community.secop.gov.co/Public/Tendering/OpportunityDetail/Index?noticeUID=CO1.NTC.4034005&amp;isFromPublicArea=True&amp;isModal=true&amp;asPopupView=true</t>
  </si>
  <si>
    <t>OAG-VAD-0501-2023</t>
  </si>
  <si>
    <t>OLGA YISETH VILLAMIL MEJIA</t>
  </si>
  <si>
    <t xml:space="preserve">La presente orden tiene por objeto: 1. Apoyar en la atención a los diferentes usuarios del Programa de Atención Psicológica. 2. Apoyar con la entrega a los Psicólogos o Terapeutas en formación del material necesario para la atención a pacientes. 3. Apoyar la atención vía telefonica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t>
  </si>
  <si>
    <t>https://community.secop.gov.co/Public/Tendering/OpportunityDetail/Index?noticeUID=CO1.NTC.4033937&amp;isFromPublicArea=True&amp;isModal=true&amp;asPopupView=true</t>
  </si>
  <si>
    <t>OAG-VAD-0502-2023</t>
  </si>
  <si>
    <t>PATRICIA MILENA RICO CASTRO</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</si>
  <si>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seguridad del archivo de Historia Clínica. 4. Apoyar el registro de las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</si>
  <si>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https://community.secop.gov.co/Public/Tendering/OpportunityDetail/Index?noticeUID=CO1.NTC.4033767&amp;isFromPublicArea=True&amp;isModal=true&amp;asPopupView=true</t>
  </si>
  <si>
    <t>OPSP-VAD-0503-2023</t>
  </si>
  <si>
    <t>YIBETH MARCELA HERRERA HERNANDEZ</t>
  </si>
  <si>
    <t xml:space="preserve">La presente orden tiene por objeto: 1. Apoyar en la prestación de soporte a usuarios que lo requieran. 2. Apoyar en la actualización de la Infraestructura Tecnológica. 3. Apoyar en los trámites administrativos que hacen referencia al proceso de calidad apoyo tecnologico TIC. 4. Asesorar y apoyar la gestión y construcción de las políticas de seguridad informática y protección de la información. 5. Registrar los incidentes de seguridad informática. </t>
  </si>
  <si>
    <t>https://community.secop.gov.co/Public/Tendering/OpportunityDetail/Index?noticeUID=CO1.NTC.4033774&amp;isFromPublicArea=True&amp;isModal=true&amp;asPopupView=true</t>
  </si>
  <si>
    <t>OAG-VAD-0504-2023</t>
  </si>
  <si>
    <t>KEISY ANDREA FLOREZ BERTEL</t>
  </si>
  <si>
    <t xml:space="preserve">La presente orden tiene por objeto: 1. Apoyar en la escritura de guiones para los productos audiovisuales de CETEP 2. Apoyar en la escritura de narrativas de las experiencias de aprendizaje de CETEP 3. Apoyar en la producción de videos de CETEP. </t>
  </si>
  <si>
    <t>https://community.secop.gov.co/Public/Tendering/OpportunityDetail/Index?noticeUID=CO1.NTC.4034167&amp;isFromPublicArea=True&amp;isModal=true&amp;asPopupView=true</t>
  </si>
  <si>
    <t>OPSP-VAD-0513-2023</t>
  </si>
  <si>
    <t>FABIAN DAVID MAZZENETH JULIO</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</si>
  <si>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Recibir y registrar en informe interno de contratación las solicitudes de contratación realizadas a la Vicerrectoría de extensión para su respectiva gestión identificando a que Proyecto pertenece cada una. 2. Apoyar en la revisión y/o proyección de estudios y documentos previos que se deriven de los diferentes procesos que adelante la Universidad para la ejecución de los proyectos. 3.Solicitar a la Oficina Jurídica los certificados de inscripción en la base de datos de proveedores de los Bienes y Servicios que sean requeridos para contratar. 4. Verificar que los documentos que son aportados por los contratistas cumplan con los requerimientos del Sistema de gestión de la Calidad para la elaboración de contratos. 5. Brindar asesoría y acompañamiento jurídico a los distintos procesos enmarcados en el desarrollo de actividades administrativas de los proyectos. 6.Apoyar la gestión de la Vicerrectoría Administrativa y a la Vicerrectoria de extensión en relación con los procesos precontractuales, contractuales y pos-contractuales de los proyectos. 7.Apoyar en la proyección de respuestas a los diferentes requerimientos o solicitudes que sean remitidas a la Vicerrectoría Administrativa y la Vicerrectoria de Extensión por el Ministerio de Ciencias, Tecnologías e Innovación, el Ministerio de Hacienda y Crédito Público, el Departamento Nacional de Planeación o cualquier otra entidad. 8.Brindar orientación jurídica en materia contractual a los directores de los diferentes proyectos en los cuales la Universidad del Magdalena ha sido designada como ejecutora. 9. Apoyar en la solicitud de las pólizas que amparan la ejecución de las diferentes órdenes o contratos suscritos por la Vicerrectoría de Extensión. 10. Apoyar en la verificación del cumplimiento de los Procesos de Gestión de contratación y Gestión Jurídica del Sistema de Gestión Integral de la Calidad "COGUI". 11. Apoyar el trámite de pagos de órdenes y contratos suscritos por la Universidad en relación con la ejecución del proyecto y con cargo al presupuesto asignado para este por el Fondo de Ciencias, Tecnologías e Innovación del Sistema General de Regalías y MINCIENCIAS. 12. Apoyar en la actualización del informe de la contratación solicitada y la pendiente por tramitar en la Vicerrectoria de Extensión. </t>
  </si>
  <si>
    <t>https://community.secop.gov.co/Public/Tendering/OpportunityDetail/Index?noticeUID=CO1.NTC.4061092&amp;isFromPublicArea=True&amp;isModal=true&amp;asPopupView=true</t>
  </si>
  <si>
    <t>OPSP-VAD-0514-2023</t>
  </si>
  <si>
    <t>ANDRES EDUARDO PATERNINA ARIZA</t>
  </si>
  <si>
    <t>https://community.secop.gov.co/Public/Tendering/OpportunityDetail/Index?noticeUID=CO1.NTC.4061142&amp;isFromPublicArea=True&amp;isModal=true&amp;asPopupView=true</t>
  </si>
  <si>
    <t>OAG-VAD-0515-2023</t>
  </si>
  <si>
    <t>BERLIS JOHANA ROBLES PADILLA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</si>
  <si>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</si>
  <si>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https://community.secop.gov.co/Public/Tendering/OpportunityDetail/Index?noticeUID=CO1.NTC.4061508&amp;isFromPublicArea=True&amp;isModal=true&amp;asPopupView=true</t>
  </si>
  <si>
    <t>OAG-VAD-0516-2023</t>
  </si>
  <si>
    <t>BREYNNER DAVID BARRERA LOPEZ</t>
  </si>
  <si>
    <t xml:space="preserve">La presente orden tiene por objeto: 1. Apoyar en la apertura, entrega y cierre del Laboratorio de análisis de datos, el laboratorio de procesos industriales, sala CAD y laboratorio de diseño y fabricación digital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como capacitaciones, inventarios, procesos de mantenimiento de equipos del laboratorio, etc.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</si>
  <si>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https://community.secop.gov.co/Public/Tendering/OpportunityDetail/Index?noticeUID=CO1.NTC.4061151&amp;isFromPublicArea=True&amp;isModal=true&amp;asPopupView=true</t>
  </si>
  <si>
    <t>OAG-VAD-0517-2023</t>
  </si>
  <si>
    <t>EDIER LUIS SALAZAR SERPA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</si>
  <si>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t>
  </si>
  <si>
    <t>https://community.secop.gov.co/Public/Tendering/OpportunityDetail/Index?noticeUID=CO1.NTC.4061526&amp;isFromPublicArea=True&amp;isModal=true&amp;asPopupView=true</t>
  </si>
  <si>
    <t>OAG-VAD-0518-2023</t>
  </si>
  <si>
    <t>EDUAR KRISS LOPESIERRA GARCIA</t>
  </si>
  <si>
    <t>https://community.secop.gov.co/Public/Tendering/OpportunityDetail/Index?noticeUID=CO1.NTC.4061533&amp;isFromPublicArea=True&amp;isModal=true&amp;asPopupView=true</t>
  </si>
  <si>
    <t>OAG-VAD-0519-2023</t>
  </si>
  <si>
    <t>GLORIA CHIQUINQUIRA MENDEZ MENDOZA</t>
  </si>
  <si>
    <t xml:space="preserve">La presente orden tiene por objeto: 1. Apoyar en la organización y digitalización de expedientes, de acuerdo con los procedimientos y directrices institucionales. 2. Apoyar en la elaboración de inventarios documentales de archivos. 3. Apoyar en la atención telefónica de usuarios en la ventanilla del Bloque Administrativo de la Universidad. 4. Apoyar en la elaboración de informes relacionados con la gestión documental. </t>
  </si>
  <si>
    <t>https://community.secop.gov.co/Public/Tendering/OpportunityDetail/Index?noticeUID=CO1.NTC.4061542&amp;isFromPublicArea=True&amp;isModal=true&amp;asPopupView=true</t>
  </si>
  <si>
    <t>OAG-VAD-0520-2023</t>
  </si>
  <si>
    <t>GUSTAVO JUNIOR RODRIGUEZ GOMEZ</t>
  </si>
  <si>
    <t>https://community.secop.gov.co/Public/Tendering/OpportunityDetail/Index?noticeUID=CO1.NTC.4061547&amp;isFromPublicArea=True&amp;isModal=true&amp;asPopupView=true</t>
  </si>
  <si>
    <t>OAG-VAD-0521-2023</t>
  </si>
  <si>
    <t>JEISSON DE JESUS MOLANO PATIÑO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</si>
  <si>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t>
  </si>
  <si>
    <t>https://community.secop.gov.co/Public/Tendering/OpportunityDetail/Index?noticeUID=CO1.NTC.4061553&amp;isFromPublicArea=True&amp;isModal=true&amp;asPopupView=true</t>
  </si>
  <si>
    <t>OPSP-VAD-0522-2023</t>
  </si>
  <si>
    <t>JHON MARIO MARTINEZ MARTINEZ</t>
  </si>
  <si>
    <t xml:space="preserve">La presente orden tiene por objeto: 1. Apoyar en la realización de capacitación en la definición de Modelo de datos. 2. Apoyar en la identificación de tablas maestras. 3. Apoyar en la definición de rutinas. 4. Apoyar en capacitación práctica de implementación de rutinas de carga masiva de datos. 5. Apoyar en la realización de capacitaciones en los servicios web implementados. 6. Apoyar en la creación de material audiovisual de los servicios web. 7. Apoyar en la creación de material audiovisual de la base de datos. 8. Apoyar en la definición y conceptualización de ETL de carga de datos 9. Apoyar en capacitación en preparación de estructura del sistema de información AyRE. </t>
  </si>
  <si>
    <t>https://community.secop.gov.co/Public/Tendering/OpportunityDetail/Index?noticeUID=CO1.NTC.4061557&amp;isFromPublicArea=True&amp;isModal=true&amp;asPopupView=true</t>
  </si>
  <si>
    <t>OAG-VAD-0523-2023</t>
  </si>
  <si>
    <t>KARELYS BRUGES CHARRIS</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</si>
  <si>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</si>
  <si>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https://community.secop.gov.co/Public/Tendering/OpportunityDetail/Index?noticeUID=CO1.NTC.4061176&amp;isFromPublicArea=True&amp;isModal=true&amp;asPopupView=true</t>
  </si>
  <si>
    <t>OPSP-VAD-0524-2023</t>
  </si>
  <si>
    <t>LINA MARIA ANDRADE GUTIERREZ</t>
  </si>
  <si>
    <t xml:space="preserve">La presente orden tiene por objeto: 1. Diseñar y realizar análisis estadísticos de ensayos de parcelas experimentales en proyectos agrícolas, productivos y prácticas académicas. 2. Relacionar información de campo en proyectos agrícolas, productivos y practicas académicas en la granja experimental. 3-Procesar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a los usuarios de la Dependencia.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12. Apoyar en el seguimiento de las actividades del personal designado para realizar labores de campo (estudiantes, profesores y trabajadores). </t>
  </si>
  <si>
    <t>https://community.secop.gov.co/Public/Tendering/OpportunityDetail/Index?noticeUID=CO1.NTC.4061179&amp;isFromPublicArea=True&amp;isModal=true&amp;asPopupView=true</t>
  </si>
  <si>
    <t>OAG-VAD-0525-2023</t>
  </si>
  <si>
    <t>LUIS ALFREDO BARROS RODRIGUEZ</t>
  </si>
  <si>
    <t xml:space="preserve">La presente orden tiene por objeto: 1. Apoyar con el registro de estudiantes en AyRE, la atención y resolución de las solicitudes, inquietudes o requerimientos de los estudiantes y docentes 2. Apoyar con la verificación de los soportes presentados por los docentes para la expedición de paz y salvos de los cursos desarrollados 3. Apoyar en los trámites operativos de reporte de notas 4. Apoyar en la organización los documentos requeridos para grado 5. Apoyar en la verificación del cumplimiento de las actividades académicas en las distintas plataformas virtuales en los centros tutoriales de Aguachica, Fundación, Magangué y El Banco con el propósito de cumplir con los procedimientos del proceso de gestión del sistema integral de la calidad. </t>
  </si>
  <si>
    <t>NELSON NOEL DAZA GOENAGA</t>
  </si>
  <si>
    <t>https://community.secop.gov.co/Public/Tendering/OpportunityDetail/Index?noticeUID=CO1.NTC.4061182&amp;isFromPublicArea=True&amp;isModal=true&amp;asPopupView=true</t>
  </si>
  <si>
    <t>OAG-VAD-0526-2023</t>
  </si>
  <si>
    <t>MARIA ALEXANDRA MANJARRES MEZA</t>
  </si>
  <si>
    <t>https://community.secop.gov.co/Public/Tendering/OpportunityDetail/Index?noticeUID=CO1.NTC.4061709&amp;isFromPublicArea=True&amp;isModal=true&amp;asPopupView=true</t>
  </si>
  <si>
    <t>OPSP-VAD-0527-2023</t>
  </si>
  <si>
    <t>ROSA VIRGINA SIRTORI TARAZONA</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</si>
  <si>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t>
  </si>
  <si>
    <t>https://community.secop.gov.co/Public/Tendering/OpportunityDetail/Index?noticeUID=CO1.NTC.4061721&amp;isFromPublicArea=True&amp;isModal=true&amp;asPopupView=true</t>
  </si>
  <si>
    <t>OAG-VAD-0528-2023</t>
  </si>
  <si>
    <t>ROSANA PIÑERES SOTO</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</si>
  <si>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t>
  </si>
  <si>
    <t>https://community.secop.gov.co/Public/Tendering/OpportunityDetail/Index?noticeUID=CO1.NTC.4061902&amp;isFromPublicArea=True&amp;isModal=true&amp;asPopupView=true</t>
  </si>
  <si>
    <t>OAG-VAD-0529-2023</t>
  </si>
  <si>
    <t>TATIANA ESTHER ROJAS RODRIGUEZ</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</si>
  <si>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</si>
  <si>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https://community.secop.gov.co/Public/Tendering/OpportunityDetail/Index?noticeUID=CO1.NTC.4061904&amp;isFromPublicArea=True&amp;isModal=true&amp;asPopupView=true</t>
  </si>
  <si>
    <t>OAG-VAD-0530-2023</t>
  </si>
  <si>
    <t>YINA ALEJANDRA TELLEZ FUENTES</t>
  </si>
  <si>
    <t xml:space="preserve">La presente orden tiene por objeto: 1. Apoyar en la atención de estudiantes, docentes y egresados. 2. Apoyar en el manejo del archivo digital y documental del Programa. 3. Apoyar en la proyección de documentos o informes que sean solicitados por otras dependencias de la Universidad ó por instituciones externas. 4. Proyectar las respuestas a los derechos de petición presentados al Programa de derecho. 5. Apoyar en la convocatoria de realización del Consejo de Programa de Derecho y la elaboración de las actas respectivas. 6. Apoyar en los trámites correspondientes a las interventorías de los contratos en beneficio del programa de derecho. 7. Apoyar en el seguimiento a los contratos de docentes catedráticos e intensivos del Programa de Derecho. 9. Apoyar en la coordinación y logística de la aplicación del examen de suficiencia en Derecho que se realiza a los estudiantes que han culmina más del 75% de los créditos académicos. </t>
  </si>
  <si>
    <t>https://community.secop.gov.co/Public/Tendering/OpportunityDetail/Index?noticeUID=CO1.NTC.4061741&amp;isFromPublicArea=True&amp;isModal=true&amp;asPopupView=true</t>
  </si>
  <si>
    <t>OAG-VAD-0531-2023</t>
  </si>
  <si>
    <t>YIRLEIDIS ANDREA MARQUEZ CORTES</t>
  </si>
  <si>
    <t xml:space="preserve">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Verificar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t>
  </si>
  <si>
    <t>EIRA ROSA MADERA REYES</t>
  </si>
  <si>
    <t>https://community.secop.gov.co/Public/Tendering/OpportunityDetail/Index?noticeUID=CO1.NTC.4061748&amp;isFromPublicArea=True&amp;isModal=true&amp;asPopupView=true</t>
  </si>
  <si>
    <t>OPSP-VAD-0532-2023</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</si>
  <si>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</si>
  <si>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t>
  </si>
  <si>
    <t>https://community.secop.gov.co/Public/Tendering/OpportunityDetail/Index?noticeUID=CO1.NTC.4061612&amp;isFromPublicArea=True&amp;isModal=true&amp;asPopupView=true</t>
  </si>
  <si>
    <t>OPSP-VAD-0533-2023</t>
  </si>
  <si>
    <t>LUIS ALEJANDRO ORTIZ HERAZO</t>
  </si>
  <si>
    <t xml:space="preserve">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Jurídico. 3. Asesorar y apoyar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t>
  </si>
  <si>
    <t>https://community.secop.gov.co/Public/Tendering/OpportunityDetail/Index?noticeUID=CO1.NTC.4061910&amp;isFromPublicArea=True&amp;isModal=true&amp;asPopupView=true</t>
  </si>
  <si>
    <t>OPSP-VAD-0534-2023</t>
  </si>
  <si>
    <t>JORGE ALBERTO MENDOZA BOLAÑO</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</si>
  <si>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al cumplimiento a la rendición de cuentas por parte de las dependencias responsables en las plataformas SIA Contralorias de la CGDM, SIA Observa de la AGR, SECOP de la DNP, CHIP de la CGN, y demas plataformas donde se reporten procesos financieros y de gestión contractual, y elaboración de respectivos informes de seguimiento y resultado. 5. Asesorar a la Oficina de Control Interno en la planificación del control interno y en el seguimiento y verificación del sistema de control interno y sistema de control interno contable. 6. Asesorar a la Oficina de Control Interno en la identificación de riesgos y de acciones de mejora a los diferentes responsables de procesos en el marco de auditorias, seguimientos, asesorias y/o acompañamientos realizados.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</si>
  <si>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https://community.secop.gov.co/Public/Tendering/OpportunityDetail/Index?noticeUID=CO1.NTC.4061756&amp;isFromPublicArea=True&amp;isModal=true&amp;asPopupView=true</t>
  </si>
  <si>
    <t>OAG-VAD-0535-2023</t>
  </si>
  <si>
    <t>ANDREA  CAROLINA CHAVARRO PACHECCO</t>
  </si>
  <si>
    <t xml:space="preserve">La presente orden tiene por objeto: 1. Apoyar en la organización del laboratorio de Anfiteatro Organico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y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t>
  </si>
  <si>
    <t>https://community.secop.gov.co/Public/Tendering/OpportunityDetail/Index?noticeUID=CO1.NTC.4061759&amp;isFromPublicArea=True&amp;isModal=true&amp;asPopupView=true</t>
  </si>
  <si>
    <t>OPSP-VAD-0536-2023</t>
  </si>
  <si>
    <t>EDUARDO RAFAEL RODRIGUEZ OROZCO</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</si>
  <si>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t>
  </si>
  <si>
    <t>https://community.secop.gov.co/Public/Tendering/OpportunityDetail/Index?noticeUID=CO1.NTC.4061765&amp;isFromPublicArea=True&amp;isModal=true&amp;asPopupView=true</t>
  </si>
  <si>
    <t>OAG-VAD-0537-2023</t>
  </si>
  <si>
    <t>SERGIO LUIS BUITRAGO PADILLA</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</si>
  <si>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</si>
  <si>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https://community.secop.gov.co/Public/Tendering/OpportunityDetail/Index?noticeUID=CO1.NTC.4061773&amp;isFromPublicArea=True&amp;isModal=true&amp;asPopupView=true</t>
  </si>
  <si>
    <t>OAG-VAD-0538-2023</t>
  </si>
  <si>
    <t>DANIEL ESTEBAN MONTES ROMERO</t>
  </si>
  <si>
    <t xml:space="preserve">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t>
  </si>
  <si>
    <t>https://community.secop.gov.co/Public/Tendering/OpportunityDetail/Index?noticeUID=CO1.NTC.4061779&amp;isFromPublicArea=True&amp;isModal=true&amp;asPopupView=true</t>
  </si>
  <si>
    <t>OPSP-VAD-0539-2023</t>
  </si>
  <si>
    <t xml:space="preserve">JESUS DANIEL RODRIGUEZ VASQUEZ  </t>
  </si>
  <si>
    <t>La presente orden tiene por objeto: 1. Apoyar en la reportería gráfica de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de estos.</t>
  </si>
  <si>
    <t>https://community.secop.gov.co/Public/Tendering/OpportunityDetail/Index?noticeUID=CO1.NTC.4076773&amp;isFromPublicArea=True&amp;isModal=true&amp;asPopupView=true</t>
  </si>
  <si>
    <t>OAG-VAD-0540-2023</t>
  </si>
  <si>
    <t>SIGEN ATUNES CELEDON</t>
  </si>
  <si>
    <t xml:space="preserve">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la elaboración de Certificados contractuales solicitados por los diferentes usuarios. </t>
  </si>
  <si>
    <t>https://community.secop.gov.co/Public/Tendering/OpportunityDetail/Index?noticeUID=CO1.NTC.4077007&amp;isFromPublicArea=True&amp;isModal=true&amp;asPopupView=true</t>
  </si>
  <si>
    <t>OAG-VAD-0541-2023</t>
  </si>
  <si>
    <t>ANDERSON PALACIO VILARO</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</si>
  <si>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</si>
  <si>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https://community.secop.gov.co/Public/Tendering/OpportunityDetail/Index?noticeUID=CO1.NTC.4077110&amp;isFromPublicArea=True&amp;isModal=true&amp;asPopupView=true</t>
  </si>
  <si>
    <t>OPSP-VAD-0542-2023</t>
  </si>
  <si>
    <t xml:space="preserve">La presente orden tiene por objeto: 1. Asesorar y apoyar en la elaboración de informe mensual de ejecución encaminado a garantizar el cumplimiento de las actividades financieras de cada uno de los proyectos suscritos por la Vicerrectoría de Extensión y Proyección Social. 2. Realizar informe consolidado de los presupuestos de los convenios y contratos de la Vicerrectoría de Extensión y Proyección Social. 3. Asesorar y apoyar en la construcción de plantillas de reporte de ejecución de convenios y proyectos. 4. Apoyar en el seguimiento financiero de los proyectos que se encuentren suscritos en la Vicerrectoría de Extensión y Proyección Social. 5. Asesorar en la elaboración de informes a los proyectos en ejecución en la Vicerrectoría de Extensión y Proyección Social. 6. Apoyar en el seguimiento a los procedimientos financieros que se ejecutan en la Vicerrectoría de Extensión y Proyección Social. 7. Apoyar en el seguimiento y revisión de la información cargada en la plataforma SIA OBSERVA, SECOP II y el informe de trasparencia mensual, así mismo el Informe de contratación F20 y en todos los informes presentado en los entes de control, en los que tiene responsabilidad la vicerrectoría de extensión y proyección social. 8. Elaborar informe del estado de proceso de cierre y liquidación de los convenios y contratos suscritos en la Vicerrectoría de Extensión y Proyección Social. 9. Realizar informe seguimiento de cumplimiento de metas y productos que conlleva a los desembolsos de cada proyecto y convenio de la Vicerrectoría de Extensión y Proyección Social. </t>
  </si>
  <si>
    <t>https://community.secop.gov.co/Public/Tendering/OpportunityDetail/Index?noticeUID=CO1.NTC.4077118&amp;isFromPublicArea=True&amp;isModal=true&amp;asPopupView=true</t>
  </si>
  <si>
    <t>OAG-VAD-0543-2023</t>
  </si>
  <si>
    <t>MARIA JOSE ALVAREZ CORREA</t>
  </si>
  <si>
    <t xml:space="preserve">La presente orden tiene por objeto: 1. Apoyar en la creación de cursos para el bloque 10 . 2. Apoyar en la escritura, revisión de redacción y estilo de los cursos B10, documentos y proyectos B10. </t>
  </si>
  <si>
    <t>https://community.secop.gov.co/Public/Tendering/OpportunityDetail/Index?noticeUID=CO1.NTC.4089990&amp;isFromPublicArea=True&amp;isModal=true&amp;asPopupView=true</t>
  </si>
  <si>
    <t>OPSP-VAD-0544-2023</t>
  </si>
  <si>
    <t>YOLANDA MILENA RODRIGUEZ AVILA</t>
  </si>
  <si>
    <t>La presente orden tiene por objeto: 1. Apoyar la gestión documental de los distintos procesos administrativos y de pagos gestionados desde la Vicerrectoria Administrativa y Vicerrectoria de extensión de la Universidad del Magdalena para el proyecto enmarcado en el objeto de la presente Orden de prestación de servicios. 2. Apoyar a los investigadores y gestores del proyecto en garantizar el uso adecuado de los recursos financieros para la contratación del talento humano, equipos y softwares, servicios tecnológicos, materiales e insumos, gastos de viaje y adicionales; de acuerdo con las necesidades en términos de tiempo y cantidad según los términos aprobados en el presupuesto, MGA y demás documentos soporte del proyecto. 3. Apoyar la gestión administrativa del proyecto, en relación con los procesos precontractuales y contractuales. 4. Cumplir con los procedimientos del Proceso Gestión de contratación y Gestión Jurídica del Sistema de Gestión Integral de la Calidad "COGUI". 5. Apoyar en la articulación de los recursos técnicos tecnológicos y logísticos de los proyectos y las diferentes dependencias, con la estrategia de administración adecuada para el desarrollo de las actividades de los proyectos. 6. Apoyar en la gestión del trámite de pagos de órdenes y contratos suscritos por la Universidad del Magdalena en relación con la ejecución del proyecto y con cargo al presupuesto asignado para este por el Fondo de Ciencias, Tecnologías e Innovación del Sistema General de Regalías y MINCIENCIAS. 7. Apoyar en el proceso de Inclusión de documentos en las plataformas SIA OBSERVA y SECOP II.</t>
  </si>
  <si>
    <t>https://community.secop.gov.co/Public/Tendering/OpportunityDetail/Index?noticeUID=CO1.NTC.4090152&amp;isFromPublicArea=True&amp;isModal=true&amp;asPopupView=true</t>
  </si>
  <si>
    <t>OPSP-VAD-0547-2023</t>
  </si>
  <si>
    <t>LUIS FELIPE CERMEÑO ULLOA</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</si>
  <si>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t>
  </si>
  <si>
    <t>https://community.secop.gov.co/Public/Tendering/OpportunityDetail/Index?noticeUID=CO1.NTC.4123277&amp;isFromPublicArea=True&amp;isModal=true&amp;asPopupView=true</t>
  </si>
  <si>
    <t>OAG-VAD-0548-2023</t>
  </si>
  <si>
    <t>RAFAEL JOSE COTES OROZCO</t>
  </si>
  <si>
    <t xml:space="preserve">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Apoyar en la redacción de documentos institucionales que se requieran. 6. Apoyar en la producción y edición de los materiales sonoros institucionales que se requieran, (Campus al aire fines de semana) 7. Apoyar en la verificación de la producción técnica y programación de la emisora cultural Unimagdalena Radio los fines de semana. 8. Apoyar en el fortalecimiento del Sistema de Gestión Integral de la Universidad del Magdalena "Sistema COGUI". 9. Presentar especiales para días festivos. 10. Redactar boletines institucionales. 11. Apoyar en la verificación del cumplimiento y desarrollo de la programación de la emisora cultural Unimagdalena Radio. </t>
  </si>
  <si>
    <t>HAMLET HASSER LOMBARDI VANEGAS</t>
  </si>
  <si>
    <t>https://community.secop.gov.co/Public/Tendering/OpportunityDetail/Index?noticeUID=CO1.NTC.4123714&amp;isFromPublicArea=True&amp;isModal=true&amp;asPopupView=true</t>
  </si>
  <si>
    <t>OPSP-VAD-0549-2023</t>
  </si>
  <si>
    <t>DANISA OFIR VARELA MENDOZA</t>
  </si>
  <si>
    <t xml:space="preserve">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t>
  </si>
  <si>
    <t>https://community.secop.gov.co/Public/Tendering/OpportunityDetail/Index?noticeUID=CO1.NTC.4123597&amp;isFromPublicArea=True&amp;isModal=true&amp;asPopupView=true</t>
  </si>
  <si>
    <t>OPSP-VAD-0550-2023</t>
  </si>
  <si>
    <t>LAURA VANESSA OROZCO MADRID</t>
  </si>
  <si>
    <t xml:space="preserve">La presente orden tiene por objeto: 1. Apoyar a la Dirección de Comunicaciones en la realización de cubrimiento de fuentes institucionales. 2. Apoyar a la Dirección de Comunicaciones en el seguimiento a la emisora Radio Magdalena. 3. Realizar locución del programa de radio Desde El Campus, por la emisora Unimagdalena Radio. 4. Redactar libretos de radio, sobre las novedades, eventos e información de las fuentes asignadas, para la transmisión en la emisora Unimagdalena Radio. 5. Redactar boletines de prensa sobre las novedades, eventos e información de las fuentes asignadas. 6. Apoyar a la Dirección de Comunicaciones en el proceso de organización logística de eventos de las fuentes asignadas, elaboración de libretos de presentación, órdenes del día y precedencias; realización de seguimiento a solicitudes de insumos y elementos para los eventos. 7. Presentar eventos de las fuentes asignadas. 8. Apoyar a la Dirección de Comunicaciones en la elaboración de piezas de comunicación solicitadas por las fuentes asignadas, apoyar la producción de videos; acompañar el proceso de solicitud, revisión y aprobación diseños de banners e infografías, entre otros productos. 9. Apoyar a la Dirección de Comunicaciones en la creación de copys para publicaciones en las redes sociales sobre las novedades, eventos e información de las fuentes asignadas y escritos para las secciones de las dependencias en la página web institucional. 10. Apoyar a la Dirección de Comunicaciones en el seguimiento al proceso de planeación, control interno y calidad. 11. Envío de boletines internos. </t>
  </si>
  <si>
    <t>https://community.secop.gov.co/Public/Tendering/OpportunityDetail/Index?noticeUID=CO1.NTC.4123675&amp;isFromPublicArea=True&amp;isModal=true&amp;asPopupView=true</t>
  </si>
  <si>
    <t>OPSP-VAD-0551-2023</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</si>
  <si>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</si>
  <si>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6.Apoyar el proceso de organización logística de eventos de las fuentes institucionales. 7. asistir a reuniones preparatorias. 8. elaborar libretos de presentación, órdenes del día y precedencia. 9. Realizar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t>
  </si>
  <si>
    <t>https://community.secop.gov.co/Public/Tendering/OpportunityDetail/Index?noticeUID=CO1.NTC.4123832&amp;isFromPublicArea=True&amp;isModal=true&amp;asPopupView=true</t>
  </si>
  <si>
    <t>OPSP-VAD-0552-2023</t>
  </si>
  <si>
    <t>AILEN LUCILA ZAMBRANO VIÑAS</t>
  </si>
  <si>
    <t xml:space="preserve">La presente orden tiene por objeto: 1. Presentar propuesta y creación de contenidos para redes sociales institucionales alineadas con las estrategias de marketing institucional. 2. Apoyar la grabación y edición de videos para redes sociales. 3. Apoyar en las respuestas puntuales a comentarios y consultas de la comunidad universitaria y ciudadanía en general, por redes sociales. 4. Apoyar el cubrimiento de eventos de la Universidad del Magdalena. 5. Apoyar la atención de PQR por redes sociales institucionales. 6. Apoyar la Creación de piezas gráficas para la red social Instagram. 7. Apoyar la realización de informes de estadísticas de Facebook e Instagram institucional. 8. Apoyar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actaualización de las nuevas tendencias en tecnología digital para redes institucionales. </t>
  </si>
  <si>
    <t>https://community.secop.gov.co/Public/Tendering/OpportunityDetail/Index?noticeUID=CO1.NTC.4123688&amp;isFromPublicArea=True&amp;isModal=true&amp;asPopupView=true</t>
  </si>
  <si>
    <t>OPSP-VAD-0553-2023</t>
  </si>
  <si>
    <t>BILLY JESUS ZEPHERIN ORTIZ</t>
  </si>
  <si>
    <t xml:space="preserve">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t>
  </si>
  <si>
    <t>https://community.secop.gov.co/Public/Tendering/OpportunityDetail/Index?noticeUID=CO1.NTC.4124025&amp;isFromPublicArea=True&amp;isModal=true&amp;asPopupView=true</t>
  </si>
  <si>
    <t>OPSP-VAD-0554-2023</t>
  </si>
  <si>
    <t>ORLANDO DAVID IGUARAN MANJARRES</t>
  </si>
  <si>
    <t xml:space="preserve">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t>
  </si>
  <si>
    <t>https://community.secop.gov.co/Public/Tendering/OpportunityDetail/Index?noticeUID=CO1.NTC.4123697&amp;isFromPublicArea=True&amp;isModal=true&amp;asPopupView=true</t>
  </si>
  <si>
    <t>OPSP-VAD-0555-2023</t>
  </si>
  <si>
    <t>SILENA PAOLA CASTILLA CONSTANTE</t>
  </si>
  <si>
    <t xml:space="preserve">La presente orden tiene por objeto: 1. Apoyar en la creación de entre 10 a 15 contenidos creativos semanales para aportar al crecimiento y a la consolidación de la comunidad virtual institucional, a través de las redes sociales de la Universidad del Magdalena. 2. Realizar entre 2 a 5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digitales. 4. Apoyar  las campañas estratégicas digitales que aporten al posicionamiento y fidelización de la comunidad digital institucional. 5. Apoyar en proyectos y nuevas estrategias de marketing digital para potencializar el reconocimiento de la marca Unimagdalena. </t>
  </si>
  <si>
    <t>https://community.secop.gov.co/Public/Tendering/OpportunityDetail/Index?noticeUID=CO1.NTC.4118051&amp;isFromPublicArea=True&amp;isModal=true&amp;asPopupView=true</t>
  </si>
  <si>
    <t>OPSP-VAD-0556-2023</t>
  </si>
  <si>
    <t>SANDRA MILENA GRANADOS RAMOS</t>
  </si>
  <si>
    <t xml:space="preserve">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t>
  </si>
  <si>
    <t>https://community.secop.gov.co/Public/Tendering/OpportunityDetail/Index?noticeUID=CO1.NTC.4117894&amp;isFromPublicArea=True&amp;isModal=true&amp;asPopupView=true</t>
  </si>
  <si>
    <t>OAG-VAD-0557-2023</t>
  </si>
  <si>
    <t>ADRIAN RAFAEL OJEDA OSPINO</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</si>
  <si>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en la atención de PQR por redes sociales institucionales. 5. Crear piezas gráficas para la red social Instagram. 6. Realizar informes de estadísticas de Facebook e Instagram institucional. 7. Proporcionar y redactar contenidos para cuentas de redes sociales. 8. Apoyar la creación de relaciones con la comunidad universitaria, estudiantes, profesionales del sector gobierno y educación y periodistas. 9. Apoyar con la actaulización de la información de las nuevas tendencias en tecnología digital para redes institucionales. </t>
  </si>
  <si>
    <t>https://community.secop.gov.co/Public/Tendering/OpportunityDetail/Index?noticeUID=CO1.NTC.4118057&amp;isFromPublicArea=True&amp;isModal=true&amp;asPopupView=true</t>
  </si>
  <si>
    <t>OPSP-VAD-0558-2023</t>
  </si>
  <si>
    <t>HUMBERTO JOSE CORONEL NOGUERA</t>
  </si>
  <si>
    <t xml:space="preserve">La presente orden tiene por objeto: 1. Apoyar en la corrección de estilo de los boletines y escritos en general que se generan desde la Universidad, 2. Apoyar en la redacción de textos para redes sociales, 3. Apoyar en el cubrimiento de fuentes institucionales. 4. Apoyar la coordinación y socialización de manual de estilo de la escritura en la Institución. </t>
  </si>
  <si>
    <t>https://community.secop.gov.co/Public/Tendering/OpportunityDetail/Index?noticeUID=CO1.NTC.4125504&amp;isFromPublicArea=True&amp;isModal=true&amp;asPopupView=true</t>
  </si>
  <si>
    <t>OPSP-VAD-0559-2023</t>
  </si>
  <si>
    <t>ROSA MARGARITA CAMARGO VASQUEZ</t>
  </si>
  <si>
    <t xml:space="preserve">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t>
  </si>
  <si>
    <t>https://community.secop.gov.co/Public/Tendering/OpportunityDetail/Index?noticeUID=CO1.NTC.4118061&amp;isFromPublicArea=True&amp;isModal=true&amp;asPopupView=true</t>
  </si>
  <si>
    <t>OPSP-VAD-0560-2023</t>
  </si>
  <si>
    <t>LEIDY HANNA HENRIQUEZ GALVIS</t>
  </si>
  <si>
    <t xml:space="preserve">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el seguimiento a solicitudes de insumos y elementos para los eventos. 8. Presentar eventos de las fuentes asignadas. 9. Elaborar dos (2) boletines audiovisuales diarios de lunes a viernes, incluye: organización y presentación de propuesta de temas, apoyo enla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apoyar la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entre otros productos. 11. Creación de copys para publicaciones en las redes sociales sobre las novedades, eventos e información de las fuentes institucionales y otros escritos. </t>
  </si>
  <si>
    <t>https://community.secop.gov.co/Public/Tendering/OpportunityDetail/Index?noticeUID=CO1.NTC.4118063&amp;isFromPublicArea=True&amp;isModal=true&amp;asPopupView=true</t>
  </si>
  <si>
    <t>OPSP-VAD-0561-2023</t>
  </si>
  <si>
    <t xml:space="preserve">La presente orden tiene por objeto: 1. Apoyar en la elaboración y envió de informes solicitados por las diferentes Entidades del Estado y demás Dependencias de la Universidad. 2. Apoyar al Grupo Interno de Contratación en la organización de la información que se requiera periódicamente en el marco de las exigencias establecidas por la Ley de transparencia del proceso contractual llevado por la Vicerrectoría Administrativa y la Dirección Administrativa en lo que respecta a las órdenes de prestación de servicios profesionales y de apoyo a la gestión. 3. Apoyar en los trámites de afiliación a la administradora de riesgos laborales que corresponda de los contratistas que vincule la vicerrectoría administrativa. 4. Apoyar en los trámites necesarios para la verificación de las conductas relacionadas con violencia de género de los contratistas que vincule la vicerrectoría administrativa. 5.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6. Apoyar con la revisión en la plataforma del GEDOCO y SIGEP de los documentos precontractuales necesarios para la elaboración de órdenes de servicios profesionales y de apoyo a la gestión de la Vicerrectoría y/o Dirección Administrativa. 7. Apoyar en la revisión de los formatos de recibido a satisfacción para tramites de pago de honorarios de los contratistas por prestación de servicios profesionales y de apoyo a la gestión de la vicerrectoría y/o dirección administrativa. 8. Apoyar en la verificación que el pago que realicen los contratistas al sistema de seguridad social en ejecución de las órdenes de prestación de servicios profesionales y de apoyo a la gestión corresponda a lo establecido en la Ley.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t>
  </si>
  <si>
    <t>https://community.secop.gov.co/Public/Tendering/OpportunityDetail/Index?noticeUID=CO1.NTC.4118069&amp;isFromPublicArea=True&amp;isModal=true&amp;asPopupView=true</t>
  </si>
  <si>
    <t>OPSP-VAD-0562-2023</t>
  </si>
  <si>
    <t xml:space="preserve">La presente orden tiene por objeto: 1. Asesorar y apoyar la planeación, evaluación y control de los procesos administrativos desarrollados desde la Dirección Administrativa. 2. Asesorar y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t>
  </si>
  <si>
    <t>https://community.secop.gov.co/Public/Tendering/OpportunityDetail/Index?noticeUID=CO1.NTC.4118160&amp;isFromPublicArea=True&amp;isModal=true&amp;asPopupView=true</t>
  </si>
  <si>
    <t>OPSP-VAD-0563-2023</t>
  </si>
  <si>
    <t>HERNANDO ANTONIO HENRIQUEZ PINEDO</t>
  </si>
  <si>
    <t xml:space="preserve">La presente orden tiene por objeto: 1. Asesorar y apoyar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t>
  </si>
  <si>
    <t>https://community.secop.gov.co/Public/Tendering/OpportunityDetail/Index?noticeUID=CO1.NTC.4137759&amp;isFromPublicArea=True&amp;isModal=true&amp;asPopupView=true</t>
  </si>
  <si>
    <t>OPSP-VAD-0564-2023</t>
  </si>
  <si>
    <t>La presente orden tiene por objeto: Prestar sus servicios profesionales como apoyo a la supervisión de proyectos del Sistema General de Regalías ejecutados por la Universidad del Magdalena, realizando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proyección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orden. 8. Apoyar la solicitud y tramite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sobre las circunstancias especiales que conlleven a la necesidad de efectuar cambios en las condiciones de los contratos para el cabal cumplimiento de lo pactado. Así mismo Apoyar con el estudio, evaluación y atención oportuna de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t>
  </si>
  <si>
    <t>https://community.secop.gov.co/Public/Tendering/OpportunityDetail/Index?noticeUID=CO1.NTC.4137870&amp;isFromPublicArea=True&amp;isModal=true&amp;asPopupView=true</t>
  </si>
  <si>
    <t>OAG-VAD-0567-2023</t>
  </si>
  <si>
    <t>MARISELA ESTHER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</si>
  <si>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</si>
  <si>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https://community.secop.gov.co/Public/Tendering/OpportunityDetail/Index?noticeUID=CO1.NTC.4163784&amp;isFromPublicArea=True&amp;isModal=true&amp;asPopupView=true</t>
  </si>
  <si>
    <t>OAG-VAD-0568-2023</t>
  </si>
  <si>
    <t>DANNA CAROLINA CERVANTES CASTILLO</t>
  </si>
  <si>
    <t xml:space="preserve">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t>
  </si>
  <si>
    <t>https://community.secop.gov.co/Public/Tendering/OpportunityDetail/Index?noticeUID=CO1.NTC.4163952&amp;isFromPublicArea=True&amp;isModal=true&amp;asPopupView=true</t>
  </si>
  <si>
    <t>OAG-VAD-0569-2023</t>
  </si>
  <si>
    <t>DIOMEDES JAIR VARGAS HORTA</t>
  </si>
  <si>
    <t>https://community.secop.gov.co/Public/Tendering/OpportunityDetail/Index?noticeUID=CO1.NTC.4164177&amp;isFromPublicArea=True&amp;isModal=true&amp;asPopupView=true</t>
  </si>
  <si>
    <t>OPSP-VAD-0570-2023</t>
  </si>
  <si>
    <t>YORSEK MANUEL ALFARO OROZCO</t>
  </si>
  <si>
    <t>https://community.secop.gov.co/Public/Tendering/OpportunityDetail/Index?noticeUID=CO1.NTC.4163936&amp;isFromPublicArea=True&amp;isModal=true&amp;asPopupView=true</t>
  </si>
  <si>
    <t>OPSP-VAD-0571-2023</t>
  </si>
  <si>
    <t>JULIANA DE LA MILAGROSA VIVES NORIEGA</t>
  </si>
  <si>
    <t xml:space="preserve">La presente orden tiene por objeto: 1. Apoyar a la Direccción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</si>
  <si>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https://community.secop.gov.co/Public/Tendering/OpportunityDetail/Index?noticeUID=CO1.NTC.4164144&amp;isFromPublicArea=True&amp;isModal=true&amp;asPopupView=true</t>
  </si>
  <si>
    <t>OPSP-VAD-0572-2023</t>
  </si>
  <si>
    <t>LILIANA DEL CARMEN TRHEEBILCOCK ABELLO</t>
  </si>
  <si>
    <t xml:space="preserve">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Universitario. 7. Apoyar en el proceso de caracterización psicosocial de los miembros de la comunidad Universitaria. 8. Apoyar en el proceso de planeación y ejecución de las actividades propias del Protocolo Institucional para la Prevención y Atención de la Violencia basada en Género y Violencia Sexual. 9. Apoyar en la atención psicológica a los miembros de la comunidad universitaria en virtud al Protocolo Institucional para la Prevención y Atención de la Violencia basada en Género y Violencia Sexual. 10. Apoyar al supervisor en la actualización del inventario de los equipos e insumos de oficina y garantizar el buen uso de los mismos. 11. Apoyar en la atención, seguimiento y control a través de medios tecnológicos, a la comunidad universitaria que lo requiera de acuerdo a su especialidad. </t>
  </si>
  <si>
    <t>https://community.secop.gov.co/Public/Tendering/OpportunityDetail/Index?noticeUID=CO1.NTC.4166586&amp;isFromPublicArea=True&amp;isModal=true&amp;asPopupView=true</t>
  </si>
  <si>
    <t>OPSP-VAD-0574-2023</t>
  </si>
  <si>
    <t>LIZBETH CECILIA RESTREPO GAMEZ</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</si>
  <si>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el estudio, evaluación y emisión de conceptos juridicos que le sean requeridos y en el seguimiento al cumplimiento de los requerimientos. 5. Apoyar a la Oficina de Control Interno en el seguimiento al cumplimiento de obligaciones por parte de las depencias responsables en el marco del Parágrafo del Art. 125 de la acción de repetición de la Ley 2220 de 2022. 6. Apoyar a la Oficina de Control Interno en el seguimiento al faltante, daño y/o deterioro de bienes en el marco del Cap. III Resolución Rec. 624 de 2018.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 </t>
  </si>
  <si>
    <t>https://community.secop.gov.co/Public/Tendering/OpportunityDetail/Index?noticeUID=CO1.NTC.4164230&amp;isFromPublicArea=True&amp;isModal=true&amp;asPopupView=true</t>
  </si>
  <si>
    <t>OAG-VAD-0575-2023</t>
  </si>
  <si>
    <t>ISBELIA VANESSA BECERRA PORTILLA</t>
  </si>
  <si>
    <t xml:space="preserve">La presente orden tiene por objeto: 1. Apoyar en el cargue de la información requerida en las diferentes plataformas que está obligada la universidad con respecto a la información contractual y contable. 2. Apoyar en la revisión mensual de los contratos de los ordenadores de gasto que se ingresan en la plataforma del Sistema Integral de AUDITORIA- SIA OBSERVA (parámetros de Contratacion), SIGEP II SECOP I y II. 3. Apoyar en la revisión de la información contractual de los ordenadores de gasto en el formato F- 20 AG del informe presentado a la Contraloría del Magdalena. 4. Apoyar en el cargue y del Formato F-20 AG del Informe de la Contraloría del Magdalena. 5. Apoyar en la revisión de contratos ingresados a la plataforma Sistema de Información y Gestión del Empleado Público SIGEP II en el módulo de contratación de los ordenadores de gasto de la Universidad del Magdalena. 6. Apoyar en la elaboración y cargue de información enla plataforma del CHIP Contaduría General de la Nación y SIRESI. 7. Apoyar en la elaboración de certificaciones contractuales. 8. Apoyar en la proyección respuestas a las peticiones que le sean trasladadas, con el fin que las mismas se resuelvan dentro de los plazos y/o términos establecidos en la Ley. 9. Apoyar en el proceso de implementación del módulo de trámite de certificaciones de vinculaciones contractuales virtaules en línea. 10. Rendir informes mensuales o cuando el supervisor así lo requiera, sobre las actividades desarrolladas en cumplimiento de la orden de prestación de servicios. </t>
  </si>
  <si>
    <t>https://community.secop.gov.co/Public/Tendering/OpportunityDetail/Index?noticeUID=CO1.NTC.4164058&amp;isFromPublicArea=True&amp;isModal=true&amp;asPopupView=true</t>
  </si>
  <si>
    <t>OPSP-VAD-0576-2023</t>
  </si>
  <si>
    <t>BRIAN DAVID CANTILLO LOPEZ</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</si>
  <si>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Apoyar en la realización de reuniones periódicas con los equipos de trabajo de los proyectos. 7. Apoyar y asesorar en las especificaciones de software en forma de historias de usuario. </t>
  </si>
  <si>
    <t>https://community.secop.gov.co/Public/Tendering/OpportunityDetail/Index?noticeUID=CO1.NTC.4164074&amp;isFromPublicArea=True&amp;isModal=true&amp;asPopupView=true</t>
  </si>
  <si>
    <t>OPSP-VAD-0577-2023</t>
  </si>
  <si>
    <t>LAURA MARCELA DE JESUS VIVES CAMPO</t>
  </si>
  <si>
    <t>https://community.secop.gov.co/Public/Tendering/OpportunityDetail/Index?noticeUID=CO1.NTC.4163990&amp;isFromPublicArea=True&amp;isModal=true&amp;asPopupView=true</t>
  </si>
  <si>
    <t>OAG-VAD-0578-2023</t>
  </si>
  <si>
    <t>DANIELA CAROLINA JOHNSON CASTAÑEDA</t>
  </si>
  <si>
    <t xml:space="preserve">La presente orden tiene por objeto: 1. Apoyar en la atención al público en general.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 a trámites administrativos internos. </t>
  </si>
  <si>
    <t>ANA EMILIA BARROS NIETO</t>
  </si>
  <si>
    <t>https://community.secop.gov.co/Public/Tendering/OpportunityDetail/Index?noticeUID=CO1.NTC.4175980&amp;isFromPublicArea=True&amp;isModal=true&amp;asPopupView=true</t>
  </si>
  <si>
    <t>OAG-VAD-0579-2023</t>
  </si>
  <si>
    <t>FREDDY MAURICIO MARTINEZ NIEVES</t>
  </si>
  <si>
    <t xml:space="preserve">La presente orden tiene por objeto: 1. Apoyar el seguimiento diario de labores de recolección de residuos. 2. Apoyar el seguimiento diario a las condiciones generales de mantenimiento, limpieza y desinfección de dispositivos y/o recipientes utilizados en el manejo de residuos. 3. Apoyar la ejecución del programa de aprovechamiento de residuos sólidos. 4. Apoyar la realización de los retrolavados, limpieza y desinfección de las estaciones de llenado de botellas de agua potable. 5. Apoyar la realización de capacitaciones en temáticas relacionadas con la gestión ambiental y sanitaria. 6. Apoyar en la actualización de la información asociada al componente ambiental, de acuerdo con los procedimientos y normas legales establecidos en gestión documental. </t>
  </si>
  <si>
    <t>https://community.secop.gov.co/Public/Tendering/OpportunityDetail/Index?noticeUID=CO1.NTC.4177867&amp;isFromPublicArea=True&amp;isModal=true&amp;asPopupView=true</t>
  </si>
  <si>
    <t>OPSP-VAD-0580-2023</t>
  </si>
  <si>
    <t>ANA KATHERINE MARRIAGA JARABA</t>
  </si>
  <si>
    <t xml:space="preserve">La presente orden tiene por objeto: 1. Asesorar y apoyar en el  diseño de la “cultura de servicio al cliente” de la Universidad del Magdalena 2. Asesorar y apoyar en la definición de los indicadores de desempeño KPI’s claves en la cultura de servicio al cliente (primera respuesta, tiempo de espera, tasa de resolución, rendimiento del representante de atención al cliente, satisfacción del cliente, tasa de retención de clientes, compromiso de empleados) 3. Apoyar en la medición y monitoreo del logro de los indicadores de desempeño KPI’s definidos para cada área que tienen contacto directo con los clientes, según la prestación del servicio. 4. Apoyar con la creación de campañas de socialización de la cultura de servicio al cliente de la Universidad del Magdalena 5. Realizar talleres de sensibilización a los integrantes de los diferentes equipos de trabajo que realizan sus actividades mediante contacto directo con los usuarios 6. Apoyar en la motivación al equipo y mejora de la experiencia de los colaboradores en la prestación del servicio al cliente. 7. Proponer soluciones para mejorar el rendimiento del servicio al cliente 8. Apoyar la coordinación y supervisión  del cumplimiento de la cultura de servicio al cliente de la Universidad del Magdalena 9. Apoyar en la comunicación de las decisiones y lineamientos de la alta directiva en relación con la atención al cliente. 10. Apoyar en el logro y mantenimiento del nivel de calidad y la satisfacción de los clientes 11. Apoyar en la identificación de posibles cambios tecnológicos o herramientas que mejoren tanto la experiencia del colaborador, como la del cliente 12. Apoyar la resolución de problemas o quejas escaladas del cliente 13. Apoyar con el reporte de información recopilada del cliente, para que la alta dirección tenga acceso a esos datos y pueda tomar decisiones acertadas. </t>
  </si>
  <si>
    <t>https://community.secop.gov.co/Public/Tendering/OpportunityDetail/Index?noticeUID=CO1.NTC.4178121&amp;isFromPublicArea=True&amp;isModal=true&amp;asPopupView=true</t>
  </si>
  <si>
    <t>OPSP-VAD-0581-2023</t>
  </si>
  <si>
    <t>MAIRA ALEJANDRA SALGADO GARCIA</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</si>
  <si>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invitada la Vicerrectoría. 4. Proyectar minutas de convenios y contratos que requiera la Vicerrectoría de Extensión y Proyección Social. 5. Proyectar respuestas a peticiones, actas, tutelas y demás documentos de contenido jurídico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Asistir a todas las reuniones y/o encuentros virtuales y presenciales agendados, previo acuerdo con el supervisor de la orden. </t>
  </si>
  <si>
    <t>https://community.secop.gov.co/Public/Tendering/OpportunityDetail/Index?noticeUID=CO1.NTC.4178058&amp;isFromPublicArea=True&amp;isModal=true&amp;asPopupView=true</t>
  </si>
  <si>
    <t>OPSP-VAD-0582-2023</t>
  </si>
  <si>
    <t>JACOBO MARIANO MENDEZ DE ANDREIS</t>
  </si>
  <si>
    <t xml:space="preserve">La presente orden tiene por objeto: 1. Apoyar la conducción del Magazín 'Rutas para avanzar' transmitido por Unimagdalena Radio. 2. Apoyar la reportería con las dependencias que generen información útil para el programa. 3. Apoyar las transmisiones en vivo y en directo de los eventos y franjas de la Emisora Cultural. 4. Apoyar la elaboración de las bases de datos de funcionarios estatales y privados que puedan ser consultados en el espacio de la Emisora. 5. Apoyar en la realización del programa Unimagdalena Radio al barrio. 6. Apoyar en la redacción de documentos institucionales.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t>
  </si>
  <si>
    <t>https://community.secop.gov.co/Public/Tendering/OpportunityDetail/Index?noticeUID=CO1.NTC.4178231&amp;isFromPublicArea=True&amp;isModal=true&amp;asPopupView=true</t>
  </si>
  <si>
    <t>OPSP-VAD-0583-2023</t>
  </si>
  <si>
    <t>JOSE ALBERTO TONCEL BELTRAN</t>
  </si>
  <si>
    <t xml:space="preserve">La presente orden tiene por objeto: 1. Brindar apoyo y acompañamiento a las personas y a la comunidad que asiste al PAP en el área psicosocial 2. Apoyar en la intervención comunitaria desde el área social 3. Apoyar en la gestión de nuevas alianzas. 4. Apoyar con el impulso de nuevas propuestas en el área de desarrollo social 5. Apoyar las mesas de trabajos relacionadas con la creación de nuevos convenios 6. Entregar informes de actividades de intervención realizadas. </t>
  </si>
  <si>
    <t>https://community.secop.gov.co/Public/Tendering/OpportunityDetail/Index?noticeUID=CO1.NTC.4178235&amp;isFromPublicArea=True&amp;isModal=true&amp;asPopupView=true</t>
  </si>
  <si>
    <t>OPSP-VAD-0584-2023</t>
  </si>
  <si>
    <t>LIZETH PAOLA CARDENAS ZAMBRANO</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</si>
  <si>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la participación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apoyar en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</si>
  <si>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https://community.secop.gov.co/Public/Tendering/OpportunityDetail/Index?noticeUID=CO1.NTC.4177952&amp;isFromPublicArea=True&amp;isModal=true&amp;asPopupView=true</t>
  </si>
  <si>
    <t>OAG-VAD-0585-2023</t>
  </si>
  <si>
    <t>ANDRES FELIPE ROJAS DODINO</t>
  </si>
  <si>
    <t xml:space="preserve">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t>
  </si>
  <si>
    <t>https://community.secop.gov.co/Public/Tendering/OpportunityDetail/Index?noticeUID=CO1.NTC.4197436&amp;isFromPublicArea=True&amp;isModal=true&amp;asPopupView=true</t>
  </si>
  <si>
    <t>OPSP-VAD-0587-2023</t>
  </si>
  <si>
    <t>CAROLINA MAYLEN FORERO BULA</t>
  </si>
  <si>
    <t xml:space="preserve">La presente orden tiene por objeto: 1. Asesorar en la proyección, ejecución y control de políticas de gestión administrativa. 2. Asesorar y apoyar en la planificación de actividades de seguimiento y control relativas a la gestión administrativa. 3. Asesorar a la Dirección Administrativa en la elaboración y presentación de informes relacionados con la gestión administrativa. 4. Asesorar y apoyar en la formulación y evaluación de proyectos e iniciativas de gestión administrativa. 5. Apoyar en la formulación y seguimiento de proyectos de Plan de Acción a cargo de la Dirección Administrativa y la Vicerrectoría Administrativa. </t>
  </si>
  <si>
    <t>https://community.secop.gov.co/Public/Tendering/OpportunityDetail/Index?noticeUID=CO1.NTC.4197520&amp;isFromPublicArea=True&amp;isModal=true&amp;asPopupView=true</t>
  </si>
  <si>
    <t>OPSP-VAD-0588-2023</t>
  </si>
  <si>
    <t>BERTHA NAYIBE MURCIA MEDINA</t>
  </si>
  <si>
    <t xml:space="preserve">La presente orden tiene por objeto: 1. Apoyar en la remisión a la Dirección de Prácticas los estudiantes aptos para realizar la prepráctica periodo 2023-1. 2. Apoyar la atención de las solicitudes de prácticas de los estudiantes interesados en realizar prácticas. 3. Apoyar en la notificación de la aprobación de actividades de prácticas aprobadas por los programas y solicitar los documentos para la legalización de prácticas. 4. Remitir los documentos requeridos para la legalización a la Dirección de Prácticas. 5. Apoyar en la notificación de la legalización de prácticas a los estudiantes y empresas. 6. Apoyar en la atención y entrega de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 listado de estudiantes que culminaron su proceso de prácticas para que los programas emitan la paz y salvo respectivo. </t>
  </si>
  <si>
    <t>https://community.secop.gov.co/Public/Tendering/OpportunityDetail/Index?noticeUID=CO1.NTC.4197526&amp;isFromPublicArea=True&amp;isModal=true&amp;asPopupView=true</t>
  </si>
  <si>
    <t>OAG-VAD-0589-2023</t>
  </si>
  <si>
    <t>MAGNOLIA DEL CARMEN DIAZ GUERRERO</t>
  </si>
  <si>
    <t>https://community.secop.gov.co/Public/Tendering/OpportunityDetail/Index?noticeUID=CO1.NTC.4197607&amp;isFromPublicArea=True&amp;isModal=true&amp;asPopupView=true</t>
  </si>
  <si>
    <t>OPSP-VAD-0590-2023</t>
  </si>
  <si>
    <t>MARTHA ELOISA ACUÑA ORTIZ</t>
  </si>
  <si>
    <t xml:space="preserve">La presente orden tiene por objeto: 1. Apoyar con la remisión a la Dirección de Prácticas los estudiantes aptos para realizar la prepráctica periodo 2023-1. 2. Apoyar en la atención de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</si>
  <si>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https://community.secop.gov.co/Public/Tendering/OpportunityDetail/Index?noticeUID=CO1.NTC.4197358&amp;isFromPublicArea=True&amp;isModal=true&amp;asPopupView=true</t>
  </si>
  <si>
    <t>OPSP-VAD-0591-2023</t>
  </si>
  <si>
    <t>JASON DE JESUS BUSTAMANTE ALVAREZ</t>
  </si>
  <si>
    <t xml:space="preserve">La presente orden tiene por objeto: 1. Apoyar en la remisión a la Dirección de Prácticas los estudiantes aptos para realizar la prepráctica periodo 2023-1.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</si>
  <si>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https://community.secop.gov.co/Public/Tendering/OpportunityDetail/Index?noticeUID=CO1.NTC.4197550&amp;isFromPublicArea=True&amp;isModal=true&amp;asPopupView=true</t>
  </si>
  <si>
    <t>OPSP-VAD-0592-2023</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</si>
  <si>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elaboración y desarrollo de informes estadísticos y financieros relacionados con el proceso "Bienestar Universitario” de conformidad al Sistema de Gestión Integral teniendo en cuenta los fundamentos y lineamientos impartidos por el Grupo de Gestión de la Calidad. </t>
  </si>
  <si>
    <t>https://community.secop.gov.co/Public/Tendering/OpportunityDetail/Index?noticeUID=CO1.NTC.4197559&amp;isFromPublicArea=True&amp;isModal=true&amp;asPopupView=true</t>
  </si>
  <si>
    <t>OPSP-VAD-0593-2023</t>
  </si>
  <si>
    <t>ADAN JOSE OLIVEROS ALTAHONA</t>
  </si>
  <si>
    <t>https://community.secop.gov.co/Public/Tendering/OpportunityDetail/Index?noticeUID=CO1.NTC.4197372&amp;isFromPublicArea=True&amp;isModal=true&amp;asPopupView=true</t>
  </si>
  <si>
    <t>OPSP-VAD-0597-2023</t>
  </si>
  <si>
    <t>MARIA TERESA CEBALLOS RIASCOS</t>
  </si>
  <si>
    <t xml:space="preserve">La presente orden tiene por objeto: 1. Emitir los conceptos y resolver las consultas de tipo jurídico en todas las áreas del derecho que le sean solicitados. 2. Prestar Asesoría y apoyar en la revisión de los documentos precontractuales y contractuales que le sean trasladados de los procesos de contratación adelantados por UNIMAGDALENA. 3. Apoyar la revisión en la plataforma del GEDOCO de los documentos precontractuales necesarios para la elaboración de órdenes de servicios profesionales y de apoyo a la gestión que requiera la vicerrectoría administrativa. 4.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5. Apoyar la revisión de los formatos de recibido a satisfacción para liquidación de honorarios de órdenes de prestación de servicios profesionales y de apoyo a la gestión. 6. Apoyar en la Proyección de minutas de contratos y/o órdenes de prestación de servicios profesionales y de apoyo a la gestión. 7. Apoyar al Grupo de Contratación con la proyección de las respuestas a las peticiones que le sean trasladadas, con el fin que las mismas se resuelvan dentro de los plazos y/o términos establecidos en la Ley. 8. Apoyar en el cargue de información contractual en las plataformas del SIA OBSERVA y EL SECOP. 9. Apoyar la elaboración de Certificados contractuales solicitados por los diferentes usuarios. 10. Apoyar en el proceso de implementación del módulo de trámite de certificaciones de vinculaciones contractuales virtuales en línea.11. Rendir informes mensuales o cuando el supervisor así lo requiera, sobre las actividades desarrolladas en cumplimiento de la orden de prestación de servicios. </t>
  </si>
  <si>
    <t>https://community.secop.gov.co/Public/Tendering/OpportunityDetail/Index?noticeUID=CO1.NTC.4209439&amp;isFromPublicArea=True&amp;isModal=true&amp;asPopupView=true</t>
  </si>
  <si>
    <t>OPSP-VAD-0606-2023</t>
  </si>
  <si>
    <t>LILIBETH PATRICIA CARBONO PACHECO</t>
  </si>
  <si>
    <t xml:space="preserve">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Direccion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t>
  </si>
  <si>
    <t>https://community.secop.gov.co/Public/Tendering/ContractNoticePhases/View?PPI=CO1.PPI.24028993&amp;isFromPublicArea=True&amp;isModal=False</t>
  </si>
  <si>
    <t>OAG-VAD-0607-2023</t>
  </si>
  <si>
    <t>MARIA DE JESUS AMADOR ZEA</t>
  </si>
  <si>
    <t xml:space="preserve">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</si>
  <si>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DAVID NUMAN FLORIAN</t>
  </si>
  <si>
    <t>https://community.secop.gov.co/Public/Tendering/ContractNoticePhases/View?PPI=CO1.PPI.24029544&amp;isFromPublicArea=True&amp;isModal=False</t>
  </si>
  <si>
    <t>OPSP-VAD-0608-2023</t>
  </si>
  <si>
    <t>RICARDO ALFONSO CAMPO REDONDON</t>
  </si>
  <si>
    <t xml:space="preserve">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t>
  </si>
  <si>
    <t>https://community.secop.gov.co/Public/Tendering/ContractNoticePhases/View?PPI=CO1.PPI.24029547&amp;isFromPublicArea=True&amp;isModal=False</t>
  </si>
  <si>
    <t>OPSP-VAD-0609-2023</t>
  </si>
  <si>
    <t>BLADIMIR ELIECER MANGA BARROS</t>
  </si>
  <si>
    <t xml:space="preserve">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asignada. </t>
  </si>
  <si>
    <t>https://community.secop.gov.co/Public/Tendering/ContractNoticePhases/View?PPI=CO1.PPI.24096847&amp;isFromPublicArea=True&amp;isModal=False</t>
  </si>
  <si>
    <t>OAG-VAD-0610-2023</t>
  </si>
  <si>
    <t>LUIS ALFREDO SIERRA OLIVEROS</t>
  </si>
  <si>
    <t xml:space="preserve">La presente orden tiene por objeto: 1. Apoyar en la elaboración de contenidos en la plataforma del Bloque. 2. Apoyar en la realización de Blog en la plataforma del Bloque 10. 3. Apoyar en la creación de cursos en la plaforma del Bloque 10. 4. Apoyar en las redes sociales de la plataforma del Bloque 10. </t>
  </si>
  <si>
    <t>https://community.secop.gov.co/Public/Tendering/OpportunityDetail/Index?noticeUID=CO1.NTC.4269034&amp;isFromPublicArea=True&amp;isModal=true&amp;asPopupView=true</t>
  </si>
  <si>
    <t>OPSP-VAD-0611-2023</t>
  </si>
  <si>
    <t>ANDREA ESTEFFANIA PALACIO RIZZO</t>
  </si>
  <si>
    <t xml:space="preserve">La presente orden tiene por objeto: 1. Apoyar en actividades de promoción y mantenimiento de la salud a la comunidad universitaria. 2. Apoyar en la socialización y talleres de las rutas de alcoholismo, consumo de sustancias psicoactivas y suicidio al interior del plantel educativo. 3. Apoyar en la atención básica, oportuna y adecuada a los estudiantes que requieran el servicio de orientación psicológica. 4. Realizar el diligenciamiento oportuno de los formatos establecidos por Bienestar Universitario en el Sistema de Gestión de la Calidad y otros procesos. 5.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a los miembros de la comunidad Universitaria que requieran información sobre los distintos servicios de Bienestar. 8. Apoyar al supervisor en la actualización del inventario de los equipos de oficina y garantizar el buen uso de los mismos. 9. Apoyar en la atención, seguimiento y control a través de medios tecnológicos, a la comunidad universitaria que lo requiera de acuerdo a su especialidad. </t>
  </si>
  <si>
    <t>https://community.secop.gov.co/Public/Tendering/OpportunityDetail/Index?noticeUID=CO1.NTC.4269030&amp;isFromPublicArea=True&amp;isModal=true&amp;asPopupView=true</t>
  </si>
  <si>
    <t>OPSP-VAD-0612-2023</t>
  </si>
  <si>
    <t>ANGELA MARIA NADJAR GONZALEZ</t>
  </si>
  <si>
    <t xml:space="preserve">La presente orden tiene por objeto: 1. Prestar Asesoría y apoyar en la revisión de los documentos precontractuales, contractuales y post-contractuales que le sean trasladados de los procesos de contratación adelantados por UNIMAGDALENA. 2. Proyectar respuestas a las peticiones que le sean trasladadas, con el fin que las mismas se resuelvan dentro de los plazos y/o términos establecidos en la Ley. 3. Proyectar y apoyar en la revisión de minutas de contratos, convenios, procesos de convocatorias, términos de referencia, actos administrativos, actas de terminación y liquidación. 4. Emitir los conceptos y resolver las consultas de tipo jurídico en todas las áreas del derecho que le sean solicitados. 5. Proyectar y revisar las actuaciones administrativas que le sean asignadas. 6. Rendir informes mensuales o cuando el supervisor así lo requiera, sobre las actividades desarrolladas en cumplimiento de la orden de prestación de servicios. </t>
  </si>
  <si>
    <t>OSCAR CASTILLO MOSCARELLA</t>
  </si>
  <si>
    <t>https://community.secop.gov.co/Public/Tendering/OpportunityDetail/Index?noticeUID=CO1.NTC.4269035&amp;isFromPublicArea=True&amp;isModal=true&amp;asPopupView=true</t>
  </si>
  <si>
    <t>OPSP-VAD-0616-2023</t>
  </si>
  <si>
    <t>DINAIRIS PAOLA NORIEGA URIELES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</si>
  <si>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t>
  </si>
  <si>
    <t>https://community.secop.gov.co/Public/Tendering/OpportunityDetail/Index?noticeUID=CO1.NTC.4318956&amp;isFromPublicArea=True&amp;isModal=true&amp;asPopupView=true</t>
  </si>
  <si>
    <t>OPSP-VAD-0617-2023</t>
  </si>
  <si>
    <t>MARIA FERNANDA DORADO FUENTES</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</si>
  <si>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Mantener actualizado el inventario de equipos del LIIC. 9. Apoyar en la atención para el préstamo de equipos e insumos de topografía. </t>
  </si>
  <si>
    <t>https://community.secop.gov.co/Public/Tendering/OpportunityDetail/Index?noticeUID=CO1.NTC.4318872&amp;isFromPublicArea=True&amp;isModal=true&amp;asPopupView=true</t>
  </si>
  <si>
    <t>OPSP-VAD-0618-2023</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</si>
  <si>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</si>
  <si>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 Talento”. 4. Apoyar la realización del programa 'Desde el Campus Al Aire' que se emite de Lunes a Viernes de 7 a 8 de la mañana. 5. Apoyar en las transmisiones en vivo y en directo de los eventos de la Emisora Cultural, a través de las redes sociales y al aire. 6. Apoyar en la producción y edición de los materiales sonoros institucionales que se requieran. 7. Apoyar en la presentación del programa radial del consultorio Jurídico de la Universidad del Magdalena. 8. Apoyar en la redacción de boletines institucionales. 9. Apoyar en la transmisión del programa “La Revista”, que se emite a las 6 de la mañana. 10. Hacer reportería en las dependencias que generen información útil para la Emisora.</t>
  </si>
  <si>
    <t>https://community.secop.gov.co/Public/Tendering/OpportunityDetail/Index?noticeUID=CO1.NTC.4318653&amp;isFromPublicArea=True&amp;isModal=true&amp;asPopupView=true</t>
  </si>
  <si>
    <t>OAG-VAD-0619-2023</t>
  </si>
  <si>
    <t>MOISES DAVID NAVARRO ROMERO</t>
  </si>
  <si>
    <t xml:space="preserve">La presente orden tiene por objeto: 1. Apoyar en la grabación de imágenes para las producciones audiovisuales del CETEP. 2. Apoyar en el registro fotográfico para las producciones multimedia del CETEP. 3. Apoyar en la edición y postproducción de materiales audiovisuales requeridos por el CETEP. 4. Apoyar en el acompañamiento a docente en la realización de objetos virtual de aprendizaje (OVA). 5. Apoyar en la elaboración de motion graphics para contenidos de video elaborados en el CETEP. 6. Apoyar en la posproducción de imágenes y sonido, para videos y podcast. 7. Apoyar en la elaboración de contenidos y procesos de redes de CETEP y Bloque 10. </t>
  </si>
  <si>
    <t>https://community.secop.gov.co/Public/Tendering/OpportunityDetail/Index?noticeUID=CO1.NTC.4318654&amp;isFromPublicArea=True&amp;isModal=true&amp;asPopupView=true</t>
  </si>
  <si>
    <t>OAG-VAD-0620-2023</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</si>
  <si>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Realizar solicitudes y seguimiento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t>
  </si>
  <si>
    <t>https://community.secop.gov.co/Public/Tendering/OpportunityDetail/Index?noticeUID=CO1.NTC.4318661&amp;isFromPublicArea=True&amp;isModal=true&amp;asPopupView=true</t>
  </si>
  <si>
    <t>OPSP-VAD-0621-2023</t>
  </si>
  <si>
    <t>EDITH DEL ROSARIO ROLONG PEREZ</t>
  </si>
  <si>
    <t>https://community.secop.gov.co/Public/Tendering/OpportunityDetail/Index?noticeUID=CO1.NTC.4320423&amp;isFromPublicArea=True&amp;isModal=true&amp;asPopupView=true</t>
  </si>
  <si>
    <t>OPSP-VAD-0626-2023</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</si>
  <si>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</si>
  <si>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t>
  </si>
  <si>
    <t>https://community.secop.gov.co/Public/Tendering/ContractNoticePhases/View?PPI=CO1.PPI.24591269&amp;isFromPublicArea=True&amp;isModal=False</t>
  </si>
  <si>
    <t>OPSP-VAD-0628-2023</t>
  </si>
  <si>
    <t>ANDREA PAOLA HERNANDEZ CORVACHO</t>
  </si>
  <si>
    <t xml:space="preserve">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convenios, procesos de convocatorias, términos de referencia, actos administrativos,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al Grupo Interno de Contratación en la actualización, ajuste y modificación de los procedimientos, guías, instructivos y formatos de la gestión contractual en la plataforma Isolution (COGUI +). 9. Proyectar respuestas a las peticiones que le sean trasladadas, con el fin que las mismas se resuelvan dentro de los plazos y/o términos establecidos en la Ley. 10. Emitir los conceptos jurídicos que le hayan sido trasladados y que tengan relación con el ámbito de competencia del Grupo de Contratación. 11. Apoyar en la revisión de la información contractual cargada en las plataformas del SIA OBSERVA- Auditoria, SIGEP II SECOP I y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t>
  </si>
  <si>
    <t>https://community.secop.gov.co/Public/Tendering/ContractNoticePhases/View?PPI=CO1.PPI.24591704&amp;isFromPublicArea=True&amp;isModal=False</t>
  </si>
  <si>
    <t>OAG-VAD-0631-2023</t>
  </si>
  <si>
    <t>EDUARDO JOSE MARZAN DEL VALLE</t>
  </si>
  <si>
    <t>https://community.secop.gov.co/Public/Tendering/ContractNoticePhases/View?PPI=CO1.PPI.24764380&amp;isFromPublicArea=True&amp;isModal=False</t>
  </si>
  <si>
    <t>OAG-VAD-0632-2023</t>
  </si>
  <si>
    <t>GERARDO ALFREDO CODINA CANTILLO</t>
  </si>
  <si>
    <t xml:space="preserve">La presente orden tiene por objeto: 1. Apoyar al Grupo Interno de Servicios Generales en revisiones de espacios académicos y administrativos para conocer las condiciones y estados de los mismos. 2. Apoyar al Grupo Interno de Servicios Generales en relacionar daños en lámparas, reflectores, y demás sistemas de luces de los espacios académicos y administrativos. 3, Apoyar al GSG en las relaciones de las actividades a realizarse para las mejoras y correcciones de daños en espacios académicos y administrativos. 4. Apoyar al GSG en el control de los registros que genera AMSI (AM) y generar los respectivos informes; tanto de mejoras como en correcciones. 5. Apoyar al GSG con los seguimientos a solicitudes de mantenimientos de las diferentes dependencias de la Universidad. </t>
  </si>
  <si>
    <t>https://community.secop.gov.co/Public/Tendering/ContractNoticePhases/View?PPI=CO1.PPI.24764652&amp;isFromPublicArea=True&amp;isModal=False</t>
  </si>
  <si>
    <t>OAG-VAD-0636-2023</t>
  </si>
  <si>
    <t>DAVID MANUEL LOBELO VALENCIA</t>
  </si>
  <si>
    <t>https://community.secop.gov.co/Public/Tendering/ContractNoticePhases/View?PPI=CO1.PPI.24865035&amp;isFromPublicArea=True&amp;isModal=False</t>
  </si>
  <si>
    <t>OPSP-VAD-0637-2023</t>
  </si>
  <si>
    <t>CRISTINA ISABEL VELASQUEZ ESCOBAR</t>
  </si>
  <si>
    <t xml:space="preserve">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administraitvo y/o el Director Administraitvo en la plataforma del GEDOCO. 8.  Asesorar y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t>
  </si>
  <si>
    <t>JOHANA MILENA HENAO</t>
  </si>
  <si>
    <t>https://community.secop.gov.co/Public/Tendering/ContractNoticePhases/View?PPI=CO1.PPI.24895895&amp;isFromPublicArea=True&amp;isModal=False</t>
  </si>
  <si>
    <t>OPSP-VAD-0639-2023</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</si>
  <si>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</si>
  <si>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en la actualización de la plataforma ISOLUCION.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con el diligenciamiento y cargue de información de la plataforma RENATA. 8. Apoyar en la organización y logística de eventos que se realicen desde la Vicerrectoría Académica. 9. Apoyar con la elaboración de piezas informativas para los eventos y página web de la Vicerrectoría Académica. 10. Apoyar en la actualización de información en la página web y redes sociales de la Vicerrectoría Académica. 11. Apoyar en el proceso de organización de convocatorias, reuniones, trámites de documentación y elaboración de informes que se deriven del Programa de Monitorias Académicas. 12. Apoyar en la atención a los estudiantes monitores que se acercan a la Vicerrectoría Académica para obtener información relacionada con las convocatorias, trámites de documentación del programa de monitorias académicas.</t>
  </si>
  <si>
    <t>https://community.secop.gov.co/Public/Tendering/ContractNoticePhases/View?PPI=CO1.PPI.24896483&amp;isFromPublicArea=True&amp;isModal=False</t>
  </si>
  <si>
    <t>OPSP-VAD-0640-2023</t>
  </si>
  <si>
    <t>JORGE CAMILO ROOS DEL PORTILLO</t>
  </si>
  <si>
    <t xml:space="preserve">La presente orden tiene por objeto: 1. Apoyar en la evaluación del desempeño de los estudiantes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en la ejecución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</si>
  <si>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https://community.secop.gov.co/Public/Tendering/ContractNoticePhases/View?PPI=CO1.PPI.24897127&amp;isFromPublicArea=True&amp;isModal=False</t>
  </si>
  <si>
    <t>OPSP-VAD-0641-2023</t>
  </si>
  <si>
    <t>TATIANA LORENA PARODI MOLINA</t>
  </si>
  <si>
    <t>La presente orden tiene por objeto: 1. Producir de 70 a 80 piezas de videos institucionales representados en el Campus tv, videos solicitados por las dependencias, tanto administrativas como académicas y los boletines audiovisuales (UNIMAGDALENA TODAY). 2. Realizar filmaciones mensuales entre 120 y 140 entrevistas durante los cubrimientos periodísticos.  3. Apoyar mensualmente entre 5 y 15 Streaming en vivo, a través del montaje, ubicación y operación de equipos. 4. Producir audios de alrededor de 130 entrevistas mensuales a los periodistas, para la elaboración de los boletines escritos. 5. Realizar cubrimiento de fuentes académicas en seis facultades, un centro de postgrados y un centro de educación a distancia, recogiendo información que representa a más de 25 mil estudiantes. 6. Realizar locución de un programa de radio institucional 5 veces a la semana, de lunes a viernes de 7:00 a.m. a 8:00 a.m. por la emisora Unimagdalena Radio. 7. Redactar un (1) libreto de radio diario, de lunes a viernes, sobre las novedades, eventos e información de las fuentes asignadas, para la transmisión en la emisora Unimagdalena Radio. 8. Redactar entre 30 y 40 boletines de prensa mensuales sobre las novedades, eventos e información de las fuentes asignadas. 9. Elaborar boletines audiovisuales diarios de lunes a viernes, para un total aproximado de 36 a 40 videos mensuales. 10. Apoyar en la supervisión y coordinación del equipo de redes sociales para postear entre 600 - 800 contenidos mensuales en las principales redes sociales de la Institución. 11. Apoyar en la actualización del portal web institucional, que incluye entre 60 y 70 noticias mensuales; 20 a 30 banners publicitarios; y 5 a 10 resoluciones y circulares al mes. 12. Realizar alrededor de 30 transmisiones mensuales, en las cuales se encuentran enlaces, transmisiones en vivo y pregrabados. En un mes los promedios de áreas solicitantes de acompañamiento son entre 10 a 15 dependencias. 13. Apoyar en la organización entre 40 y 50 eventos institucionales ante solicitud de las dependencias de la Alma Mater, tanto administrativas como académicas. 14. Presentar eventos solicitados por las dependencias, tanto administrativas como académicas de la Alma Mater, que resultan aproximadamente entre 40 y 50 según la duración del mes. 15. Apoyar la dependencia de Desarrollo Estudiantil, donde la población varía de acuerdo a los programas a desarrollarse.</t>
  </si>
  <si>
    <t>https://community.secop.gov.co/Public/Tendering/ContractNoticePhases/View?PPI=CO1.PPI.24896982&amp;isFromPublicArea=True&amp;isModal=False</t>
  </si>
  <si>
    <t>OPSP-VAD-0642-2023</t>
  </si>
  <si>
    <t>ADAN ALFONSO GUERRERO RODRIGUEZ</t>
  </si>
  <si>
    <t xml:space="preserve">La presente orden tiene por objeto: 1. Apoyar a la Oficina de Control Interno en la organización, planeación, ejecución de auditorías contemplados en el PAI en el proceso de Gestión de Contratación en la Vicerrectoria Administrativa, y elaboración del respectivo informe de resultado. 2. Apoyar a la Oficina de Control Interno en el seguimiento al cumplimiento por parte de los delegatorias de ordenación del gasto en la rendición de la gestión contractual en la plataforma SECOP. 3. Apoyar a la Oficina de Control Interno en el seguimiento cuatrimestral a corte de abril 2023 de los avances a mapas de riesgos institucionales y por procesos de gestión y corrupción, y elaborar informe de seguimiento y ejecutivo resultado de la verificación de los avances. 4. Asesorar a la Oficina de Control Interno en la planificación del control interno y en el seguimiento y verificación del sistema de control interno. 5. Asesorar a la Oficina de Control Interno en la identificación de riesgos y de acciones de mejora a los diferentes responsables de procesos en el marco de seguimientos, asesorías y/o acompañamientos realizados. 6. Apoyar a la Oficina de Control Interno en la elaboración y documentación de informes internos. 7. Entregar a la Oficina de Control Interno los productos que se deriven de las actividades realizadas que son integrales del proceso de evaluación independiente y de la oficina contemplados en el PAI. </t>
  </si>
  <si>
    <t>https://community.secop.gov.co/Public/Tendering/ContractNoticePhases/View?PPI=CO1.PPI.24898696&amp;isFromPublicArea=True&amp;isModal=False</t>
  </si>
  <si>
    <t>OPSP-VAD-0643-2023</t>
  </si>
  <si>
    <t>La presente orden tiene por objeto: 1. Apoyar el rediseño de procedimientos académicos y administrativos de la apertura y funcionamiento de programas de posgrados 2. Apoyar en la gestión de los procesos del Centro de Posgrados y Formación Continua. 3. Apoyar en la interlocución con grupos de interés externos e internos, de los procesos administrativos y académicos liderados por el Centro de Posgrados y Formación Continua 4. Brindar asesoría transversal a los procesos de autoevaluación para renovación de registro calificado 5. Apoyar la búsqueda de fuentes de financiación nacional e internacional para los posgrados 6. Apoyar los eventos e iniciativas de mercadeo organizados por el Centro de Posgrados y Formación Continua.</t>
  </si>
  <si>
    <t>MARLA MAESTRE MEYER</t>
  </si>
  <si>
    <t>https://community.secop.gov.co/Public/Tendering/ContractNoticePhases/View?PPI=CO1.PPI.24899720&amp;isFromPublicArea=True&amp;isModal=False</t>
  </si>
  <si>
    <t>OAG-VAD-0644-2023</t>
  </si>
  <si>
    <t>MARIA FAUSTINA GARCIA NIETO</t>
  </si>
  <si>
    <t>La presente orden tiene por objeto: 1. Apoyar en la atención a solicitudes que realicen los docentes a través de los canales de comuciación disponibles para tal fin. 2. Apoyar en la asignación y seguimiento de la utilización de salas de consultas por parte de los docentes 3. Apoyar para el ingreso de docentes a los cubículos asignados 4. Apoyar para la entrega de la sala de audiovisuales, según asignación en el sistema SIARE.</t>
  </si>
  <si>
    <t>https://community.secop.gov.co/Public/Tendering/ContractNoticePhases/View?PPI=CO1.PPI.24899761&amp;isFromPublicArea=True&amp;isModal=False</t>
  </si>
  <si>
    <t>OPSP-VAD-0645-2023</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</si>
  <si>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t>
  </si>
  <si>
    <t>https://community.secop.gov.co/Public/Tendering/ContractNoticePhases/View?PPI=CO1.PPI.24899790&amp;isFromPublicArea=True&amp;isModal=False</t>
  </si>
  <si>
    <t>OPSP-VAD-0646-2023</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</si>
  <si>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aplicativo frontEnd del nuevo servicio de programación y matricula académica. Parágrafo Segundo: El contratista se compromete a entregar un segundo producto con relación al despliegue en ambiente productivo el aplicativo BackEnd del nuevo servicio de programación y matricula académica. </t>
  </si>
  <si>
    <t>https://community.secop.gov.co/Public/Tendering/ContractNoticePhases/View?PPI=CO1.PPI.25073814&amp;isFromPublicArea=True&amp;isModal=False</t>
  </si>
  <si>
    <t>OPSP-VAD-0647-2023</t>
  </si>
  <si>
    <t>CAMILO DAVID TORRES CALLEJA</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</si>
  <si>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aplicattivo frontEnd del nuevo servicio de programación y matricula académica. Parágrafo Segundo: El contratista se compromete a entregar un segundo producto en relación al despliegue en ambiente productivo el aplicattivo BackE. </t>
  </si>
  <si>
    <t>https://community.secop.gov.co/Public/Tendering/ContractNoticePhases/View?PPI=CO1.PPI.25073837&amp;isFromPublicArea=True&amp;isModal=False</t>
  </si>
  <si>
    <t>OPSP-VAD-0648-2023</t>
  </si>
  <si>
    <t>La presente orden tiene por objeto: 1. Apoyar en la validación de datos del sistema de admisiones en ORACLE 2. Realizar la carga masiva de los datos a la base de datos SQL Server del nuevo servicio de programación y matricula académica 3. Realizar las validaciones en términos de integridad de los datos en el nuevo esquema SQL Server Parágrafo Primero: El contratista se compromete a entregar un primer producto; carga completa a nivel de base de datos de programación de docentes, cursos, grupos, estudiantes y cursos autorizados para el proceso de matrícula 2023-II en SQL Server Parágrafo Segundo: El contratista se compromete a entregar un segundo producto; ETL de carga de los datos retornando la información de SQL Server a ORACLE con todo lo relacionado a el proceso académico, Horarios, matriculas, Cursos, Estudiantes, Docentes y Grupos. Parágrafo Tercero: En el caso que El Contratista lo requiera, UNIMAGDALENA podrá facilitarle los equipos y espacio físico necesario dentro del campus para la ejecución del Objeto de la presente Orden. Parágrafo Cuarto: El contratista podrá acordar con el Supervisor de la presente orden cronogramas para el desarrollo de las actividades objeto de la presente Orden, de lo cual deberá dejarse constancia escrita.</t>
  </si>
  <si>
    <t>https://community.secop.gov.co/Public/Tendering/ContractNoticePhases/View?PPI=CO1.PPI.25111080&amp;isFromPublicArea=True&amp;isModal=False</t>
  </si>
  <si>
    <t>OAG-VAD-0650-2023</t>
  </si>
  <si>
    <t>JOSE DE LOS SANTOS ARIZA HERNANDEZ</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</si>
  <si>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</si>
  <si>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https://community.secop.gov.co/Public/Tendering/ContractNoticePhases/View?PPI=CO1.PPI.25341763&amp;isFromPublicArea=True&amp;isModal=False</t>
  </si>
  <si>
    <t>OPSP-VAD-0651-2023</t>
  </si>
  <si>
    <t>La presente orden tiene por objeto: 1. Apoyar el desarrollo de la cartografía temática para el registro y Plan de Manejo Arqueológico. 2. Suministrar los elementos cartografiables para el desarrollo del trabajo de campo durante la fase de Prospección, producción de información cartográfica para PMA.</t>
  </si>
  <si>
    <t>https://community.secop.gov.co/Public/Tendering/ContractNoticePhases/View?PPI=CO1.PPI.25342747&amp;isFromPublicArea=True&amp;isModal=False</t>
  </si>
  <si>
    <t>OPSP-VAD-0652-2023</t>
  </si>
  <si>
    <t>OSWAL JAVIER CANTOR GARZÓN</t>
  </si>
  <si>
    <t>La presente orden tiene por objeto: 1. Apoyar y coordinar el registro del PMA ante el ICANH. 2. Apoyar y coordinar la recolección en campo de la información durante la fase de prospección. 3. Apoyar en la realización de los análisis especializados de laboratorio. 4. Apoyar la coformulación del PMA del programa de arqueología preventiva.</t>
  </si>
  <si>
    <t>https://community.secop.gov.co/Public/Tendering/ContractNoticePhases/View?PPI=CO1.PPI.25343332&amp;isFromPublicArea=True&amp;isModal=False</t>
  </si>
  <si>
    <t>OPSP-VAD-0654-2023</t>
  </si>
  <si>
    <t xml:space="preserve">WENDY MILENA POLO RODRIGUEZ </t>
  </si>
  <si>
    <t xml:space="preserve">La presente orden tiene por objeto: 1. Asistir a la jornada de inducción programada en el marco del concurso de méritos para la vinculación de docentes de planta en la Universidad del Magdalena. 2. Brindar acompañamiento a los aspirantes al concurso de méritos para la vinculación de docentes de planta en la Universidad del Magdalena en la aplicación de la prueba psicométrica. 3. Realizar valoración observacional de la actitud y conducta de los aspirantes asignados a su sala en el proceso de aplicación de la prueba psicométrica.  4. Elaborar informes individuales por aspirante integrando resultados del informe de la prueba aplicada, así como los hallazgos del proceso de observación.  5. Participar en requerimientos a los que haya lugar y que estén relacionados con los informes a realizar. </t>
  </si>
  <si>
    <t>https://community.secop.gov.co/Public/Tendering/ContractNoticePhases/View?PPI=CO1.PPI.25480252&amp;isFromPublicArea=True&amp;isModal=False</t>
  </si>
  <si>
    <t>OPSP-VAD-0655-2023</t>
  </si>
  <si>
    <t>JESUS DAVID GARCIA COGOLLOS</t>
  </si>
  <si>
    <t>https://community.secop.gov.co/Public/Tendering/ContractNoticePhases/View?PPI=CO1.PPI.25480148&amp;isFromPublicArea=True&amp;isModal=False</t>
  </si>
  <si>
    <t>OPSP-VAD-0656-2023</t>
  </si>
  <si>
    <t>https://community.secop.gov.co/Public/Tendering/ContractNoticePhases/View?PPI=CO1.PPI.25480168&amp;isFromPublicArea=True&amp;isModal=False</t>
  </si>
  <si>
    <t>OPSP-VAD-0657-2023</t>
  </si>
  <si>
    <t>ANA MILENA AVENDAÑO MORA</t>
  </si>
  <si>
    <t>https://community.secop.gov.co/Public/Tendering/ContractNoticePhases/View?PPI=CO1.PPI.25480175&amp;isFromPublicArea=True&amp;isModal=False</t>
  </si>
  <si>
    <t>OPSP-VAD-0658-2023</t>
  </si>
  <si>
    <t>ROSA ALEJANDRA FUENTES MARIO</t>
  </si>
  <si>
    <t>https://community.secop.gov.co/Public/Tendering/ContractNoticePhases/View?PPI=CO1.PPI.25480187&amp;isFromPublicArea=True&amp;isModal=False</t>
  </si>
  <si>
    <t>OPSP-VAD-0660-2023</t>
  </si>
  <si>
    <t>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 II de la modalidad pregrado presencial. 5. Apoyar en el proceso de mejora continua, revisión y actualización de los indicadores de calidad del Grupo de admisiones.</t>
  </si>
  <si>
    <t>https://community.secop.gov.co/Public/Tendering/ContractNoticePhases/View?PPI=CO1.PPI.25615737&amp;isFromPublicArea=True&amp;isModal=False</t>
  </si>
  <si>
    <t>OPSP-VAD-0661-2023</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</si>
  <si>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 II de la modalidad pregrado presencial. 5. Apoyar en el proceso de mejora continua, revisión y actualización de los indicadores de calidad del Grupo de admisiones. </t>
  </si>
  <si>
    <t>https://community.secop.gov.co/Public/Tendering/ContractNoticePhases/View?PPI=CO1.PPI.25615828&amp;isFromPublicArea=True&amp;isModal=False</t>
  </si>
  <si>
    <t>OPSP-VAD-0662-2023</t>
  </si>
  <si>
    <t>RICHAR STEVEN RAMOS DURÁN</t>
  </si>
  <si>
    <t>https://community.secop.gov.co/Public/Tendering/ContractNoticePhases/View?PPI=CO1.PPI.25616120&amp;isFromPublicArea=True&amp;isModal=False</t>
  </si>
  <si>
    <t>OAG-VAD-0663-2023</t>
  </si>
  <si>
    <t xml:space="preserve">La presente orden tiene por objeto: 1. Apoyar en la atención a los usuarios a través de las redes sociales y WhatsApp del Grupo de Admisiones. 2. Brindar acompañamiento a los interesados en la oferta académica de la Universidad del Magdalena. 3. Apoyar en el seguimiento de deudas relacionadas con matrícula financiera de los estudiantes de pregrado presencial. 4. Apoyar en la recepción de la documentación requerida a los nuevos estudiantes de las diferentes modalidades de la Universidad del Magdalena. 5. Apoyar en la actualización de datos personales de estudiantes en el sistema de información de admisiones. 6. Apoyar la planificación, implantación, y ejecución del sistema de gestión de calidad. 7. Realizar apoyo documental en el mantenimiento del sistema de gestión de calidad. 8. Apoyar en el diseño de planes de calidad para los procesos que maneja el grupo de Admisiones de la Universidad del Magdalena. 9. Apoyar en las auditorias de gestión de calidad liderando acciones correctivas y preventivas para la prestación de servicio de la entidad. </t>
  </si>
  <si>
    <t>https://community.secop.gov.co/Public/Tendering/ContractNoticePhases/View?PPI=CO1.PPI.25615837&amp;isFromPublicArea=True&amp;isModal=False</t>
  </si>
  <si>
    <t>OPSP-VAD-0664-2023</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</si>
  <si>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t>
  </si>
  <si>
    <t>https://community.secop.gov.co/Public/Tendering/ContractNoticePhases/View?PPI=CO1.PPI.25637709&amp;isFromPublicArea=True&amp;isModal=False</t>
  </si>
  <si>
    <t>OAG-VAD-0665-2023</t>
  </si>
  <si>
    <t>DIDIER TRUJILLO HOYOS</t>
  </si>
  <si>
    <t>La presente orden tiene por objeto: 1. Apoyar en el desarrollo de aplicaciones web de la Dirección Curricular y de Docencia (Análisis de requisitos, Diseño de la arquitectura web, Desarrollo de prototipos, Desarrollo front-end y back-end, Pruebas, Documentación). 2. Apoyar en el desarrollo de las actividades y eventos relacionadas con la Gestión Académica de la Dirección Curricular y de Docencia en el periodo académico. 3. Apoyar con la Revisión y validación de documentos precontractuales de los docentes catedráticos en el Sistema SIGEP. 4. Apoyar el seguimiento al proceso de la vinculación de profesores hora cátedra (estado de docentes en sistema GEDOCO, llamadas a unidades académicas, verificación de actas de vinculación cargadas y firmadas). 5. Apoyar la actualización y generación de informes de docentes tomado diversas fuentes de datos.</t>
  </si>
  <si>
    <t>https://community.secop.gov.co/Public/Tendering/ContractNoticePhases/View?PPI=CO1.PPI.25686658&amp;isFromPublicArea=True&amp;isModal=False</t>
  </si>
  <si>
    <t>OPSP-VAD-0667-2023</t>
  </si>
  <si>
    <t>La presente orden tiene por objeto: 1. Apoyar en el desarrollo de componentes software en tecnologías NetCore, Javascript, Angular, haciendo uso de patrones de diseño. 2. Apoyar en la revisión de pull request generados por el equipo de desarrollo de proyectos software 3. Apoyar en la implementación de principios SOLID en los sistemas de información</t>
  </si>
  <si>
    <t>https://community.secop.gov.co/Public/Tendering/ContractNoticePhases/View?PPI=CO1.PPI.25830642&amp;isFromPublicArea=True&amp;isModal=False</t>
  </si>
  <si>
    <t>OPSP-VAD-0668-2023</t>
  </si>
  <si>
    <t>IVAN DARIO TAMARIS TURIZO</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</si>
  <si>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al Director Financiero en la respuesta de los PQR con respecto a solicitudes de información financiera por entes externos. 5. Apoyar en la solicitud de información financiera de los distintos programas académicos en pro de los procesos de evaluación. 6. Realizar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Realizar seguimiento al cronograma de informes a presentar por la Dirección Financiera. 10. Apoyar en la elaboración de los informes mensuales de seguimiento de ingresos, gastos, requeridos por el CSU.</t>
  </si>
  <si>
    <t>https://community.secop.gov.co/Public/Tendering/ContractNoticePhases/View?PPI=CO1.PPI.25831014&amp;isFromPublicArea=True&amp;isModal=False</t>
  </si>
  <si>
    <t>OPSP-VAD-0669-2023</t>
  </si>
  <si>
    <t xml:space="preserve">JUAN CARLOS VARGAS RUIZ </t>
  </si>
  <si>
    <t xml:space="preserve">La presente orden tiene por objeto: 1. Planificar y dirigir las actividades de prospección arqueológica. 2. Dirigir la elaboración del diagnóstico arqueológico para el Programa de Arqueología Preventiva del campus. 3. Revisar informes de actividades de prospección. 4. Dirigir la elaboración de planes de manejo arqueológico PMA para los polígonos específicos del campus Unimagdalena. 5. Radicar los documentos asociados al Programa de Arqueología Preventiva del campus ante el ICANH. 6. Apoyar las reuniones de seguimiento ante el ICANH en el marco del PAP del campus. 7. Diseñar las metodologías de intervención arqueológica y definir el marco teórico para la construcción de documentos técnicos en el marco del PAP del campus. 8. Apoyar la Supervisión y dirección de las actividades del personal arqueológico que participe en la elaboración del PAP del campus UNIMAGDALENA. </t>
  </si>
  <si>
    <t>https://community.secop.gov.co/Public/Tendering/ContractNoticePhases/View?PPI=CO1.PPI.25831028&amp;isFromPublicArea=True&amp;isModal=False</t>
  </si>
  <si>
    <t>OPSP-VAD-0670-2023</t>
  </si>
  <si>
    <t>JESUS MANUEL BORJA DE LEON</t>
  </si>
  <si>
    <t>La presente orden tiene por objeto: 1. Cumplir con el curso y/o actividades asignadas dentro del plazo estipulado. 2. Desarrollar de manera continua y permanente sus actividades según lo establecido por LA UNIVERSIDAD. 3. Crear y compartir recursos digitales para el aprendizaje a través de las plataformas virtuales ofrecidas por la Institución. 4. Desarrollar los encuentros virtuales que sean necesarios para los procesos de enseñanza y aprendizaje a través de las herramientas digitales puestas a disposición por la Institución. 5. Respetar los derechos de propiedad intelectual de la Universidad del Magdalena y conocer y cumplir el reglamento de Propiedad Intelectual aprobado por el Acuerdo Superior Nº 03 de 2021. 6. Abstenerse de realizar actos o conducta que impliquen violencia basada en el género, violencia sexual y/o discriminación por razones de género, sexo, orientación sexual, edad, color, altura, capacidades físicas mentales, etnia, familia, características genéticas, estado marital, nacionalidad, raza o religión. 7. Conocer y respetar el Protocolo Institucional para Prevención y Atención de la Violencia basada en el género y Violencia Sexual de la Universidad del Magdalena. 8. Realizar las actividades evaluativas del aprendizaje necesarias. 9. Realizar las actividades que contribuyan al desarrollo de habilidades y destrezas del pensamiento y al fortalecimiento de las competencias genéricas y específicas establecidas en el Manual de Funciones de la Universidad. 10. Presentar al Supervisor informes con sus respectivos soportes y en las fechas establecidas por la Institución.</t>
  </si>
  <si>
    <t>https://community.secop.gov.co/Public/Tendering/ContractNoticePhases/View?PPI=CO1.PPI.25957316&amp;isFromPublicArea=True&amp;isModal=False</t>
  </si>
  <si>
    <t>OPSP-VAD-0673-2023</t>
  </si>
  <si>
    <t>ANA CAROLINA RAMOS BOTTO </t>
  </si>
  <si>
    <t>La presente orden tiene por objeto: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refernte a  reuniones estratégicas y de gestión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</si>
  <si>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https://community.secop.gov.co/Public/Tendering/OpportunityDetail/Index?noticeUID=CO1.NTC.4711323&amp;isFromPublicArea=True&amp;isModal=true&amp;asPopupView=true</t>
  </si>
  <si>
    <t>OPSP-VAD-0674-2023</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</si>
  <si>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</si>
  <si>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https://community.secop.gov.co/Public/Tendering/OpportunityDetail/Index?noticeUID=CO1.NTC.4711191&amp;isFromPublicArea=True&amp;isModal=true&amp;asPopupView=true</t>
  </si>
  <si>
    <t>OPSP-VAD-0675-2023</t>
  </si>
  <si>
    <t>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Apoyar en la activación de pagos en la plataforma GEDOCO de los contratistas por prestación de servicios profesionales y de apoyo a la gestión de la vicerrectoría y/o dirección administrativa. 4. Revisar los formatos de recibido satisfacción para tramites de pago de honorarios de los contratistas por prestación de servicios profesionales y de apoyo a la gestión de la vicerrectoría y/o dirección administrativa. 5. Apoyar en el recibo de las novedades de cartera para la aplicación de los descuentos a que haya lugar. 6.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la elaboración de planillas para el proceso de liquidación de honorarios de los contratistas por prestación de servicios profesionales y de apoyo a la gestión de la vicerrectoría y/o dirección administrativa por medio del sinapv6. 10. Revisar las diferentes liquidaciones de honorarios presentadas por los contratistas de los diferentes ordenadores del gasto de UNIMAGDALENA con el fin de verificar la aplicación de la retención en la fuente. 11.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12. Apoyar con la revisión en la plataforma del GEDOCO y SIGEP II de los documentos precontractuales necesarios para la elaboración de órdenes de servicios profesionales y de apoyo a la gestión de la vicerrectoría y/o dirección administrativa. 13. Apoyar al Grupo Interno de Contratación en la revisión y verificación de novedades, modificaciones y liquidaciones de las Ordenes de Prestación de Servicios Profesionales y de Apoyo en la Gestión.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</si>
  <si>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https://community.secop.gov.co/Public/Tendering/OpportunityDetail/Index?noticeUID=CO1.NTC.4711410&amp;isFromPublicArea=True&amp;isModal=true&amp;asPopupView=true</t>
  </si>
  <si>
    <t>OPSP-VAD-0676-2023</t>
  </si>
  <si>
    <t>La presente orden tiene por objeto: 1. Apoyar a la dirección del Departamento de Estudios Generales en la logística de la Programación académica 2023-2. 2. Apoyar en la asignación docente. 3. Apoyar a la coordinación en la realización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6. Apoyar el recibo y seguimiento a la correspondencia interna y externa recibida y enviada física y digitalmente. 7. Apoyar en la respuesta oportuna a solicitudes presentadas a la dependencia. 8. Apoyar en la actualización de la base de datos de correspondencia tramitada. 9.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Administrar las redes sociales del Departamento de Estudios Generales. 14. Elaborar y remitir informes de evaluación y seguimiento de ayudantes académicos y administrativos. 15. Controlar y hacer seguimiento de la entrega de reportes de asistencias a los docentes de formación general e integral. 16. Crear procedimiento para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</si>
  <si>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https://community.secop.gov.co/Public/Tendering/OpportunityDetail/Index?noticeUID=CO1.NTC.4711414&amp;isFromPublicArea=True&amp;isModal=true&amp;asPopupView=true</t>
  </si>
  <si>
    <t>OPSP-VAD-0677-2023</t>
  </si>
  <si>
    <t>La presente orden tiene por objeto: 1. Asesorar y apoyar la coordinación y ejecución de planes y proyectos relacionados con la gestión ambiental y sanitaria. 2. Asesorar y apoyar en la construcción de procesos, procedimientos y actividades relacionadas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</si>
  <si>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https://community.secop.gov.co/Public/Tendering/OpportunityDetail/Index?noticeUID=CO1.NTC.4711415&amp;isFromPublicArea=True&amp;isModal=true&amp;asPopupView=true</t>
  </si>
  <si>
    <t>OAG-VAD-0678-2023</t>
  </si>
  <si>
    <t>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plataforma del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</si>
  <si>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https://community.secop.gov.co/Public/Tendering/OpportunityDetail/Index?noticeUID=CO1.NTC.4711198&amp;isFromPublicArea=True&amp;isModal=true&amp;asPopupView=true</t>
  </si>
  <si>
    <t>OAG-VAD-0679-2023</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</si>
  <si>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las solicitudes a la empresa en cuanto a las necesidades (herramientas, equipos, EPP/ bioseguridad) que se requieran para la prestación del servicio integral de aseo, cafetería y servicios generales. 8. Apoyar con la entrega de formatos de control de actividades semanal.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</si>
  <si>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https://community.secop.gov.co/Public/Tendering/OpportunityDetail/Index?noticeUID=CO1.NTC.4711420&amp;isFromPublicArea=True&amp;isModal=true&amp;asPopupView=true</t>
  </si>
  <si>
    <t>OPSP-VAD-0680-2023</t>
  </si>
  <si>
    <t>La presente orden tiene por objeto: 1. Apoyar en la Organización y seguimiento presupuestal del Centro de Posgrados y todos los programas de Posgrados de la Universidad Del Magdalena. 2. Apoyar el Área Financiera del Centro de Posgrados y Formación Continua de la Universidad del Magdalena. 3. Apoyar los procesos de contratación del Centro de Posgrados. 4. Apoyar en la elaboración y rendición de informes Presupuestales. 5. Apoyar en la validación y elaboración de presupuestos. 6. Apoyar en la generación y presentación de informes de contratación. 7. Apoyar en los proyectos y convenios interinstitucionales para venta de servicio.  8. Apoyar en el cargue de la información del Plan de acción del Centro de Posgrados en la plataforma SISPLAN. 9.  Apoyar en la elaboración y rendición de informes relacionados con la Información cargada en SISPLAN del Plan de acción del Centro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</si>
  <si>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https://community.secop.gov.co/Public/Tendering/OpportunityDetail/Index?noticeUID=CO1.NTC.4711422&amp;isFromPublicArea=True&amp;isModal=true&amp;asPopupView=true</t>
  </si>
  <si>
    <t>OPSP-VAD-0681-2023</t>
  </si>
  <si>
    <t>La presente orden tiene por objeto: 1. Apoyar el rediseño de procedimientos académicos y administrativos de la apertura y funcionamiento de programas de posgrados. 2. Apoyar en la gestión de los procesos del Centro de Posgrados y Formación Continua. 3. Apoyar en la interlocución con grupos de interés externos e internos, de los procesos administrativos y académicos liderados por el Centro de Posgrados y Formación Continua. 4. Brindar asesoría transversal a los procesos de autoevaluación para renovación de registro calificado. 5. Apoyar la búsqueda de fuentes de financiación nacional e internacional para los posgrados. 6. Apoyar los eventos e iniciativas de mercadeo organizados por el Centro de Posgrados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</si>
  <si>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https://community.secop.gov.co/Public/Tendering/OpportunityDetail/Index?noticeUID=CO1.NTC.4711423&amp;isFromPublicArea=True&amp;isModal=true&amp;asPopupView=true</t>
  </si>
  <si>
    <t>OAG-VAD-0682-2023</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</si>
  <si>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</si>
  <si>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LINA MARCELA CUAO GARCÍA</t>
  </si>
  <si>
    <t>https://community.secop.gov.co/Public/Tendering/OpportunityDetail/Index?noticeUID=CO1.NTC.4711426&amp;isFromPublicArea=True&amp;isModal=true&amp;asPopupView=true</t>
  </si>
  <si>
    <t>OAG-VAD-0683-2023</t>
  </si>
  <si>
    <t>La presente orden tiene por objeto: 1. Apoyar el diseño de un módulo en el sistema de información de recursos educativos (REDAL) que apoye soporte técnico en los espacios académicos: registro de solicitudes de soporte audiovisual, atención y evaluación. 2. Apoyar la evaluación y propuesta de mejoras del módulo de reserva y préstamo de equipos audiovisuales. 3. Apoyar en la coordinación de las actividades asociadas a la transmisión de eventos dentro de los auditorios del edificio Mar Caribe y las Salas Especializadas. 4. Apoyar el mantenimiento del estado funcional de las herramientas multimediales que dan soporte a las transmisiones de eventos durante el uso de los auditorios. 5. Apoyar en el soporte y la configuración de los equipos multimediales (Atril PILOT y sistema de automatización) con que cuentan Auditorios. 6. Apoyar en la verificación periódicamente del Estado de los Equipos Audiovisuales, sus horas actuales y acumuladas de uso y los accesorios dispuestos en cada espacio académico. 7. Apoyar en el cumplimiento a cabalidad con los procedimientos establecidos para la prestación de los servicios. 8. Apoyar en la generación de reportes de cualquier novedad que se presente cuando se presten los servicios. 9. Apoyar en las actividades que se programen para garantizar la eficiencia en la prestación de los servicios tales como capacitaciones a los usuarios en el manejo de las ayudas multimediales del Auditorio o video beams interactivos.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</si>
  <si>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https://community.secop.gov.co/Public/Tendering/OpportunityDetail/Index?noticeUID=CO1.NTC.4713102&amp;isFromPublicArea=True&amp;isModal=true&amp;asPopupView=true</t>
  </si>
  <si>
    <t>OPSP-VAD-0684-2023</t>
  </si>
  <si>
    <t>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con la revisión en la plataforma del GEDOCO de los documentos precontractuales necesarios para la elaboración de órdenes de servicios profesionales y de apoyo a la gestión de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Asesorar y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al Grupo Interno de Contratación en el cargue de los contratos, modificaciones, y liquidaciones de las Ordenes de Prestación de Servicios Profesionales y de Apoyo en la Gestión en la plata forma SIGEP II. 11. Apoyar en la revisión de la información contractual cargada en las plataformas del SIA OBSERVA- Auditoria, SIGEP II SECOP I y 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</si>
  <si>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https://community.secop.gov.co/Public/Tendering/OpportunityDetail/Index?noticeUID=CO1.NTC.4712812&amp;isFromPublicArea=True&amp;isModal=true&amp;asPopupView=true</t>
  </si>
  <si>
    <t>OPSP-VAD-0685-2023</t>
  </si>
  <si>
    <t>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el desarrollo de funcionales que permitan la interacción del sistema de información de Recursos Educativos con otros sistemas de información institucionales 6.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</si>
  <si>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https://community.secop.gov.co/Public/Tendering/OpportunityDetail/Index?noticeUID=CO1.NTC.4713104&amp;isFromPublicArea=True&amp;isModal=true&amp;asPopupView=true</t>
  </si>
  <si>
    <t>OPSP-VAD-0686-2023</t>
  </si>
  <si>
    <t>La presente orden tiene por objeto: 1. Asistir a la jornada de inducción al equipo de psicólogos entrevistadores. 2. Realizar entrevista en la fase 1 y 2, a los aspirantes para el ingreso a la Universidad del Magdalena para el periodo académico 2023-II,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2023-II.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</si>
  <si>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https://community.secop.gov.co/Public/Tendering/OpportunityDetail/Index?noticeUID=CO1.NTC.4712916&amp;isFromPublicArea=True&amp;isModal=true&amp;asPopupView=true</t>
  </si>
  <si>
    <t>OPSP-VAD-0687-2023</t>
  </si>
  <si>
    <t>La presente orden tiene por objeto: 1. Coordinar el proceso de entrevistas de los aspirantes para el ingreso a los distintos programas académicos 2023 -II en la fase I y en la Fase II. 2. Realizar la construcción de cuestionarios y selección de variables para aplicar en las entrevistas de los aspirantes a ingresar a los distintos programas académicos 2023 - II en la fase I y en la Fase II. 3. Apoyar las actividades logísticas, administrativas y financieras del proceso de entrevista en la fase I y en la fase II. 3. Revisar informes finales de los psicólogos entrevistadores de la fase I y en la fase II. 4. Realizar la socialización del proceso de entrevistas a los psicólogos que las desarrollarán. 5. Presentar informe general de las entrevistas a los aspirantes admitidos en el periodo 2023-II a las Direcciones de Programas. 5. Apoyar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</si>
  <si>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https://community.secop.gov.co/Public/Tendering/OpportunityDetail/Index?noticeUID=CO1.NTC.4712915&amp;isFromPublicArea=True&amp;isModal=true&amp;asPopupView=true</t>
  </si>
  <si>
    <t>OPSP-VAD-0688-2023</t>
  </si>
  <si>
    <t>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</si>
  <si>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https://community.secop.gov.co/Public/Tendering/OpportunityDetail/Index?noticeUID=CO1.NTC.4718063&amp;isFromPublicArea=True&amp;isModal=true&amp;asPopupView=true</t>
  </si>
  <si>
    <t>OPSP-VAD-0689-2023</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</si>
  <si>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5.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6. Apoyar con la revisión en la plataforma del GEDOCO y SIGEP II de los documentos precontractuales necesarios para la elaboración de órdenes de servicios profesionales y de apoyo a la gestión de la Vicerrectoría y/o Dirección Administrativa. 7. Apoyar en la revisión de los formatos de recibido a satisfacción para tramites de pago de honorarios de los contratistas por prestación de servicios profesionales y de apoyo a la gestión de la vicerrectoría y/o dirección administrativa. 8. Apoyar en la verificación que el pago que realicen los contratistas al sistema de seguridad social en ejecución de las órdenes de prestación de servicios profesionales y de apoyo a la gestión corresponda a lo establecido en la Ley. 9. Apoyar el cargue de información precontractual, contractual y postcontractual a la plataforma del SECOP II de todos los procesos de contratación que adelante la Universidad a través de la Vicerrectoría Administrativa y la Dirección Administrativa. 10. Apoyar en la revisión de la información contractual cargada en las plataformas del SIA OBSERVA-Auditoria, SIGEP II, SECOP I y II. 11.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</si>
  <si>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https://community.secop.gov.co/Public/Tendering/OpportunityDetail/Index?noticeUID=CO1.NTC.4712918&amp;isFromPublicArea=True&amp;isModal=true&amp;asPopupView=true</t>
  </si>
  <si>
    <t>OPSP-VAD-0690-2023</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</si>
  <si>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</si>
  <si>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https://community.secop.gov.co/Public/Tendering/OpportunityDetail/Index?noticeUID=CO1.NTC.4712919&amp;isFromPublicArea=True&amp;isModal=true&amp;asPopupView=true</t>
  </si>
  <si>
    <t>OAG-VAD-0691-2023</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</si>
  <si>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</si>
  <si>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https://community.secop.gov.co/Public/Tendering/OpportunityDetail/Index?noticeUID=CO1.NTC.4712920&amp;isFromPublicArea=True&amp;isModal=true&amp;asPopupView=true</t>
  </si>
  <si>
    <t>OAG-VAD-0692-2023</t>
  </si>
  <si>
    <t>La presente orden tiene por objeto: 1. Apoyar al Grupo Interno de Contratación en la elaboración de los informes periódicos que se requieran para publicación en la Página Web institucional en el micrositio de “Transparencia y Acceso a la Información Pública”, así como los que requiera la Contraloría General de la República y del Magdalena con respecto a las ordenes y/o contratos que suscriba el Vicerrector Administrativo y el Director Administrativo. 2. Apoyar al Grupo Interno de Contratación en el cargue de información a la plataforma del SECOP I y II de todos los procesos de contratación que adelante la Universidad a través de la Vicerrectoría Administrativa y/o Dirección Administrativa. 3. Apoyar al Grupo Interno de Contratación en la actualización, ajuste y modificación de los procedimientos, guías, instructivos y formatos de la gestión contractual en la plataforma Isolution (COGUI +). 4. Apoyar al Grupo Interno de Contratación en la recolección de la información para la presentación de informes de los indicadores de gestión, Plan Anticorrupción, Plan de Riesgos de Corrupción, Plan de Riesgos de Gestión, Planes de Mejora, Encuesta de satisfacción, evaluación a proveedores y a supervisores. 5. Apoyar al Grupo Interno de Contratación en la elaboración de información audiovisual informativa y/o didáctica e infografías de los diferentes procedimientos contractuales que se deben cargar en las distintas plataformas del estado como el SIA Observa y el SECOP I y II. 6. Apoyar al Grupo Interno de Contratación en el cargue y actualización de la información de las órdenes de servicios profesionales y de apoyo a la gestión que suscriban el Vicerrector Administrativo o el Director Administrativo, en la plataforma SIA OBSERVA de la Auditoría General de la República. 7. Apoyar en la revisión de la información contractual cargada en las plataformas del SIA OBSERVA Auditoria, SIGEP II, SECOP I y II. 8. Apoyar el seguimiento a los planes de mejoramiento de auditorías internas y externas. Así como el plan de integridad y buen gobierno. 9. Apoyar la generación de informes del estado de cargue de documentos en las plataformas: SIA OBSERVA AUDITORIA, SECOP I y II, por parte de cada uno de los ordenadores del gasto delegados. 10. Apoyar en la capacitación y mesas de trabajo con los distintos equipos y Ordenadores del Gasto delegados respecto de la gestión y cargue de información en las plataformas: SIA OBSERVA AUDITORIA, SIGEP I y II, SECOP I y II. 11. Rendir informes mensuales o cuando el supervisor así lo requiera, sobre las actividades desarrolladas en cumplimiento de la orden de prestación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</si>
  <si>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https://community.secop.gov.co/Public/Tendering/OpportunityDetail/Index?noticeUID=CO1.NTC.4712922&amp;isFromPublicArea=True&amp;isModal=true&amp;asPopupView=true</t>
  </si>
  <si>
    <t>OPSP-VAD-0693-2023</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</si>
  <si>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</si>
  <si>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https://community.secop.gov.co/Public/Tendering/OpportunityDetail/Index?noticeUID=CO1.NTC.4712923&amp;isFromPublicArea=True&amp;isModal=true&amp;asPopupView=true</t>
  </si>
  <si>
    <t>OPSP-VAD-0694-2023</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</si>
  <si>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</si>
  <si>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https://community.secop.gov.co/Public/Tendering/OpportunityDetail/Index?noticeUID=CO1.NTC.4712924&amp;isFromPublicArea=True&amp;isModal=true&amp;asPopupView=true</t>
  </si>
  <si>
    <t>OPSP-VAD-0695-2023</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</si>
  <si>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en la identificación de riesgos y de acciones de mejora a los diferentes responsables de procesos en el marco de las actividades desarrolladas.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</si>
  <si>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https://community.secop.gov.co/Public/Tendering/OpportunityDetail/Index?noticeUID=CO1.NTC.4712925&amp;isFromPublicArea=True&amp;isModal=true&amp;asPopupView=true</t>
  </si>
  <si>
    <t>OPSP-VAD-0697-2023</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</si>
  <si>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Revisión de actas de vinculación, adición, disminución y/o modificatorios de cátedra del periodo académico. 11. Apoyar en la consolidación, gestión de reservas de tiquetes solicitadas por los diferentes programas de pregrado en el período académico 2023-II.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</si>
  <si>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OPSP-VAD-0698-2023</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</si>
  <si>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delegatorios de ordenación del gasto en la rendición de la gestión contractual en las plataformas SECOP, SIGEP, SIA CONTRALORIAS, SIA OBSERVA, así como en la publicación en PAGINA INSTITUCIONAL. 4. Apoyar a la Oficina de Control Interno en el estudio, evaluación y emisión de conceptos jurídicos que le sean requeridos y en el seguimiento al cumplimiento de los requerimientos. 5. Apoyar a la Oficina de Control Interno en el seguimiento al cumplimiento de obligaciones por parte de las dependencias responsables en el marco del Parágrafo del Art. 125 de la acción de repetición de la Ley 2220 de 2022. 6. Apoyar a la Oficina de Control Interno en el seguimiento al faltante, daño y/o deterioro de bienes en el marco del Cap. III ResRec 624 de 2018. 7. Asesorar a la Oficina de Control Interno en la planificación del control interno y en el seguimiento y verificación del sistema de control interno, en la identificación de riesgos y de acciones de mejora a los diferentes responsables de procesos en el marco de las actividades desarrolladas.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</si>
  <si>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OPSP-VAD-0699-2023</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</si>
  <si>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</si>
  <si>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OPSP-VAD-0700-2023</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</si>
  <si>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al Centro en el uso de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</si>
  <si>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OPSP-VAD-0701-2023</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</si>
  <si>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</si>
  <si>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OPSP-VAD-0702-2023</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</si>
  <si>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</si>
  <si>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OPSP-VAD-0703-2023</t>
  </si>
  <si>
    <t>La presente orden tiene por objeto: 1. Coordinar el proceso de entrevistas de los aspirantes para el ingreso a los distintos programas académicos 2023 -II en la fase I y en la Fase II. 2. Realizar la construcción de cuestionarios y selección de variables para aplicar en las entrevistas de los aspirantes a ingresar a los distintos programas académicos 2023 - II en la fase I y en la Fase II. 3. Apoyar la logística, administrativa y financiera del proceso de entrevistas en la fase I y en la fase II. 3. Revisar informes finales de los psicólogos entrevistadores de la fase I y en la fase II. 4. Realizar la socialización del proceso de entrevistas a los psicólogos que las desarrollarán. 5. Presentar informe general de las entrevistas a los aspirantes admitidos en el periodo 2023-II a las Direcciones de Programas. 6. Apoyar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</si>
  <si>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OPSP-VAD-0704-2023</t>
  </si>
  <si>
    <t>La presente orden tiene por objeto: 1. Asistir a la jornada de inducción al equipo de psicólogos entrevistadores. 2. Realizar entrevista en la fase 1 y 2, a los aspirantes para el ingreso a la Universidad del Magdalena para el periodo académico 2023-II,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2023-II.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</si>
  <si>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OPSP-VAD-0705-2023</t>
  </si>
  <si>
    <t>La presente orden tiene por objeto: 1. Asistir a la jornada de inducción al equipo de psicólogos entrevistadores. 2. Realizar entrevista en la fase 1, a los aspirantes para el ingreso a la Universidad del Magdalena para el periodo académico 2023-II,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2023-II.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</si>
  <si>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OAG-VAD-0706-2023</t>
  </si>
  <si>
    <t>La presente orden tiene por objeto: 1. Apoyar en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y suministrar la información que permita la correcta y oportuna gestión de su mantenimiento.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entre otros.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</si>
  <si>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OPSP-VAD-0707-2023</t>
  </si>
  <si>
    <t>La presente orden tiene por objeto: 1. Coordinar el proceso de entrevistas de los aspirantes para el ingreso a los distintos programas académicos 2023 -II en la fase I y en la Fase II. 2. Realizar la construcción de cuestionarios y selección de variables para aplicar en las entrevistas de los aspirantes a ingresar a los distintos programas académicos 2023 - II en la fase I y en la Fase II. 3. Apoyar la logística, administrativa y financiera del proceso de entrevista en la fase I y en la fase II. 3. Revisar informes finales de los psicólogos entrevistadores de la fase I y en la fase II. 4. Realizar la socialización del proceso de entrevistas a los psicólogos que las desarrollarán. 5. Presentar informe general de las entrevistas a los aspirantes admitidos en el periodo 2023-II a las Direcciones de Programas. 5. Apoyar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</si>
  <si>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OPSP-VAD-0708-2023</t>
  </si>
  <si>
    <t>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</si>
  <si>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OPSP-VAD-0709-2023</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</si>
  <si>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</si>
  <si>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OAG-VAD-0710-2023</t>
  </si>
  <si>
    <t xml:space="preserve">YADIRA MARIA CABAS AGUILAR </t>
  </si>
  <si>
    <t>La presente orden tiene por objeto: 1. Apoyar en la organización de los espacios físicos de los diplomados, especializaciones y maestrías y doctorados del Centro de Posgrados y Formación Continua. 2. Apoyar la atención de los usuarios del Centro de Posgrados y Formación Continua. 3. Apoyar en la realización de llamadas para las personas de las bases de datos de Posgrados. 4. Apoyar en la logística de los eventos y sesiones educativas realizados por el Centro de Posgrados y Formación Continua. 5. Apoyar con información y motivación a los estudiantes en los últimos semestres de las universidades de la región. 6. Apoyar en la organización de los Procesos de Mercadeo y Marketing.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</si>
  <si>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OPSP-VAD-0711-2023</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</si>
  <si>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</si>
  <si>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 y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</si>
  <si>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OPSP-VAD-0712-2023</t>
  </si>
  <si>
    <t>OAG-VAD-0713-2023</t>
  </si>
  <si>
    <t>JOSE DANIEL EGEA PACHECO</t>
  </si>
  <si>
    <t>La presente orden tiene por objeto: Apoyar a la dirección de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</si>
  <si>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OPSP-VAD-0714-2023</t>
  </si>
  <si>
    <t>La presente orden tiene por objeto: 1. Asistir a la jornada de inducción al equipo de psicólogos entrevistadores. 2. Realizar entrevista en la fase 1 y 2, a los aspirantes para el ingreso a la Universidad del Magdalena para el periodo academico 2023-II,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2023-II.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</si>
  <si>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OPSP-VAD-0715-2023</t>
  </si>
  <si>
    <t>La presente orden tiene por objeto: 1. Apoyar a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las decisiones que deben adoptarse con relación al saneamiento pensional.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</si>
  <si>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OAG-VAD-0716-2023</t>
  </si>
  <si>
    <t>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de la Secretaría General. 5. Apoyar en las actividades de las ceremonias de graduación colectivas y especiales. 6. Apoyar en las actividades de autenticación de documentos.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</si>
  <si>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OPSP-VAD-0717-2023</t>
  </si>
  <si>
    <t>La presente orden tiene por objeto: 1. Apoyar en la atención de usuarios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</si>
  <si>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OAG-VAD-0718-2023</t>
  </si>
  <si>
    <t>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</si>
  <si>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OAG-VAD-0719-2023</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</si>
  <si>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</si>
  <si>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OAG-VAD-0720-2023</t>
  </si>
  <si>
    <t>OAG-VAD-0721-2023</t>
  </si>
  <si>
    <t>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</si>
  <si>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OAG-VAD-0722-2023</t>
  </si>
  <si>
    <t>La presente orden tiene por objeto: 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</si>
  <si>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OPSP-VAD-0723-2023</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</si>
  <si>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5. Apoyar el proceso de selección de los bachilleres aspirantes a los cupos artistas ofrecidos por la institución. 6. Diligenciar oportunamente de todos los formatos establecidos por Bienestar Universitario en el Sistema de Gestión de la Calidad. 7. Entregar oportunamente informes estadísticos de las actividades realizadas, así como las participaciones de los estamentos universitarios en las mismas, para que sean sometidas a verificación y evaluación del cumplimiento de las metas propuestas en su plan de trabajo.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</si>
  <si>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JESÚS SUESCÚN ARREGOCÉS</t>
  </si>
  <si>
    <t>OPSP-VAD-0724-2023</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</si>
  <si>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Proyectar y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 y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 12. Apoyar en la activación de usuarios en la plataforma del SIGEPII. 13. Apoyar en la revisión de la información contractual cargada en las plataformas del SIA OBSERVA Auditoria, SIGEPII, SECOP I y II. 14.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</si>
  <si>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OAG-VAD-0725-2023</t>
  </si>
  <si>
    <t>La presente orden tiene por objeto: 1. Apoyar en la atención a usuarios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</si>
  <si>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OAG-VAD-0726-2023</t>
  </si>
  <si>
    <t>La presente orden tiene por objeto: 1. Apoyar en la atención de los usuarios.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</si>
  <si>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OPSP-VAD-0727-2023</t>
  </si>
  <si>
    <t>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</si>
  <si>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OPSP-VAD-0728-2023</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</si>
  <si>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</si>
  <si>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OPSP-VAD-0729-2023</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</si>
  <si>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</si>
  <si>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OPSP-VAD-0730-2023</t>
  </si>
  <si>
    <t>La presente orden tiene por objeto: 1. Coordinar el proceso de entrevistas de los aspirantes para el ingreso a los distintos programas académicos 2023 -II en la fase I y en la Fase II. 2. Realizar la construcción de cuestionarios y selección de variables para aplicar en las entrevistas de los aspirantes a ingresar a los distintos programas académicos 2023 - II en la fase I y en la Fase II. 3. Apoyar las actividades logísticas, administrativas y financieras del proceso de entrevista en la fase I y en la fase II. 3. Revisar informes finales de los psicólogos entrevistadores de la fase I y en la fase II. 4. Realizar la socialización del proceso de entrevistas a los psicólogos que las desarrollarán. 5. Presentar informe general de las entrevistas a los aspirantes admitidos en el periodo 2023-II a las Direcciones de Programas. 5. Apoyar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</si>
  <si>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OPSP-VAD-0731-2023</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</si>
  <si>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revisión, análisis y elaboración de informe de Evaluación a la Gestión Contractual trimestral. 6. Asesorar a la Oficina de Control Interno en la planificación del control interno y en el seguimiento y verificación del sistema de control interno, en la identificación de riesgos y de acciones de mejora a los diferentes responsables de procesos en el marco de las actividades desarrolladas.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</si>
  <si>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OPSP-VAD-0732-2023</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</si>
  <si>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análisis y consolidación de la información financiera y en la elaboración de informe cuatrimestral de austeridad del gasto. 4. Apoyar a la Oficina de Control Interno en el Seguimiento a la legalización de avances. 5. Apoyar a la Oficina de Control Interno en el seguimiento a la presentación de informe trimestral de Estado Joven. 6. Asesorar a la Oficina de Control Interno en la planificación del control interno y en el seguimiento y verificación del sistema de control interno y sistema de control interno contable, en la identificación de riesgos y de acciones de mejora a los diferentes responsables de procesos en el marco de las actividades desarrolladas.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</si>
  <si>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OPSP-VAD-0733-2023</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</si>
  <si>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</si>
  <si>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OPSP-VAD-0734-2023</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</si>
  <si>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</si>
  <si>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OPSP-VAD-0735-2023</t>
  </si>
  <si>
    <t>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plandeacción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la organización, logística, desarrollo y soporte tecnológico del IX Encuentro Gestión Universitaria - SUE . 8. Apoyar en el cargue, registro en plataforma y tabulación de las encuestas, autoevaluaciones, y percepciones derivadas de los procesos de acreditaciones de los programas y facultades.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</si>
  <si>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OAG-VAD-0736-2023</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</si>
  <si>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</si>
  <si>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OPSP-VAD-0737-2023</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</si>
  <si>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</si>
  <si>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OPSP-VAD-0738-2023</t>
  </si>
  <si>
    <t>La presente orden tiene por objeto: 1. Realizar soporte a usuarios. 2. Apoyar la coordinación y ejecución de los mantenimientos preventivos PMP. 3. Apoyar la coordinación de la Configuración de los equipos nuevos de cómputo (instalar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</si>
  <si>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OPSP-VAD-0739-2023</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</si>
  <si>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</si>
  <si>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OPSP-VAD-0740-2023</t>
  </si>
  <si>
    <t>La presente orden tiene por objeto: 1. Realizar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</si>
  <si>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OAG-VAD-0741-2023</t>
  </si>
  <si>
    <t>La presente orden tiene por objeto: 1. Apoyar en la realización de mantenimiento preventivo y correctivo a los equipos de cómputo de la institución, incluyendo sedes alternas (sede-centro, planta piloto, consultorio jurídico, San Juan Nepomuceno). 2. Brindar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</si>
  <si>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OAG-VAD-0742-2023</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</si>
  <si>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así lo requiera, sobre las actividades desarrolladas en cumplimiento de la orden de prestación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</si>
  <si>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OPSP-VAD-0743-2023</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</si>
  <si>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</si>
  <si>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OPSP-VAD-0744-2023</t>
  </si>
  <si>
    <t>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</si>
  <si>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OPSP-VAD-0745-2023</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</si>
  <si>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</si>
  <si>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OPSP-VAD-0746-2023</t>
  </si>
  <si>
    <t>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</si>
  <si>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CARLOS CORONADO</t>
  </si>
  <si>
    <t>OPSP-VAD-0747-2023</t>
  </si>
  <si>
    <t>La presente orden tiene por objeto: 1. Apoyar jurídicamente a la Dirección de Bienestar Universitario, en los procesos de gestión de contratación de conformidad al Sistema de Gestión Integral. 2. Apoyar y asesorar jurídicamente en los procesos que sean adelantados por la Dirección de Bienestar Universitario y sus coordinaciones. 3. Entregar de manera oportuna y bajo su responsabilidad los informes que se le soliciten para ser presentados en otras dependencias, con soportes estadísticos. 4. Apoyar jurídicamente en la revisión de documentos y procedimientos implementados desde la Dirección. 5. Apoyar en los trámites administrativos contractuales a la Dirección de Bienestar Universitario. 6. Apoyar jurídicamente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</si>
  <si>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OPSP-VAD-0748-2023</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</si>
  <si>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en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 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10. Apoyar en la supervisión de las actividades realizadas en el área de deportes de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</si>
  <si>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OPSP-VAD-0749-2023</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</si>
  <si>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</si>
  <si>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OAG-VAD-0750-2023</t>
  </si>
  <si>
    <t>La presente orden tiene por objeto: 1. Apoyar al Grupo Interno de Servicios Generales en la supervisión de espacios físicos de las Sede Alterna, CERES de Pivijay, Magdalena. 2. Apoyar al GSG en la apertura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al supervisor de la orden. 6. Apoyar en la atención los requerimientos de los funcionarios de la universidad para facilitar el cabal desarrollo de las actividades académicas y administrativas. 7. Apoyar en el control y reporte en minutas, formatos o guias,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</si>
  <si>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OAG-VAD-0751-2023</t>
  </si>
  <si>
    <t>La presente orden tiene por objeto: 1. Apoyar al Grupo de Servicios Generales en la supervisión de espacios físicos, 2. Apoyar al GSG en la apertura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</si>
  <si>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OAG-VAD-0752-2023</t>
  </si>
  <si>
    <t>OPSP-VAD-0753-2023</t>
  </si>
  <si>
    <t>La presente orden tiene por objeto: 1. Apoyar al Grupo Interno de Servicios Generales en la planificación y coordinación de los mantenimientos de los diferentes equipos de aires acondicionados y demás sistemas de refrigeración que están a cargo de la Dependencia, conjuntamente con el administrador de la Plataforma AMSI y de AM. 2. Apoyar al Grupo Interno de Servicios Generales en la recepción y verificación de la documentación que se requiere en cada Contrato y Orden de Servicio de mantenimiento de aires acondicionados y equipos de refrigeración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</si>
  <si>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OAG-VAD-0754-2023</t>
  </si>
  <si>
    <t>OAG-VAD-755-2023</t>
  </si>
  <si>
    <t>La presente orden tiene por objeto: 1. Apoyar al Grupo Interno de Servicios Generales en la supervión de los espacios fisicos de la Casa Museo Gabriel Garcia Marquez de Aracataca. 2. Apoyar en el reporte de cualquier anomalía que se presente en la Casa Museo. 3. Apoyar a miembros de Unimagdalena que necesiten información de la casa museo. 4. Apoyar en la atención a los requerimientos y solicitudes del supervisor de seguridad de Unimagdalena, o el supervisor de la Orden de Servicios. 5. Apoyar al GSG en la revisión de elementos y bienes en la sede tales como computadores, sillas, video beam, motobombas, aires acondicionados, reflectores externos, bienes de museología de facil transito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</si>
  <si>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OAG-VAD-0756-2023</t>
  </si>
  <si>
    <t>OAG-VAD-0757-2023</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</si>
  <si>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</si>
  <si>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OPSP-VAD-0758-2023</t>
  </si>
  <si>
    <t>La presente orden tiene por objeto: 1. Asistir a la jornada de inducción al equipo de psicólogos entrevistadores. 2. Realizar entrevista en la fase 1 y 2, a los aspirantes para el ingreso a la Universidad del Magdalena para el periodo academico 2023-II,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2023-II. 5. Participar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</si>
  <si>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OAG-VAD-0759-2023</t>
  </si>
  <si>
    <t>La presente orden tiene por objeto: 1. Brindar orientación a los usuarios acerca de cómo acceder a los servicios de la Biblioteca. 2. Apoyar en las capacitaciones a estudiantes y docentes en el uso de Bases de Datos Electrónicas Académicas y de Investigación, Repositorio Digital Institucional, Gestores Bibliográficos, Leganto y otros sistemas y/o plataformas tecnológicas. 3. Apoyar en el proceso de validación de indexación de recursos bibliográficos y recuperación de información en los sistemas de información Alma, Primo Ve, Repositorio Digital Institucional Y Leganto. 4. Apoyar en la construcción del curso virtual que oferta la biblioteca en el bloque 10 y en la elaboración de material audiovisual para promover los servicios que se ofertan. 5. Apoyar la elaboración de material audiovisual que realiza la biblioteca para promover los servicios que oferta. 6. Apoyar en los procesos de desarrollo y mantenimiento del repositorio digital institucional. 7. Apoyar en el proceso de alimentación y flujo de trabajo del Repositorio Digital Institucional. 8. Apoyar las actividades del servicio de préstamo interbibliotecario. 9. Apoyar el proceso de selección y adquisiciones de material bibliográfico físico y electrónico. 10. Apoyar el proceso de preparación de material bibliográfico físico para colocarlo al servicio de los usuarios. 11. Apoyar en la construcción de estadísticas de material bibliográfico adquirido por compra, donación o canje. 12. Apoyar el proceso de desarrollo de colecciones bibliográficas. 13. Apoyar en la atención de préstamo de recursos bibliográficos en sala de circulación y salas virtuales. 14. Apoyar en la realización de inventario de materiales bibliográficos. 15. Apoyar en la construcción de informes y estadísticas de servicios y/o procesos de la Biblioteca.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</si>
  <si>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OPSP-VAD-0760-2023</t>
  </si>
  <si>
    <t>OPSP-VAD-0761-2023</t>
  </si>
  <si>
    <t>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Juridico. 3. Asesorar y apoyar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</si>
  <si>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OAG-VAD-0762-2023</t>
  </si>
  <si>
    <t>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Apoyar en la verificación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Apoyar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</si>
  <si>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OAG-VAD-0763-2023</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</si>
  <si>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</si>
  <si>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OAG-VAD-0764-2023</t>
  </si>
  <si>
    <t>La presente orden tiene por objeto: 1. Brindar orientación a los usuarios acerca de cómo acceder a los servicios de la Biblioteca. 2. Apoyar en el préstamo de materiales bibliográficos a los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Leganto.5. Apoyar en la construcción del curso virtual que oferta la biblioteca en el bloque 10 y en la elaboración de material audiovisual para promover los servicios que se ofertan. 6. Apoyar con la atención de usuarios en el servicio de préstamo de computadores en salas virtuales. 7. Apoyar en la organización de actividades de promoción de lectura y actividades que organice la biblioteca para incentivar a los usuarios al uso de los recursos bibliográficos. 8. Apoyar los procesos de evaluación de los servicios de la biblioteca. 9. Apoyar en la organización de las colecciones bibliográficas en la estantería y para mantenerlas en orden. 10. Apoyar en la Digitalización y/o procesamiento de documentos que son cargados al Repositorio Digital Institucional. 11. Apoyar cuando sea necesario, en la reparación de ejemplares físicos deteriorados. 12. Apoyar en la realización de inventario de materiales bibliográficos. 13.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</si>
  <si>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OPSP-VAD-0765-2023</t>
  </si>
  <si>
    <t>JOHANNA BARROS PEREZ</t>
  </si>
  <si>
    <t>La presente orden tiene por objeto: 1. Apoyar en la realización de visitas a empresas, informando y motivando a estudiantes en los últimos semestres de las universidades de la región y público en general. 2. Apoyar en las actividades relacionadas con establecer relaciones y convenios con empresas del sector público y sector privado en Apoyo en la elaboración de esto a través de planificación de visitas comerciales, seguimiento y control. 3. Apoyar en los procesos de construcción de los programas de posgrados de Maestría y Doctorados. 4. Apoyar en la recopilación y organización de las evidencias y demás documentos que requieran los informes de auto evaluación y creación de nuevos programas (consulta a páginas del gobierno nacional, planes de gobierno, planes de acción, SNIES, observatorio laboral, normatividad interna.). 5. Apoyar en la elaboración de Informes mensuales a la dirección del Centro de Posgrados acerca de los procesos de creación y autoevaluación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</si>
  <si>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OPSP-VAD-0766-2023</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</si>
  <si>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la atención telefónica y presencial a los miembros de la comunidad Universitaria que requieran información sobre los servicios de Bienestar. 8. Realizar actividades docente asistenciales bajo la modalidad de supervisión de prácticas formativas a los estudiantes de la facultad de ciencias de la salud de la Universidad del Magdalena. 9.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</si>
  <si>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OAG-VAD-0767-2023</t>
  </si>
  <si>
    <t>La presente orden tiene por objeto: 1. Apoyar con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conceptos del fondo multipropósito, computador y Formación Científica.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</si>
  <si>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ROSMERY DEVIA</t>
  </si>
  <si>
    <t>OPSP-VAD-0768-2023</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</si>
  <si>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</si>
  <si>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OAG-VAD-0769-2023</t>
  </si>
  <si>
    <t>La presente orden tiene por objeto: 1. Apoyar en la atención básica, oportuna y adecuada en consulta como auxiliar de enfermería a los miembros de Comunidad Universitaria que lo soliciten. 2. Apoyar las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</si>
  <si>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OAG-VAD-0770-2023</t>
  </si>
  <si>
    <t>OPSP-VAD-0771-2023</t>
  </si>
  <si>
    <t>La presente orden tiene por objeto: 1. Apoyar en la revisión y aprobación en la plataforma GEDOCO de los documentos necesarios para la gestión de órdenes de servicios profesionales y de apoyo a la gestión. 2. Apoyar en la marcación y cargue de información precontractual, contractual y postcontractual a la plataforma del SIA OBSERVA de las Ordenes de Prestación de Servicios Profesioanles y de Apoyo a la Gestión suscritas por el Vicerrector Administrativo y el Director Administrativo. 3. Apoyar en la verificación del cumplimiento de los requisitos en los documentos requeridos para la celebración de las órdenes de Servicios Profesionales y de Apoyo a la Gestión que suscriba el Vicerrector Administrativo y el Director Administrativo. 4. Apoyar el cargue de información precontractual, contractual y postcontractual a la plataforma del SECOPI y II de todos los procesos de contratación que adelante la Universidad a través de la Vicerrectoría Administrativa y la Dirección Administrativa. 5. Apoyar en la organización del archivo digital de las órdenes de servicios profesionales y de apoyo a la gestión suscritas por el Vicerrector Administrativo y el Director Administrativo. 6. Apoyar en la elaboracion y envio de la información concerniente a las ordenes de prestacion de servicios profesionales y de apoyo a la gestion, suscritas por el Vicerrector Administrativo y el Director Administrativo que sea solicitada por las diferentes Entidades del Estado y demas Dependencias de la Universidad. 7. Apoyar en la revisión de la información contractual cargada en las plataformas del SIA OBSERVA Auditoria, SIGEP II, SECOP I y II por parte de los ordenadores del gasto. 8. Rendir informes mensuales o cuando el supervisor así lo requiera, sobre las actividades desarrolladas en cumplimiento de la orden de prestación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</si>
  <si>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OPSP-VAD-0772-2023</t>
  </si>
  <si>
    <t>La presente orden tiene por objeto: 1. Apoyar en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Realizar soporte en los problemas más comunes que se presentan a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</si>
  <si>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OPSP-VAD-0773-2023</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</si>
  <si>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</si>
  <si>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OAG-VAD-0774-2023</t>
  </si>
  <si>
    <t>OPSP-VAD-0775-2023</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</si>
  <si>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</si>
  <si>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OPSP-VAD-0776-2023</t>
  </si>
  <si>
    <t>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</si>
  <si>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OAG-VAD-0777-2023</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</si>
  <si>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Apoyar en la atención delas solicitudes de radicación de las comunicaciones presentadas entre los estudiantes, el Consejo Académico, los Consejos de Facultad y los Consejos de Programas. 3. Apoyar en la elaboración y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</si>
  <si>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OPSP-VAD-0778-2023</t>
  </si>
  <si>
    <t>La presente orden tiene por objeto: 1. Apoyar en las etapas precontractuales, contractuales y postcontractual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</si>
  <si>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OPSP-VAD-0779-2023</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</si>
  <si>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</si>
  <si>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OPSP-VAD-0780-2023</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</si>
  <si>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</si>
  <si>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OAG-VAD-0781-2023</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</si>
  <si>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</si>
  <si>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OPSP-VAD-0782-2023</t>
  </si>
  <si>
    <t>La presente orden tiene por objeto: 1. Elaborar solicitud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 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</si>
  <si>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PAULA MARCELA PINEDO CARRASCAL</t>
  </si>
  <si>
    <t>OAG-VAD-0783-2023</t>
  </si>
  <si>
    <t>OPSP-VAD-0784-2023</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</si>
  <si>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</si>
  <si>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OPSP-VAD-0785-2023</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</si>
  <si>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</si>
  <si>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OAG-VAD-0786-2023</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</si>
  <si>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al supervisor. 6. Apoyar en la atención los requerimientos de los funcionarios de la universidad para facilitar el cabal desarrollo de las actividades académicas y administrativas. 7. Apoyar en el control y reporte en minutas, formatos o guias, del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</si>
  <si>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OPSP-VAD-0787-2023</t>
  </si>
  <si>
    <t>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Asesorar en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</si>
  <si>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OPSP-VAD-0788-2023</t>
  </si>
  <si>
    <t>La presente orden tiene por objeto: 1. Apoyar en la construcción de componentes software en tecnologías NetCore, Javascript, Angular, haciendo uso de patrones de diseños arquitectónicos. 2. Asesorar en el proceso de construcción de micro servicios del sistema de información de registro académico. 3. Asesorar en la implementación de herramientas de verificación y validación de código fuente. 4. Apoyar a la Direeción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</si>
  <si>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OPSP-VAD-0789-2023</t>
  </si>
  <si>
    <t>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</si>
  <si>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OPSP-VAD-0790-2023</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</si>
  <si>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</si>
  <si>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OPSP-VAD-0791-2023</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</si>
  <si>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conjuntamente con el administrador de la Plataforma AMSI y de AM. 7. Apoyar en la realización de informes periódicos de las ejecuciones de los diferentes contratos y órdenes de servicios. 9.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</si>
  <si>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OPSP-VAD-0792-2023</t>
  </si>
  <si>
    <t>La presente orden tiene por objeto: 1 .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</si>
  <si>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OPSP-VAD-0793-2023</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</si>
  <si>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</si>
  <si>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OPSP-VAD-0794-2023</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</si>
  <si>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</si>
  <si>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OPSP-VAD-0795-2023</t>
  </si>
  <si>
    <t>OPSP-VAD-0796-2023</t>
  </si>
  <si>
    <t>La presente orden tiene por objeto: 1. Asistir a la jornada de inducción al equipo de psicólogos entrevistadores. 2. Realizar entrevista en la fase 1, a los aspirantes para el ingreso a la Universidad del Magdalena para el periodo academico 2023-II,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2023-II. 5. Participar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</si>
  <si>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OPSP-VAD-0797-2023</t>
  </si>
  <si>
    <t>LUIS FELIPE CANTILLO ACOSTA</t>
  </si>
  <si>
    <t>OPSP-VAD-0798-2023</t>
  </si>
  <si>
    <t>La presente orden tiene por objeto: 1. Asistir a la jornada de inducción al equipo de psicólogos entrevistadores. 2. Realizar entrevista en la fase 1, a los aspirantes para el ingreso a la Universidad del Magdalena para el periodo academico 2023-II,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2023-II. 5. Participar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</si>
  <si>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OAG-VAD-0799-2023</t>
  </si>
  <si>
    <t>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</si>
  <si>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OPSP-VAD-0800-2023</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</si>
  <si>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</si>
  <si>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OAG-VAD-0801-2023</t>
  </si>
  <si>
    <t>OAG-VAD-0802-2023</t>
  </si>
  <si>
    <t>La presente orden tiene por objeto: 1. Brindar orientación a los usuarios acerca de cómo acceder a los servicios de la Biblioteca. 2. Apoyar en el préstamo de materiales bibliográficos a los usuarios. 3. Apoyar en el proceso de validación de indexación de recursos bibliográficos y recuperación de información en los sistemas de información Alma, Primo Ve, Repositorio Digital Institucional y Leganto. 4. Apoyar en la construcción del curso virtual que oferta la biblioteca en el bloque 10 y en la elaboración de material audiovisual para promover los servicios que se ofertan. 5. Apoyar con la atención de usuarios en el servicio de préstamo de computadores en salas virtuales.6. Apoyar en la organización de actividades de promoción de lectura y actividades que organice la biblioteca para incentivar a los usuarios al uso de los recursos bibliográficos. 7. Apoyar los procesos de evaluación de los servicios de la biblioteca. 8. Apoyar en la organización de las colecciones bibliográficas en la estantería y para mantenerlas en orden. 9. Apoyar en la Digitalización y/o procesamiento de documentos que son cargados al Repositorio Digital Institucional. 10. Apoyar cuando sea necesario, en la reparación de ejemplares físicos deteriorados. 11. Apoyar en la realización de inventario de materiales bibliográficos. 12.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</si>
  <si>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OAG-VAD-0803-2023</t>
  </si>
  <si>
    <t>La presente orden tiene por objeto: 1. Apoyar con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</si>
  <si>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OPSP-VAD-0804-2023</t>
  </si>
  <si>
    <t>La presente orden tiene por objeto: 1. Apoyar en la administración y actualización del sitio Web del Grupo Interno de Facturación, Crédito y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Apoyar en el desarrollo e implementación de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</si>
  <si>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OAG-VAD-0805-2023</t>
  </si>
  <si>
    <t>La presente orden tiene por objeto: 1. Apoyar con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</si>
  <si>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OAG-VAD-0806-2023</t>
  </si>
  <si>
    <t>La presente orden tiene por objeto: 1. Apoyar al Grupo  de Admisiones, Registro y Control Académico en la atención a los diferentes usuarios.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</si>
  <si>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OAG-VAD-0807-2023</t>
  </si>
  <si>
    <t>OAG-VAD-0808-2023</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</si>
  <si>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levantemiento de información y generacion de informes de estado de infraestructura gestionada por REDAL.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</si>
  <si>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OPSP-VAD-0809-2023</t>
  </si>
  <si>
    <t>OPSP-VAD-0810-2023</t>
  </si>
  <si>
    <t>OPSP-VAD-0811-2023</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</si>
  <si>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para las cuales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</si>
  <si>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OPSP-VAD-0812-2023</t>
  </si>
  <si>
    <t>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Clasificar los hallazgos resultantes de la primera etapa. 9. Apoyar en la clasificación de la información financiera y documental a fin de remitirla al abogado, quien junto con la coordinadora y el asesor señalarán la sanción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</si>
  <si>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OAG-VAD-0813-2023</t>
  </si>
  <si>
    <t>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la actualización de la bitácora de cada expediente en la remisión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</si>
  <si>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OAG-VAD-0814-2023</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</si>
  <si>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</si>
  <si>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OAG-VAD-0815-2023</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</si>
  <si>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</si>
  <si>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OPSP-VAD-0816-2023</t>
  </si>
  <si>
    <t>OAG-VAD-0817-2023</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</si>
  <si>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 Apoyar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</si>
  <si>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OAG-VAD-0818-2023</t>
  </si>
  <si>
    <t>La presente orden tiene por objeto: 1. Apoyar la revisión de los créditos registrados en las diferentes cuentas bancarias de la Universidad, que estos se encuentren debidamente identificados y registrados en el Sistema de Información Financiero (SINAP).2. Apoyar la genración de informes de bancos diarios con el saldo de libros vs los libros de bancos. 3. Informar al Tesorero en la identificación y registro de ajustes de Tesorería. 4. Revisar mensualmente las retenciones y deducciones por concepto de retención en la fuente y estampillas departamentales. 5. Apoyar la recepción de solicitudes de embargos enviadas por los juzgados para direccionamiento de las mismas, 6. Revisar la aplicación de los embargos decretados por los juzgados contra funcionarios y contratistas. 7. Apoyar la proyección para la revision y firma del Tesorero, de comunicaciones externas referentes a solicitudes de información de los juzgados en relación con los embargos decretados.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</si>
  <si>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OAG-VAD-0819-2023</t>
  </si>
  <si>
    <t>La presente orden tiene por objeto: 1. Presentar el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intérprete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</si>
  <si>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OPSP-VAD-0820-2023</t>
  </si>
  <si>
    <t>La presente orden tiene por objeto: 1. Asistir a la jornada de inducción al equipo de psicólogos entrevistadores. 2. Realizar entrevista en la fase 1 y 2, a los aspirantes para el ingreso a la Universidad del Magdalena para el periodo académico 2023-II,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2023-II. 5. Participar en los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</si>
  <si>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OPSP-VAD-0821-2023</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</si>
  <si>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</si>
  <si>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OAG-VAD-0822-2023</t>
  </si>
  <si>
    <t>La presente orden tiene por objeto: 1. Apoyar la Dirección Financiera en la recepción de los soportes de los actos administrativos como: contratos, órdenes de servicio, compra, suministro y convenios 2. Apoyar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</si>
  <si>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OAG-VAD-0823-2023</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</si>
  <si>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en el seguimiento a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</si>
  <si>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OPSP-VAD-0824-2023</t>
  </si>
  <si>
    <t>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</si>
  <si>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OPSP-VAD-0825-2023</t>
  </si>
  <si>
    <t>La presente orden tiene por objeto: 1. Asesorar a la Dirección Financiera en la proyección de respuestas de peticiones, quejas o reclamos de entes externos. 2. Emitir conceptos jurídicos frente a consultas por parte de los responsables de Grupo de la Dirección Financiera. 3. Revisar las proyecciones de las resoluciones de pago elaboradas por la Dirección Financiera 4. Asesorar a la Dirección Financiera en la revisión de los proyectos de reforma a los procedimientos del proceso financiero. Realizar los análisis financieros, Jurídicos y tributarios que solicite el Director de la dependencia en virtud de la información que requieran las demás dependencias y/o las entidades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</si>
  <si>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OPSP-VAD-0826-2023</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</si>
  <si>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</si>
  <si>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OAG-VAD-0827-2023</t>
  </si>
  <si>
    <t>La presente orden tiene por objeto: 1. Apoyar en la atención a solicitudes que realicen los docentes a través de los canales de comunicación disponibles para tal fin.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</si>
  <si>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OPSP-VAD-0828-2023</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</si>
  <si>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del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</si>
  <si>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OAG-VAD-0829-2023</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</si>
  <si>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</si>
  <si>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OPSP-VAD-0830-2023</t>
  </si>
  <si>
    <t>La presente orden tiene por objeto: 1. Apoyar en el diseño y coordinación el plan de acción del centro de atención integral a la infancia. 2. Apoyar en el Diseño de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</si>
  <si>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OAG-VAD-0831-2023</t>
  </si>
  <si>
    <t>La presente orden tiene por objeto: 1. Apoyar en la atención a los diferentes usuarios del Programa de Atención Psicológica. 2. Apoyar con la entrega a los Psicólogos o Terapeutas en formación del material necesario para la atención a pacientes. 3. Apoyar la atención vía telefónica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</si>
  <si>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OPSP-VAD-0832-2023</t>
  </si>
  <si>
    <t>La presente orden tiene por objeto: 1. Apoyar en la remisión a la Dirección de Prácticas los estudiantes aptos para realizar la prepráctica periodo 2023-2.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</si>
  <si>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OPSP-VAD-0833-2023</t>
  </si>
  <si>
    <t>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la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</si>
  <si>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OPSP-VAD-0834-2023</t>
  </si>
  <si>
    <t>La presente orden tiene por objeto: 1. Apoyar en la remisión a la Dirección de Prácticas los estudiantes aptos para realizar la prepráctica periodo 2023- II.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</si>
  <si>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OAG-VAD-0835-2023</t>
  </si>
  <si>
    <t>La presente orden tiene por objeto: 1. Apoyar en la organización y digitalización de expedientes, de acuerdo con los procedimientos y directrices institucionales. 2. Apoyar en la elaboración de inventarios documentales de archivos. 3. Apoyar en la elaboración y envío de las Planillas de Radicación de las Comunicaciones Oficiales Externas Recibidas y Planillas de Registro de Documentos y Sobres.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</si>
  <si>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OAG-VAD-0836-2023</t>
  </si>
  <si>
    <t>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apoyar la realización de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4. Apoyar en las consultas que requieran los ordenadores del gasto. 5. Apoyar en el seguimiento, archivo digital y depuración de reservas presupuestales en el sistema de información financiero para entrega de informes cuando lo requieran los Entes de Control. 6. Apoyar en la recepción, revisión, archivo digital y elaboración de registros presupuestales con base en actos administrativos que generen los ordenadores del gasto. 7. Apoyar en la elaboración de las certificaciones de las resoluciones de traslado.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</si>
  <si>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ANA FLORA JIMENEZ  DE LA HOZ</t>
  </si>
  <si>
    <t>OPSP-VAD-0837-2023</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</si>
  <si>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</si>
  <si>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OPSP-VAD-0838-2023</t>
  </si>
  <si>
    <t>La presente orden tiene por objeto: 1. Apoyar la elaboración de estrategias digitales para las Redes Sociales de Unimagdalena Radio 2. Elaborar campañas y estrategias para impactar en la comunidad estudiantil. 3. Realizar el spot “'que talento". 4. Apoyar al aire la realización de 'Desde el Campus Al Aire' que se emite de Lunes a Viernes de 7 a 8 de la mañana. 5. Apoyar en las transmisiones en vivo y en directo de los eventos de la Emisora Cultural. 6. Apoyar las transmisiones o cubrimiento de eventos a través de las redes sociales y al aire. 7. Apoyar la producción y edición de materiales sonoros institucionales. 8. Apoyar en la presentación del programa radial del consultorio Jurídico de la Universidad del Magdalena 9. Apoyar en la redacción de boletines institucionales. 10. Apoyar la transmisión del programa “La Revista”, que se emite a las 6 de la mañana. 11.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</si>
  <si>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OPSP-VAD-0839-2023</t>
  </si>
  <si>
    <t>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</si>
  <si>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OAG-VAD-0840-2023</t>
  </si>
  <si>
    <t>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</si>
  <si>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OAG-VAD-0841-2023</t>
  </si>
  <si>
    <t>La presente orden tiene por objeto: 1. Desarrollar actividades gastronómicas para el rescate de la gastronomía local, regional y nacional. 2. Apoyar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la coordinación de la venta de servicios y operación de eventos del Laboratorio de Gastronomía e Innovación de la Universidad del Magdalena. 5. Apoyar en el diseño y desarrollo de oferta académica de formación continua en gastronomía.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</si>
  <si>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OPSP-VAD-0842-2023</t>
  </si>
  <si>
    <t>CENITH GLORIA ILIAS CERVANTES</t>
  </si>
  <si>
    <t>OPSP-VAD-0843-2023</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</si>
  <si>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</si>
  <si>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OAG-VAD-0844-2023</t>
  </si>
  <si>
    <t>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Apoyar en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</si>
  <si>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OPSP-VAD-0845-2023</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</si>
  <si>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</si>
  <si>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OPSP-VAD-0846-2023</t>
  </si>
  <si>
    <t>La presente orden tiene por objeto: 1. Brindar asesoría y orientación en materia jurídica en el área de contratación al Vicerrector Administrativo de la Universidad. 2. Brindar acompañamiento y/o hacer seguimiento a procesos precontractuales, contractuales y pos contractuales en adquisición de bienes o servicios de los proyectos de regalías que estén a cargo del Vicerrector Administrativo de la de la Universidad del Magdalena. 3. Realizar o apoyar los procesos de selección de contratistas de bienes o servicios que se requieran en la Vicerrectoría Administrativa de conformidad con el estatuto de contratación de la Universidad. 4. Elaborar minutas para ordenes, contratos, convenios, procesos de convocatorias y demás que requiera UNIMAGDALENA y que sean solicitados por el Rector y/o el Vicerrector Administrativo. 5. Apoyar a la oficina de Contratación en las peticiones que se presenten dentro de los plazos y/o términos establecidos en la ley, que sean trasladadas por parte el Vicerrector Administrativo. 6. Asesorar, asistir o apoyar jurídicamente y resolver consultas de tipo jurídico en materia contractual, que le sean solicitadas por parte del Rector o el Vicerrector Administrativo de UNIMAGDALENA.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Apoyar a los profesionales de la Vicerrectoría Administrativa en la supervisión de las ordenes o contratos que se le asignen. 10. Brindar asesoría en materia de contratación en las etapas precontractual, contractual y postcontractual a los integrantes y directores de los grupos a cargo de ejecutar los recursos de los proyectos de regalías que estén a cargo del Vicerrector Administrativo de la Universidad. 11. Asesorar y acompañar al Vicerrector Administrativo en los procesos administrativos a que haya lugar, con el fin de lograr los fines de la contratación. 12. Participar en las reuniones a las que sea convocado por las Vicerrectorías de la Universidad para asesorar en temas jurídicos y contractuales.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</si>
  <si>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OPSP-VAD-0848-2023</t>
  </si>
  <si>
    <t>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los proyectos. 5. Realizar seguimiento a los proyectos asignados a la Dirección Administrativa y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</si>
  <si>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OPSP-VAD-0849-2023</t>
  </si>
  <si>
    <t>OPSP-VAD-0850-2023</t>
  </si>
  <si>
    <t>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</si>
  <si>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OPSP-VAD-0851-2023</t>
  </si>
  <si>
    <t>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</si>
  <si>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OPSP-VAD-0852-2023</t>
  </si>
  <si>
    <t>La presente orden tiene por objeto: 1. Apoyar a la Dirección de Comunicaciones en la realización de cubrimiento de fuentes institucionales. 2. Apoyar a la Dirección de Comunicaciones en el seguimiento a la emisora Radio Magdalena. 3. Realizar locución del programa de radio Desde El Campus, por la emisora Unimagdalena Radio.4. Redactar libretos de radio, sobre las novedades, eventos e información de las fuentes asignadas, para la transmisión en la emisora Unimagdalena Radio.5. Redactar boletines de prensa sobre las novedades, eventos e información de las fuentes asignadas.6. Apoyar a la Dirección de Comunicaciones en el proceso de organización logística de eventos de las fuentes asignadas, elaboración de libretos de presentación, órdenes del día y precedencias; realización de seguimiento a solicitudes de insumos y elementos para los eventos.7. Presentar eventos de las fuentes asignadas. 8. Apoyar a la Dirección de Comunicaciones en la elaboración de piezas de comunicación solicitadas por las fuentes asignadas, apoyar la producción de videos; acompañar el proceso de solicitud, revisión y aprobación diseños de banners e infografías, entre otros productos. 9. Apoyar a la Dirección de Comunicaciones en la creación de copys para publicaciones en las redes sociales sobre las novedades, eventos e información de las fuentes asignadas y escritos para las secciones de las dependencias en la página web institucional. 10. Apoyar a la Dirección de Comunicaciones en el seguimiento al proceso de planeación, control interno y calidad. 11. Apoyar en la planificación temática, elaboración y envío masivo de boletines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</si>
  <si>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OPSP-VAD-0853-2023</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</si>
  <si>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 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8. elaborar libretos de presentación, órdenes del día y precedencia. 9. Realizar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Crear copys para publicaciones en las redes sociales sobre las novedades, eventos e información de las fuentes institucionales y otros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</si>
  <si>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OPSP-VAD-0854-2023</t>
  </si>
  <si>
    <t>La presente orden tiene por objeto: 1. Apoyar a la Dirección de Comunicaciones en la realización de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</si>
  <si>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OPSP-VAD-0855-2023</t>
  </si>
  <si>
    <t>La presente orden tiene por objeto: 1. Apoyar en la coordinación de los cubrimientos periodísticos de la Dirección de Bienestar Universitario. 2. Apoyar la logística y protocolo de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asignada.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</si>
  <si>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OPSP-VAD-0856-2023</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</si>
  <si>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enla elaboración de vídeos institucionales que requieran las diferentes dependencias de la Alma Mater. En dinámicas especiales de la Universidad como conferencias magistrales, eventos institucionales, grados, actividades deportivas y culturales se realizarán cubrimientos de estos.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</si>
  <si>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OPSP-VAD-0857-2023</t>
  </si>
  <si>
    <t>CARMEN DE JESUS ARROYO DUQUE</t>
  </si>
  <si>
    <t>OPSP-VAD-0858-2023</t>
  </si>
  <si>
    <t>La presente orden tiene por objeto: 1. Apoyar en la remisión a la Dirección de Prácticas de los estudiantes aptos para realizar la prepráctica periodo 2023-II.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</si>
  <si>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OAG-VAD-0860-2023</t>
  </si>
  <si>
    <t>La presente orden tiene por objeto: 1. Apoyar en la organización y digitalización de expedientes, de acuerdo con los procedimientos y directrices institucionales. 2. Apoyar al Grupo de Gestión Documental en la recepción, registro y envío de comunicaciones externas recibidas y documentos y sobres 3. Apoyar al Grupo de Gestión Documental en la atención a los usuarios a través de los distintos canales de comunicación disponibles.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</si>
  <si>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OPSP-VAD-0861-2023</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</si>
  <si>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</si>
  <si>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OPSP-VAD-0862-2023</t>
  </si>
  <si>
    <t>La presente orden tiene por objeto: 1. Apoyar la Dirección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 la Dirección de Bienestar Universitario en procesos de gestión de contratación, elaboración de sondeos comerciales, proyección presupuestal y manejo de proveedores, necesarios para el perfecto desarrollo de las actividades establecidas en el Plan de Acción. 4, Apoyar a la Dirección de Bienestar Universitario en el manejo financiero, necesarios para el perfecto desarrollo de las actividades culturales, deportivas, de salud y desarrollo humano establecidas en el Plan de Acción 5. Apoyar a la Dirección de Bienestar Universitario en los trámites administrativos contractuales establecidos en el Sistema COGUI Plus. 6.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7. Apoyar a la Direccion de Bienestar Universitario en la organización y archivo de la documentación concerniente a la contratación de proveedores de la Dirección. 8. Presentar informes oportunamente al Director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</si>
  <si>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OPSP-VAD-0864-2023</t>
  </si>
  <si>
    <t>La presente orden tiene por objeto: 1. Apoyar en la creación del reporte del caso una vez se presente la denuncia por la persona directamente afectada o terceros. 2. Apoyar en la atención de la persona afectada o a las terceras personas que realicen el reporte del caso, guardando la debida reserva y confidencialidad. 3. Acompañar el Diligenciamiento de la base de datos con la información del reporte para el adecuado registro y seguimiento a los casos reportados 4. Asesorar a la víctima a la atención psicológica integral y continuada. 5. Asesorar a la víctima a la orientación jurídica. 6. Elaborar la valoración psicológica de la víctima, con la finalidad de recopilar la información de los hechos reportados, identificación del examen mental, factores de vulnerabilidad y su respectiva sugerencia frente al caso.  7. Apoyar el traslado del reporte de caso a la dependencia competente para iniciar las acciones disciplinarias correspondientes. 8. Asesorar a los Consejos de Facultad y a vicerrectorías para exponer los reportes de casos trasladados para que sean revisados con perspectiva de género. 9. Asistir a las audiencias (internas y externas) a las cuales sea citada para la sustentación de la valoración psicológica realizada a la víctima. 10. Realizar seguimiento a las atenciones psicológicas prestadas a la víctima y solicitar informes de los avances obtenidos en la recuperación de la misma. 11. Apoyar en la revisión de las solicitudes realizadas por los diferentes ordenadores del gasto de la Universidad en relación al reporte por conductas que constituyan violencias basadas en género, las violencias sexuales o discriminación. 12. Realizar sensibilización desde del área psicológica para la firma de acta de buenas prácticas. 13.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14. Apoyar en la Recopilación, sistematización y garantizar la seguridad y confidencialidad de la información derivada de los reportes de caso. 15. Elaborar informes en los cuales se detalle los avances normativos que ha tenido la Universidad del Magdalena para el cumplimiento de la política CERO TOLERANCIA de casos de violencia de género y violencia sexual. 16. Apoyar en la Socialización protocolo de atención Protocolo Institucional para para la detección, prevención, atención y sanción de las violencias basadas en género, violencias sexuales y discriminación. 17. Apoyar en la Activación la red de apoyo de la víctima en los casos que sea necesario para trazar estrategias de protección y acompañamiento que contribuyan a la recuperación de la persona afectada. 18. Apoyar en la actualización del protocolo institucional para la prevención y atención de la violencia basada en género y violencia sexual. 19. Apoyar la creación del curso "Aprendamos sobre violencia de género" en el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</si>
  <si>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OPSP-VAD-0865-2023</t>
  </si>
  <si>
    <t>La presente orden tiene por objeto: 1. Apoyar en la conducción  del Magazín 'Rutas para avanzar' transmitido por Unimagdalena Radio. 2. Apoyar la reportería con las dependencias que generen información útil para el programa.3. Apoyar las transmisiones en vivo y en directo de los eventos y franjas de la Emisora Cultural. 4. Apoyar en la elaboración de las bases de datos de funcionarios estatales y privados que puedan ser consultados en el espacio de la Emisora. 5. Apoyar en la realización del programa Unimagdalena Radio al barrio.6. Apoyar en la redacción de documentos institucionales que se requieran.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</si>
  <si>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OPSP-VAD-0866-2023</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</si>
  <si>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</si>
  <si>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OAG-VAD-0867-2023</t>
  </si>
  <si>
    <t xml:space="preserve">MERCEDES SANTRICH MANJARRES </t>
  </si>
  <si>
    <t>La presente orden tiene por objeto: 1. Apoyar en la creación de cuentas en el SIGEP. 2. Apoyar en la verificación de la documentación contractual de los contratistas del Centro de Postgrados y Formación Continúa en el SIGEP. 3. Apoyar en la aprobación y cargue de contratos en la plataforma de SIGEP II. 4. Apoyar registrando en la plataforma SECOP I y SECOP II, la contratación del Centro de Posgrados y Formación Continua. 5. Apoyar en el cargue en la plataforma SECOP I y II toda la información requerida de soportes de pagos de contratos rendidos en dicha plataforma. 6. Apoyar en la elaboración de todos los informes referentes a la plataforma SECOP I y II. 7. Apoyar en las decargas de comprobantes de egresos del SINAP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</si>
  <si>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OPSP-VAD-0868-2023</t>
  </si>
  <si>
    <t>La presente orden tiene por objeto: 1. Apoyar en la organización y construción de propuestas de Formación Continua. 2. Apoyar en la elaboración de presupuestos para los diplomados creados. 3. Apoyar en la revisión de viabilidad presupuestal de los diplomados a ofertarse. 4. Apoyar en la coordinación Administrativa de los diplomados. 5. Apoyar en la Coordinación al equipo Academico y financiero que se requieran para la adecuada implementación del Diplomado. 6. Apoyar en la revisión del cronograma de trabajo presentado por el equipo, que incluye actividades, productos y pagos. 7. Apoyar en la verificación de tramites para el recaudo. 8. Apoyar en la logística de lanzamientos de Diplomados. 9. Apoyar en la realización de trámites para la elaboración de las actas e impresión de los certificados de los participantes que cumplieron con los requisitos del Diplomado. 10. Apoyar en la verificación del cumplimiento de los procedimientos, diseñados para el óptimo funcionamiento del Diplomado. 11. Apoyar en la elaboración de informes referentes a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</si>
  <si>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OPSP-VAD-0869-2023</t>
  </si>
  <si>
    <t>La presente orden tiene por objeto: 1. Apoyar al Centro de Posgrados y Formación Continua en articulación con la Oficina de Aseguramiento de la Calidad y las Facultades los procesos de creación, modificación y renovación de los registros calificados de los programas de posgrados de la Facultad de Ingeniería. 2. Apoyar en los Cargues de programas ante la plataforma SACES del Ministerio de Educación en articulación con la Oficina Aseguramiento de la Calidad. 3. Apoyar en la logística de los eventos académicos, actividades de autoevaluación y planes de mejoramiento de los programas de posgrados. 4. Apoyar en la redacción y presentación de los informes de autoevaluación, de los programas de posgrados asignados con las evidencias correspondientes. 5. Apoyar en la asistencia a reuniones programadas por la oficina de Aseguramiento de la Calidad, las Facultades y el Ministerio de Educación correspondiente a procesos de autoevaluación, capacitaciones y socializaciones con respecto a la normatividad vigente. 6. Apoyar en la recopilación y organización de las evidencias y demás documentos que requieran los informes de autoevaluación (consulta a páginas del gobierno nacional, planes de gobierno, planes de acción, SNIES, observatorio laboral, normatividad interna ). 7. Apoyar en los procesos de calidad, matriz de riesgos de los programas del Centro de Posgrados. 8. Apoyar en los procesos Logisticos y administrativos de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</si>
  <si>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OAG-VAD-0870-2023</t>
  </si>
  <si>
    <t>La presente orden tiene por objeto: 1. Apoyar en el desarrollo de actividades de los programas de promoción de hábitos y estilo de vida saludable. 2. Apoyar la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</si>
  <si>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OPSP-VAD-0871-2023</t>
  </si>
  <si>
    <t>La presente orden tiene por objeto: 1. Elaborar solicitud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</si>
  <si>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OPSP-VAD-0872-2023</t>
  </si>
  <si>
    <t>FELIX ANTONIO CASTRO VILLEGAS</t>
  </si>
  <si>
    <t>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</si>
  <si>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OPSP-VAD-0873-2023</t>
  </si>
  <si>
    <t>OPSP-VAD-0874-2023</t>
  </si>
  <si>
    <t>La presente orden tiene por objeto: 1. Apoyar en lo relativo a la gestoría de cobranza y recuperación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de la alma mater. 2. Apoyar en la atención al público con cartera morosa en cobro pre jurídico y/o jurídico. 3. Apoyar en la elaboración de volantes de consignación para el pago de las cuotas mensuales (recaudo vigencias anteriores. 4.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5. Apoyar en la elaboración y verificación de la suscripción de los acuerdos de pago que se logre con los deudores y codeudores y en el seguimiento. 6. Apoyar en la actualización de datos de contacto de los deudores y codeudores que logre consolidar y reportarlos a UNIMAGDALENA. 7. Apoyar en la expedición de certificaciones relacionadas con las obligaciones cobradas y requeridas por los deudores y/o codeudores. 8. Apoyar en el diagnostico y reportar de los créditos que no pudo recuperar. 9. Apoyar en la Ejecución de los Procedimientos COGUI relacionadas con las actividades desarrolladas. 10. Apoyar en la realización de informes detallados del resultado y conclusiones de la cobranza realizada, los convenios de pago firmados y las demandas presentadas, donde se incluirá una relación de los tramites adelantados indicando en qué estado se encuentra cada cobro, convenio o proceso presentado.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</si>
  <si>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OAG-VAD-0875-2023</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</si>
  <si>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</si>
  <si>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OPSP-VAD-0876-2023</t>
  </si>
  <si>
    <t>OPSP-VAD-0877-2023</t>
  </si>
  <si>
    <t>La presente orden tiene por objeto: 1. Elaborar solicitud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</si>
  <si>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OPSP-VAD-0878-2023</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</si>
  <si>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</si>
  <si>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OPSP-VAD-0879-2023</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</si>
  <si>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</si>
  <si>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OAG-VAD-0880-2023</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</si>
  <si>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la realización de solicitudes y seguimiento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</si>
  <si>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OAG-VAD-0881-2023</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</si>
  <si>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</si>
  <si>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OPSP-VAD-0882-2023</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</si>
  <si>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</si>
  <si>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OAG-VAD-0883-2023</t>
  </si>
  <si>
    <t>La presente orden tiene por objeto: 1. Apoyar el registro de estudiantes en AyRE, la atención y solución a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organización los documentos requeridos para grado 5. Apoyar en la vigilancia del cumplimiento de las actividades académicas en las distintas plataformas virtuales en los centros tutoriales de Aguachica, Fundación, Magangué y El Banco con el firme propósito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</si>
  <si>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OPSP-VAD-0884-2023</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</si>
  <si>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</si>
  <si>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OPSP-VAD-0885-2023</t>
  </si>
  <si>
    <t>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en la revisión de la información contractual cargada en las plataformas del SIA OBSERVA- Auditoria, SIGEP II SECOP I y II. 7. Apoyar el cargue de información precontractual, contractual y poscontractual en las plataformas del SIA OBSERVA y SECOP II de todos los procesos de contratación que adelante la Universidad a través de la Vicerrectoría Administrativa y la Dirección Administrativa.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</si>
  <si>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OPSP-VAD-0886-2023</t>
  </si>
  <si>
    <t>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de Extensión y Proyección Social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de Extensión y Proyección Social. 8.Cumplir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</si>
  <si>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OPSP-VAD-0887-2023</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</si>
  <si>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así como en la publicación en PAGINA INSTITUCIONAL. 4. Apoyar a la Oficina de Control Interno en la revisión, análisis y elaboración de informe de Evaluación a la Gestión Contractual trimestral. 5. Apoyar a la Oficina de Control Interno en la elaboración de informe de seguimiento al estado de las PQRS recibidas por la Universidad con periodicidad semestral 6. Apoyar a la Oficina de Control Interno en el estudio, evaluación y emisión de conceptos que le sean requeridos, en el análisis respuesta de posibles PQRS y en el seguimiento al cumplimiento de los requerimientos. 7. Asesorar a la Oficina de Control Interno en la planificación del control interno y en el seguimiento y verificación del sistema de control interno, en la identificación de riesgos y de acciones de mejora a los diferentes responsables de procesos en el marco de las actividades desarrolladas. 8. Apoyar a la Oficina de Control Interno en la elaboración y documentación de informes internos y para los órganos de control. 9. Apoyar a la Oficina de Control Interno en la custodia y actualización de los productos que se deriven de las actividades integrales del proceso.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</si>
  <si>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OPSP-VAD-0888-2023</t>
  </si>
  <si>
    <t>FREDY RAFAEL AVILA MACIAS</t>
  </si>
  <si>
    <t>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los Seguimientos del área financiera, contable y presupuestal contemplados en el PAI. 4. Apoyar a la Oficina de Control Interno en el seguimiento al cumplimiento a la rendición de cuentas por parte de la Dirección Financiera y Grupos Internos en las plataformas SFTP de la DIARI - CGR, CHIP de la CGN, SIA Contralorías de la CGDM. 5. Asesorar a la Oficina de Control Interno en la planificación del control interno y en el seguimiento y verificación del sistema de control interno y sistema de control interno contable, en la identificación de riesgos y de acciones de mejora a los diferentes responsables de procesos en el marco de las actividades desarrolladas. 6. Apoyar a la Oficina de Control Interno en la elaboración y documentación de informes internos y para los órganos de control. 7.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</si>
  <si>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OPSP-VAD-0889-2023</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</si>
  <si>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</si>
  <si>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OPSP-VAD-0890-2023</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</si>
  <si>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</si>
  <si>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GILBERTO MONTOYA</t>
  </si>
  <si>
    <t>OPSP-VAD-0891-2023</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</si>
  <si>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generación y administración del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</si>
  <si>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OPSP-VAD-0892-2023</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</si>
  <si>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</si>
  <si>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OPSP-VAD-0893-2023</t>
  </si>
  <si>
    <t>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</si>
  <si>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OAG-VAD-0894-2023</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</si>
  <si>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 así como verificación de la conectividad y el estado de los conectores y cables en los espacios academicos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e intervenir en la infraestructura de soporte audiovisual de las areas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</si>
  <si>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OPSP-VAD-0895-2023</t>
  </si>
  <si>
    <t>OPSP-VAD-0896-2023</t>
  </si>
  <si>
    <t>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</si>
  <si>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OPSP-VAD-0897-2023</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</si>
  <si>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Apoyar en el análisis y clasificación de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</si>
  <si>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OAG-VAD-0898-2023</t>
  </si>
  <si>
    <t>La presente orden tiene por objeto: 1. Apoyar al Grupo Interno de Servicios Generales en la atención a los usuarios a traves de los diferentes canales de comunicación disponibles. 2. Apoyar al GSG en los registros de los mantenimientos, consumo de combustibles, agua del campus y sus sedes alternas; vehículos solicitados y salidas de practicas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</si>
  <si>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OPSP-VAD-0899-2023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</si>
  <si>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la articulación entre Bienestar universitario y todos los programas académicos de la Facultad de Ciencias Empresariales y Económicas. 3. Apoyar a la Dirección de Bienestar Universitario en el seguimiento de los casos de estudiantes y docentes con dificultades reportados por la Facultad de Ciencias Empresariales y Económicas. 4. Apoyar a la Dirección de Bienestar Universitario en la implementación de estrategias de promoción de los servicios y actividades de Bienestar Universitario en la Facultad de Ciencias Empresariales y Económicas.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Empresariales y Económicas, en eventos académicos, científicos, artísticos, culturales y deportivos que programe la institución. 8. Apoyar a la Dirección de Bienestar Universitario en la atención a través de los diferentes canales de comunicación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</si>
  <si>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OPSP-VAD-0900-2023</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</si>
  <si>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garantizar el buen uso de los mismos. 9. Apoyar en el proceso de supervisión en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</si>
  <si>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OPSP-VAD-0901-2023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</si>
  <si>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en la verificación del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</si>
  <si>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OAG-VAD-0902-2023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</si>
  <si>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en la convocatoria y afianzamiento de la articulación entre Bienestar Universitario y los estudiantes padres y madres cabeza de hogar. 3. Apoyar la coordinación de la implementación de estrategias de promoción de los servicios y actividades de Bienestar Universitario con los estudiantes padres y madres cabeza de hogar de la Universidad del Magdalena. 4. Apoyar en el desarrollo de las rutas de atención, acompañamiento y sensibilización hacia la comunidad universitaria que permita mejorar la inclusión y permanencia de los estudiantes padres y madres cabeza de hogar. 5. Diligenciar oportunamente todos los formatos establecidos por Bienestar Universitario en el Sistema de Gestión de la Calidad.  6. Entregar oportunamente informes, con soportes estadísticos de las actividades realizadas.  7. Apoyar a la Dirección de Bienestar Universitario en el registro, actualización y almacenamiento de información. 8. Apoyar en la planeación y ejecución de las actividades realizadas en Centro de Atención Integral a la Infancia. 9. Apoyar en la realización de eventos académicos, culturales, deportivos y artísticos de la dirección de Bienestar Universitario dirigidos a la comunidad universitaria.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</si>
  <si>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OPSP-VAD-0903-2023</t>
  </si>
  <si>
    <t>La presente orden tiene por objeto: 1.Presentar semestralmente plan de trabajo de actividades a desarrollar, detallando objetivos, fechas, metodología, metas, indicadores acordes con las directrices impartidas por el Director de Bienestar y el coordinador (a) del área que dé respuesta a las actividades para las cuales fue contratada.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Apoyar a la Dirección de Bienestar Universitario en la implementación de estrategias de promoción de los servicios y actividades de Bienestar Universitario en la Facultad de Ingeniería.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Ingeniería,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</si>
  <si>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OPSP-VAD-0904-2023</t>
  </si>
  <si>
    <t>La presente orden tiene por objeto: 1. Apoyar la atención a los usuarios que requieran los servicios de la dependencia a través de los diferentes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</si>
  <si>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OPSP-VAD-0905-2023</t>
  </si>
  <si>
    <t>La presente orden tiene por objeto: 1. Apoyar en actividades de promoción y mantenimiento de la salud a la comunidad universitaria. 2. Apoyar en la atención básica, oportuna y adecuada a los estudiantes que requieran el servicio de orientación psicologíca.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las distintos servicios de Bienestar. 7. Apoyar al supervisor en la actualización del inventario de los equipos de oficina y garantizar el buen uso de los mismos. 8. Apoyar en la atención, seguimiento y control a través de medios tecnologicos,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</si>
  <si>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OAG-VAD-0906-2023</t>
  </si>
  <si>
    <t>La presente orden tiene por objeto: 1. Apoyar en el desarrollo de las actividades de la Vicerrectoría Académica, relacionadas con los Procedimientos GA-P11; GA-P13; GA-P17; GA-P18 y GA-P19 del Comité Interno de Asignación y Reconocimiento de Puntaje -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</si>
  <si>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OPSP-VAD-0907-2023</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</si>
  <si>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</si>
  <si>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OPSP-VAD-0908-2023</t>
  </si>
  <si>
    <t>OAG-VAD-0909-2023</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</si>
  <si>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eléctricos, vehículos institucionales, ascensores, soldadura, cerrajería, polarizados, lavado de albercas, carpintería en madera y plantas eléctricas.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</si>
  <si>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OAG-VAD-0910-2023</t>
  </si>
  <si>
    <t>La presente orden tiene por objeto: 1. Apoyar la infraestructura tecnológica en la instalación, mantenimiento y soporte en las redes de la Institución. 2. Apoyar al grupo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</si>
  <si>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OPSP-VAD-0911-2023</t>
  </si>
  <si>
    <t>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Vicerrectoria Administrativa. 6. Apoyar en el seguimiento a procesos contractuales en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Parágrafo Tercero: En caso de que el contratista deba desplazarse para el cumplimiento de las actividades objeto de la presente orden, la Universidad reconocerá los gastos de desplazamiento, alojamiento y demás a que haya lugar, previa aprobación por parte del Supervisor.</t>
  </si>
  <si>
    <t>OAG-VAD-0912-2023</t>
  </si>
  <si>
    <t>La presente orden tiene por objeto: 1. Apoyar en la escritura de guiones para los productos audiovisuales de CETEP 2. Apoyar en la escritura de narrativas de las experiencias de aprendizaje de CETEP 3. Apoyar en la producción de videos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</si>
  <si>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OAG-VAD-0913-2023</t>
  </si>
  <si>
    <t>La presente orden tiene por objeto: 1. Apoyar en la grabación de imágenes para las producciones audiovisuales del CETEP. 2. Apoyar en el registro fotográfico para las producciones multimedia del CETEP. 3. Apoyar en la edición y postproducción de materiales audiovisuales requeridos por el CETEP. 4. Apoyar en el acompañamiento a docente en la realización de objetos virtual de aprendizaje (OVA). 5. Apoyar en la elaboración de motion graphics para contenidos de video elaborados en el CETEP. 6. Apoyar en la posproducción de imagenes y sonido, para videos y podcast. 7. Apoyar en la elaboración de contenidos y procesos de redes de Cetep y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</si>
  <si>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OAG-VAD-0914-2023</t>
  </si>
  <si>
    <t>La presente orden tiene por objeto: 1. Asesorar en la formulación de políticas, planes y proyectos tendientes a la promoción, coordinación y desarrollo del programa de Derecho. 2. Apoyar en la revisión y cumplimiento de los objetivos y normas de la Universidad en el programa de Derecho, de conformidad con el Proyecto Educativo Institucional y el Plan de Desarrollo. 3. Apoyar a la gestión al grupo de investigación del Programa de Derecho. 4. Asesorar a los estudiantes del Consultorio Jurídico y Centro de Conciliación que se encuentran designados en la sede de Bienestar Universitario de la Universidad del Magdalena en los casos de su competencia en las diferentes áreas del derecho: Publico, Civil, Comercial, Penal, Laboral, Familia y Derechos Humanos. 5. Asesorar en las actividades y funcionamiento del programa de Derecho, teniendo en cuenta el desarrollo académico, científico, humanístico y cultural. 6. Asesorar en el análisis, la discusión y la formulación de propuestas entre los docentes para el mejoramiento del currículo, las metodologías, las técnicas y los instrumentos de trasmisión del conocimiento. 7. Apoyar en el cumplimiento de las responsabilidades de los docentes del programa de Derecho.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</si>
  <si>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OAG-VAD-0915-2023</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</si>
  <si>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</si>
  <si>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OAG-VAD-0916-2023</t>
  </si>
  <si>
    <t>OPSP-VAD-0917-2023</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</si>
  <si>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</si>
  <si>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OPSP-VAD-0918-2023</t>
  </si>
  <si>
    <t>La presente orden tiene por objeto: 1. Apoyar en la asesoria de todo lo referente al diseño y publicidad para el mejoramiento de la imagen del Centro de Posgrados y Formación Continua. 2. Apoyar en la elaboración de todo lo referente a la identidad corporativa del Centro de Posgrados y Formación Continua. 3. Apoyar en la realización de todo lo referente al diseño del arte gráfico de los programas del Centro de Posgrados y Formación Continua. 4. Apoyar en la creación de los diseños de la publicidad de los programas existentes y de los nuevos programas del Centro de Posgrados y Formación Continua. 5. Apoyar en la realización de los intros interactivos de los cursos virtuales. 6. Apoyar en el diseño de las actividades interactivas de los materiales de estudio de todos los módulos de los programas virtuales. 7. Apoyar en la creación de todos los diseños de la publicidad sobre el Diseño web y de apps. 8. Apoyar en la realización de todas la creaciones de las animaciones 2D y 3D con referencia de los programas existentes y de los nuevos programas del Centro de Posgrados y Formación. Continua. 9. Apoyar los procesos de publicidad y mercadeo o al equipo designado para tal fin.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</si>
  <si>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OPSP-VAD-0919-2023</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</si>
  <si>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practicas profesionales y reliquidacion de matricula de casos especiales. 9.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</si>
  <si>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OPSP-VAD-0920-2023</t>
  </si>
  <si>
    <t>La presente orden tiene por objeto: 1. Apoyar en la revisión y autoevaluación de los estándares de habilitación de los servicios de salud para el fortalecimiento de los procesos de la Dirección de Bienestar Universitario. 2. Apoyar y hacer seguimiento a los procesos que se deriven de la habilitación de los servicios de salud, de acuerdo a lo establecido en la Resolución N‘ 3100 de 2019 del Ministerio de Salud y Protección Social. 3. Apoyar con la verificación del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a los miembros de la comunidad Universitaria que requieran Información sobre los servicios de Bienestar Universitario a través de los canales de comunicación disponibles. 7. Apoyar a la Dirección de Bienestar Universitario, en la recolección de información del Instrumento de gestión PGIRASA  encargado de la gestión integral de los residuos generados en la atención en salud. 8 Apoyar al supervisor en la actualización del inventario de los equipos e insumos de oficina y de salud para garantizar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</si>
  <si>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OAG-VAD-0921-2023</t>
  </si>
  <si>
    <t>La presente orden tiene por objeto: 1. Apoyar la apertura, entrega y cierre del Laboratorio de Edición, sala de Realización, langosta azul, audiencias, Animación.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</si>
  <si>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OPSP-VAD-0922-2023</t>
  </si>
  <si>
    <t>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</si>
  <si>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OAG-VAD-0923-2023</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</si>
  <si>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el sistema SIJA. 6. Apoyar las estrategias de promoción, difusión y divulgación de los servicios y actividades de Bienestar. 7. Apoyar en la atención a los miembros de la comunidad Universitaria que requieran información sobre las distintas áreas de Bienestar a través de los diferentes canales de comunicación disponibles.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</si>
  <si>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OAG-VAD-0924-2023</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</si>
  <si>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mismos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la realización de labores de depuración y conciliación de financiamiento de matricula de las distintas modalidades de estudio. 16. Apoyar en la elaboración de informes de cartera por financiamiento de matricula de los distintos programa de las Facultades. 17.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</si>
  <si>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OPSP-VAD-0925-2023</t>
  </si>
  <si>
    <t>DANIELA MARIA FERNANDEZ NORIEGA</t>
  </si>
  <si>
    <t>La presente orden tiene por objeto realizar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las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</si>
  <si>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OPSP-VAD-0926-2023</t>
  </si>
  <si>
    <t>La presente orden tiene por objeto: 1. Brindar asesoría y orientación en materia jurídica en el área de contratación de los proyectos que estén a cargo del Vicerrector de Extensión y Proyección Social. 2. Prestar asesoría jurídica contractual en los procesos de licitación y/o convocatorias en los que se presente o sea invitada la Vicerrectoría de Extensión y Proyección Social. 3. Asesorar y Apoyar jurídicamente los procesos precontractuales, contractuales y pos contractuales de los proyectos de la Vicerrectoría de Extensión y Proyección Social. 4. Fundamentar jurídicamente la elaboración y revisión de los actos administrativos que se requiera expedir por el Despacho del Vicerrector de Extensión y Proyección Social en virtud de delegaciones Administrativas. 5. Asesorar, asistir, apoyar y resolver jurídicamente consultas en materia contractual, que le sean solicitadas por parte del Rector, el Vicerrector de Extensión y Proyección Social y la Oficina Asesora Jurídica de la UNIMAGDALENA. 6. Elaborar minutas para contratos, convenios, procesos de convocatorias y demás que requiera UNIMAGDALENA y que sean solicitados por el Rector, la Vicerrectoría de Extensión y Proyección Social y/o por la Oficina Asesora Jurídica de la Universidad. 7. Proyectar los conceptos jurídicos que tengan relación con el ámbito de competencia de la Vicerrectoría de Extensión y Proyección Social. 8. Proyectar respuestas a peticiones, tutelas y demás que requiera la Vicerrectoría de Extensión y Proyección Social. 9. Realizar la revisión jurídica contractual a las órdenes y/o contratos de servicios profesionales, apoyo a la gestión, compra, suministro y demás que se generen en la Vicerrectoría de Extensión y Proyección Social de conformidad con el Estatuto de Contratación de la Universidad. 10. Emitir conceptos jurídicos sobre los asuntos sometidos a su consideración. En el caso que las consultas y/o conceptos se deban entregar por escrito, éstos deberán ser rubricados por el contratista. 11. Asistir a las reuniones a las que sea convocado por el Despacho del Vicerrector de Extensión y Proyección Social, previo acuerdo e información por parte del Supervisor de la orden. 12. Revisar pólizas para su respectiva aprobación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</si>
  <si>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OAG-VAD-0927-2023</t>
  </si>
  <si>
    <t>OAG-VAD-0928-2023</t>
  </si>
  <si>
    <t>OPSP-VAD-0929-2023</t>
  </si>
  <si>
    <t>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</si>
  <si>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OPSP-VAD-0930-2023</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</si>
  <si>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</si>
  <si>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OAG-VAD-0931-2023</t>
  </si>
  <si>
    <t>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docentes en la realización de objetos virtuales de aprendizaje (OVA). 5. Apoyar en la grabación y postproducción de podcast para producciones del CETEP. 6. Apoyar en la elaboración de motion graphics para contenidos de video elaborados en 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</si>
  <si>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OPSP-VAD-0932-2023</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</si>
  <si>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la coordinación de cursos virtuales en la plataforma de Bloque 10. 8. Revisar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</si>
  <si>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OPSP-VAD-0933-2023</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</si>
  <si>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que la Dirección del CETEP le traslade. 5. Apoyar las actividades de formación de los usuarios en sus diferentes roles, sobre el uso de la plataforma. 6. Apoyar la Dirección del CETEP para la activación de usuarios y cursos en la plataforma. 7. Apoyar la Dirección del CETEP, la estructuración de las políticas de seguridad de las TIC y/o Propiedad Intelectual conforme a las necesidades, procedimientos y estándares existentes e informar la existencia de anomalías en las actividades de la plataforma. 8. Asesorar a la Dirección del CETEP para establecer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</si>
  <si>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OAG-VAD-0934-2023</t>
  </si>
  <si>
    <t>La presente orden tiene por objeto: 1. Apoyar en la realización de motion graphics para las piezas audiovisuales. 2. Apoyar en la realización de infografías. 3. Apoyar el desarrollo de propuesta creativa para los materiales gráficos y audiovisuales del CETEP. 4. Apoyar a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</si>
  <si>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OPSP-VAD-0935-2023</t>
  </si>
  <si>
    <t>La presente orden tiene por objeto: 1. Emitir los conceptos y resolver las consultas de tipo jurídico en todas las áreas del derecho que le sean solicitados. 2. Prestar Asesoría y apoyar en la revisión de los documentos precontractuales y contractuales que le sean trasladados de los procesos de contratación adelantados por UNIMAGDALENA. 3. Apoyar con la revisión en la plataforma del GEDOCO y SIGEP II de los documentos precontractuales necesarios para la elaboración de órdenes de servicios profesionales y de apoyo a la gestión de la Vicerrectoría Administrativa y/o Dirección Administrativa.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al Grupo de Contratación con la proyección de las respuestas a las peticiones que le sean trasladadas, con el fin que las mismas se resuelvan dentro de los plazos y/o términos establecidos en la Ley. 6. Apoyar el cargue de información precontractual, contractual y poscontractual en las plataformas del SIA OBSERVA y SECOP II de todos los procesos de contratación que adelante la Universidad a través de la Vicerrectoría Administrativa y la Dirección Administrativa. 7. Apoyar la elaboración de Certificados contractuales solicitados por los diferentes usuarios. 8. Proyectar y apoyar en la revisión de minutas de órdenes, contratos, actas de suspensión, reinicio, otrosí, actas finales, de terminación y liquidación. 9. Apoyar en la revisión de los formatos de recibido a satisfacción para tramites de pago de honorarios de los contratistas por prestación de servicios profesionales y de apoyo a la gestión de la vicerrectoría y/o dirección administrativa. 10. Apoyar en la verificación que el pago que realicen los contratistas al sistema de seguridad social en ejecución de las órdenes de prestación de servicios profesionales y de apoyo a la gestión corresponda a lo establecido en la Ley. 11. Apoyar en la revisión de la información contractual cargada en las plataformas del SIA OBSERVA- Auditoria, SIGEP II SECOP I y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</si>
  <si>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OAG-VAD-0936-2023</t>
  </si>
  <si>
    <t>OAG-VAD-0937-2023</t>
  </si>
  <si>
    <t>OPSP-VAD-0938-2023</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</si>
  <si>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los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del 2021 .10. Apoyar a la Dirección de Desarrollo Estudiantil en los procesos de admisión y de inducción de los estudiantes que ingresan 2023-II.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</si>
  <si>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OPSP-VAD-0939-2023</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</si>
  <si>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Acompañar el proceso de organización logística de eventos de las fuentes asignadas, asistir a reuniones preparatorias, elaborar libretos de presentación, órdenes del día y precedencias. 7. Realizar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</si>
  <si>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OPSP-VAD-0940-2023</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</si>
  <si>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contratada. 2. Asesorar y apoyar a la Dirección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2023-II 10. Elaborar de informes de la caracterización de factores de riesgo psicosociales y académicos en estudiantes nuevos durante la vigencia de 2023-II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2023-II.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</si>
  <si>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OPSP-VAD-0941-2023</t>
  </si>
  <si>
    <t>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</si>
  <si>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OPSP-VAD-0942-2023</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</si>
  <si>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seguimiento y demás actividades que se deriven del Programa de Monitorias Académicas. 4. Apoyar en la elaboración de las actas de reuniones convocadas en el marco del Programa de Monitorias. 5. Apoyar con la revisión y atención del correo electrónico de monitorias académicas. 6. Apoyar en la atención a las inquietudes de estudiantes y docentes sobre el Proceso de monitorias. 6. Apoyar con el seguimiento al cumplimiento del reporte de horas por parte de los monitores en el sistema. 7. Apoyar en el proceso relacionado con el trámite de pagos de horas de monitorias y demás estímulos académicos y económicos a los que son beneficiarios los monitores académicos.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</si>
  <si>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OAG-VAD-0943-2023</t>
  </si>
  <si>
    <t>La presente orden tiene por objeto: 1. Apoyar la coordinación del área de idiomas en la atención al público en general, durante el período 2023-II. 2. Realizar promoción y divulgación de inscripciones y matriculas de cursos de idiomas, durante el período 2023-II. 3. Apoyar en la organización de la documentación y generar listados de estudiantes matriculados, durante el período 2023-II. 4.  Apoyar la organización de la prueba de clasificación para determinar el nivel de inicio de estudiantes nuevos, durante el período 2023-II. 5. Apoyar en el control adecuado de la entrega de material bibliográfico de apoyo a docentes y estudiantes de idiomas, durante el período 2023-II.  6. Apoyar en la aplicación de exámenes de suficiencia en inglés. 7. Presentar informes requeridos. 8. Apoyar el cargue de espacios en el SIARE, durante el período 2023-II.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2023-II. 14. Realizar informes sobre docentes, estudiantes, índices de deserción y de rendimiento examen de suficiencia.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</si>
  <si>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OPSP-VAD-0944-2023</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</si>
  <si>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</si>
  <si>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OAG-VAD-0945-2023</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</si>
  <si>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</si>
  <si>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OPSP-VAD-0946-2023</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</si>
  <si>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2023-2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2023-2 3. Apoyar en la revisión, elaboración y validación de los documentos precontractuales y contractuales de los contratos adelantados por la Vicerrectoría Académica de conformidad con el estatuto de contratación de la institución, durante el período 2023-2 4. Apoyar con la redacción de las actas de inicio, suspensión, reinicio, adición en valor, adición en plazo, adición en plazo y valor u otro sí modificatorio, y/o terminación de las órdenes de proveedores, durante el período 2023-2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2023-2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</si>
  <si>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OAG-VAD-0947-2023</t>
  </si>
  <si>
    <t>La presente orden tiene por objeto: 1. Presentar semestralmente plan de trabajo de actividades a desarrollar, detallando objetivos, fechas, metodología, metas, indicadores acordes con las directrices impartidas por el Director de Bienestar y el coordinador (a) del área que dé respuesta a las actividades para las cuales fue contratada. 2. Apoyar la articulación entre Bienestar universitario y todos los programas académicos de la Facultad de Salud. 3. Apoyar a la Dirección de Bienestar Universitario en el seguimiento de los casos de estudiantes y docentes con dificultades reportados por la Facultad de Salud. 4. Apoyar a la Dirección de Bienestar Universitario en la implementación de estrategias de promoción de los servicios y actividades de Bienestar Universitario en la Facultad de Salud. 5.Entregar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Salud,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</si>
  <si>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OPSP-VAD-0948-2023</t>
  </si>
  <si>
    <t>La presente orden tiene por objeto: 1. Prestar asesoría y resolver las consultas de tipo jurídico en todas las áreas del derecho que le sean solicitadas por parte de los miembros del Grupo de Facturación, Crédito y Cartera. 2. Proyectar respuesta a las peticiones que se le hagan y/o trasladen al Grupo de Facturación, Crédito y Cartera dentro de los plazos y/o términos establecidos en la Ley. 3. Compilar y actualizar las normas legales, de jurisprudencia doctrina y de los conceptos que tengan relación con el ámbito de competencia del Grupo de Facturación, Crédito y Cartera. 4. Proyectar los acuerdos de pago de los estudiantes que presentan mora en los créditos educativos de todas las modalidades, y deudas por servicios de prestados a los estudiantes distintos a matricula; hacer el seguimiento para el cumplimiento del pago de las cuotas pactadas y rendir informes mensuales sobre tal actividad. 5. Apoyar con la atención a los usuarios que requieran los servicios del Grupo de Facturación, Crédito y Cartera a través de los diferentes canales disponibles. 6. Apoyar con la recepción, revisión, verificación, confirmación y aprobación de solicitudes de créditos. 7. Apoyar en la recepción, organización y registro de los documentos soporte del desarrollo de las actividades para que reposen en el archivo físico y digital del Grupo de Facturación, Crédito y Cartera. 8. Apoyar en la elaboración de volantes de consignación para el pago de las cuotas mensuales de los estudiantes beneficiarios de créditos del Grupo de Facturación, Crédito y Cartera. 9. Apoyar en la elaboración de volantes que soliciten los estudiantes para: Readmisión, Autenticaciones, Excedentes de matrículas, Excedentes de derechos de grado, Examen de suficiencia, Inscripciones, Actitud ocupacional, Insumos de clínica odontológica, y fondos. 10. Apoyar con el ingreso de los pagos realizados a los créditos del Grupo de Facturación, Crédito y Cartera. 11. Apoyar con la realización de llamadas telefónicas y envío de correos electrónicos para gestión de cobros de las deudas de créditos que poseen los deudores y codeudores en las diferentes modalidades (Presencial, CREO, Posgrados y Diplomados) según el formato establecido para el control de las llamadas. 12. Realizar mensualmente un informe detallado del proceso de gestión de cobro de los créditos otorgados a los estudiantes que le sean encomendados. 13. Apoyar con la expedición de paz y salvos y constancia de deudas de los estudiantes con créditos y así mismo actualizar su estado financiero en el Sistema de Admisiones. 14. Apoyar con la aplicación de la encuesta de satisfacción del servicio en el proceso de créditos. 15. Apoyar con la recepción de pagos por Datafono, realizar el registro de estos y enviarlos a la Unidad de Tesorería para su recaudo. 16. Apoyar en el trámite de solicitudes de reembolso y cruces de cuentas de los estudiantes de las distintas modalidades (Presencial, CREO, Posgrados y Diplomados). 17. Apoyar la realización de eventos institucionales en los que se requiera financiamiento en la adquisición de servicios o productos como: Feria del libro, Feria Artesanal, Feria agrícola, Feria de postgrados 18. Apoyar en la atención al público beneficiarios de créditos con cartera en cobro pre jurídico y jurídico. 19. Apoyar en él envió de cobros prejurídico de obligaciones en mora a los correos electrónicos de los deudores y codeudores. 20. Rendir informes mensuales, sobre las actividades desarrolladas, en cumplimiento de la presente orden de prestación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</si>
  <si>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OPSP-VAD-0949-2023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</si>
  <si>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Apoyar a la Dirección de Bienestar Universitario en la implementación de estrategias de promoción de los servicios y actividades de Bienestar Universitario en la Facultad de Humanidades.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Humanidades,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</si>
  <si>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OAG-VAD-0950-2023</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</si>
  <si>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</si>
  <si>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OAG-VAD-0951-2023</t>
  </si>
  <si>
    <t>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a traves de los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</si>
  <si>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OAG-VAD-0952-2023</t>
  </si>
  <si>
    <t>La presente orden tiene por objeto: 1. Apoyar en la logística de eventos culturales que sean desarrollados por la Dirección de Bienestar Universitario.  2. Apoyar en la participación de eventos académicos, científicos, artísticos, culturales y deportivos dentro y fuera del lugar habitual de la ejecución de sus actividades. 3. Realizar el diligenciamiento oportuno de los formatos establecidos por Bienestar Universitario en el Sistema de Gestión de la Calidad. 4. Presentar informes que le sean requeridos con soportes estadísticos. 5.Apoyar en la atención de usuarios de manera presencial y/o virtual. 6. Apoyar en el préstamo de equipos, insumos, instrumentos y vestuarios a la coordinación de Cultura. 7. Apoyar en los procesos de selección por cupos especiales de Bachiller Artista según lo establecido en el Acuerdo Superior N.° 26 de 2017. 8. Apoyar en la planificación de eventos internos y/o externos que le sean solicitados a la Dirección de Bienestar Universitario. 8. Apoyar en la supervisión de los espacios culturales que se encuentren a cargo de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</si>
  <si>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OPSP-VAD-0953-2023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</si>
  <si>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Apoyar a la Dirección de Bienestar Universitario en la implementación de estrategias de promoción de los servicios y actividades de Bienestar Universitario en la Facultad de Educación.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Educación,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</si>
  <si>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OAG-VAD-0954-2023</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</si>
  <si>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</si>
  <si>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OPSP-VAD-0955-2023</t>
  </si>
  <si>
    <t>La presente orden tiene por objeto: 1. Apoyar en la gestión y seguimiento, hasta su finalización, del proceso de pago de las diferentes órdenes de gasto a cargo de la Vicerrectoría de Extensión y Proyección Social, cargados en las plataformas de control de convenios, contratos o figura jurídica que corresponda. 2. Realizar el diligenciamiento de las diferentes matrices de ejecución presupuestal y del Sistema de Información de la Vicerrectoría de Extensión y Proyección Social. 3. Consolidar información requerida como apoyo en la elaboración del informe financiero y plan de seguimiento de ejecución financiera con sus respectivos soportes. 4. Apoyar en la gestión requerida para la oportuna entrega de informes e insumos requeridos para las dependencias de la institución y entidades externas. 5. Apoyar en el trámite y seguimiento a la elaboración de las liquidaciones de los apoyos económicos de movilidad del personal contratado de la dependencia y de los viáticos de los servidores públicos (Docentes y administrativos). 6. Apoyar en la gestión de los requerimientos logísticos y de transporte para los diferentes equipos de trabajo de los convenios, contrato o figura jurídica que corresponda, al igual que a los diferentes funcionarios de Vicerrectoría de Extensión y Proyección Social, registrándolos en la matriz que corresponda, y en el sistema de información de la Vicerrectoría de Extensión y Proyección Social. 7. Elaborar y presentar oportunamente los informes mensuales o cuando el supervisor así lo requiera, sobre las actividades desarrolladas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</si>
  <si>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OPSP-VAD-0956-2023</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</si>
  <si>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</si>
  <si>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OAG-VAD-0957-2023</t>
  </si>
  <si>
    <t>La presente orden tiene por objeto: 1. Prestar asesoría en la planificación del manejo administrativo del Centro de transferencia en salud (sexto piso del Hospital). 2. Apoyar en el desarrollo, implementación y realización del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Apoyar en la planificación y desarrollo del plan de prevención, preparación ante emergencias y análisis de vulnerabilidad del Centro de transferencia en salud (sexto piso del Hospital). 6. Apoyar en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</si>
  <si>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OAG-VAD-0958-2023</t>
  </si>
  <si>
    <t>La presente orden tiene por objeto: 1. Apoyar en la Formulación de planes de operación de la Sala Amiga de la Familia Lactante. 2. Apoyar en la aplicación de instrumentos de chequeo con base en la Res.2423/2018.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</si>
  <si>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OAG-VAD-0959-2023</t>
  </si>
  <si>
    <t>OAG-VAD-0960-2023</t>
  </si>
  <si>
    <t>OPSP-VAD-0961-2023</t>
  </si>
  <si>
    <t>La presente orden tiene por objeto: 1. Asesorar en la proyección, ejecución y control de procesos de la gestión administrativa. 2. Asesorar y apoyar en la planificación de actividades de seguimiento y control relativas a la gestión administrativa. 3. Asesorar a la Dirección Administrativa en la elaboración y presentación de informes relacionados con la gestión administrativa. 4. Asesorar y apoyar en la formulación y evaluación de proyectos e iniciativas de gestión administrativa. 5. Apoyar en la formulación y seguimiento de proyectos de Plan de Acción a cargo de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</si>
  <si>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OPSP-VAD-0962-2023</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</si>
  <si>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</si>
  <si>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OPSP-VAD-0963-2023</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</si>
  <si>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</si>
  <si>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OPSP-VAD-0964-2023</t>
  </si>
  <si>
    <t>LAURA PAOLA GARCIA GONZALEZ</t>
  </si>
  <si>
    <t>La presente orden tiene por objeto: 1. Realizar el programa “'Aprendiendo con Unimagdalena Radio" 2. Elaborar campañas y estrategias para impactar en la comunidad estudiantil. 3. Apoyar la elaboración de estrategias digitales para las Redes Sociales de Unimagdalena Radio. 4. Apoyar al aire la realización de 'Desde el Campus Al Aire' que se emite de Lunes a Viernes de 7 a 8 de la mañana. 5. Apoyar en las transmisiones en vivo y en directo de los eventos de la Emisora Cultural. 6. Apoyar las transmisiones o cubrimiento de eventos a través de las redes sociales y al aire. 7. Apoyar la producción y edición de materiales sonoros institucionales. 8. Presentar eventos asignados desde la Dirección de Comunicaciónes. 9. Apoyar en la redacción de boletines institucionales. 10. Apoyar la transmisión del programa “La Revista”, que se emite a las 6 de la mañana. 11. Hacer reportería en las dependencias que generen información útil para la Emisora. 12. Apoyar en la realización del programa "En Conexión".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</si>
  <si>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OPSP-VAD-0965-2023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</si>
  <si>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Apoyar a la Dirección de Bienestar Universitario en la implementación de estrategias de promoción de los servicios y actividades de Bienestar Universitario en la Facultad de Ciencias Básicas.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Básicas,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</si>
  <si>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OAG-VAD-0966-2023</t>
  </si>
  <si>
    <t>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de los baños y cafetería con los suministros respectivo. 7. Apoyar al Grupo Interno de Compras y Administración de Bienes en el suministro de agua a todas las dependencias y eventos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</si>
  <si>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BETTY PATIÑO</t>
  </si>
  <si>
    <t>OPSP-VAD-0967-2023</t>
  </si>
  <si>
    <t>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por la cual fue contratada.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</si>
  <si>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OPSP-VAD-0968-2023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</si>
  <si>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</si>
  <si>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OAG-VAD-0969-2023</t>
  </si>
  <si>
    <t>La presente orden tiene por objeto: 1. Apoyar en el desarrollo de sistemas de informaciòn haciendo uso de frameworks backend Laravel y frameworks frontend como Angular, React o Vue. 2. Apoyar en el desarrollo de aplicaciones moviles con Flutter. 3. Apoyar en el desarrollo de animaciones CSS para sitios web. 4. Apoyar en el Desarrollo de landing pages para los proyectos que requiera el CETEP. 5. Apoyar en la implementaciòn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</si>
  <si>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OAG-VAD-0970-2023</t>
  </si>
  <si>
    <t>La presente orden tiene por objeto: 1. Apoyar en la participación de eventos académicos, científicos, artísticos, culturales y deportivos dentro y fuera del lugar habitual de la ejecución de sus actividades. 2. Apoyar al supervisor en la actualización del inventario de los equipos e insumos del Centro de Liderazgo y garantizar el buen uso de los mismos. 3. Apoyar en la supervisión de los espacios del centro de liderazgo. 4. Diligenciar oportunamente, los formatos del Proceso "Bienestar Universitario" del Sistema de Gestión de Calidad. 5. Presentar informes oportunamente al supervisor sobre las actividades desarrolladas, el informe debe tener como anexo las estadísticas sobre los servicios prestados, debidamente soportados y los formatos de registros respectivos.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</si>
  <si>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OAG-VAD-0971-2023</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</si>
  <si>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</si>
  <si>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OAG-VAD-0972-2023</t>
  </si>
  <si>
    <t>La presente orden tiene por objeto: 1. Apoyar en el diseño de piezas gráficas 2. Apoyar en la producción audiovisual multimedia 3. Apoyar en la parte logistica de grabaciones 4. Apoyar en las actividades de streaming.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</si>
  <si>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OPSP-VAD-0973-2023</t>
  </si>
  <si>
    <t>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 de pregrado presencial, virtual y distancia en la busqueda y analisis de los Indicadores.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</si>
  <si>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OPSP-VAD-0974-2023</t>
  </si>
  <si>
    <t>La presente orden tiene por objeto: 1. Apoyar la coordinación y supervisión de los programas de intercambios: “Conexión Global” "Doble Titulación" "Programa Semestre en el Exterior". 2. Apoyar la realización, Seguimiento y Promoción de las convocatorias. 3. Asesorias a estudiantes. 4. Apoyar el proceso de selección y postulación de estudiantes. 5. Apoyar el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</si>
  <si>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MARLA MAESTRE MEYER (ENCARGADA)</t>
  </si>
  <si>
    <t>OPSP-VAD-0975-2023</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</si>
  <si>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la coordinación de cursos virtuales en la plataforma de Bloque 10. 9. Apoyar en la asesoría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</si>
  <si>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OAG-VAD-0976-2023</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</si>
  <si>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</si>
  <si>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OAG-VAD-0977-2023</t>
  </si>
  <si>
    <t>OAG-VAD-0978-2023</t>
  </si>
  <si>
    <t>La presente orden tiene por objeto: 1. Apoyar en la atención al público en general.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 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</si>
  <si>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OPSP-VAD-0979-2023</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</si>
  <si>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</si>
  <si>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OAG-VAD-0980-2023</t>
  </si>
  <si>
    <t>La presente orden tiene por objeto: 1. Apoyar a la Oficina de Aseguramiento de la Calidad en las actividades logisticas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</si>
  <si>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OAG-VAD-0981-2023</t>
  </si>
  <si>
    <t>La presente orden tiene por objeto: 1. Apoyar en la recepción e ingreso de los niños y niñas al centro, así como la orientación de los padres en los servicios que se ofrecen 2. Apoyar en el cuidado de niños y niñas del centro de atención a la primera infancia. 3. Apoyar en la participación de eventos académicos, científicos, artísticos, culturales y deportivos dentro y fuera del lugar habitual de la ejecución de sus actividades. 4. Apoyar en la realización de los informes que se le soliciten para ser presentados en otras dependencias. 5.Diligenciar oportunamente todos los formatos establecidos por Bienestar Universitario en el Sistema de Gestión de la Calidad y otros procesos, para el registro de todas las actividades que se realicen. 6. Apoyar en las actividades lúdicas y recreativas del centro de atención a la primera infancia.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</si>
  <si>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OAG-VAD-0982-2023</t>
  </si>
  <si>
    <t>La presente orden tiene por objeto: 1. Apoyar con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Apoyar los eventos institucionales en los que se requiera financiamiento en la adquisión de servicios o productos como: Feria del libro, Feria Artesanal, Feria agricola, Feria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</si>
  <si>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OPSP-VAD-0983-2023</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</si>
  <si>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</si>
  <si>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OPSP-VAD-0984-2023</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</si>
  <si>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</si>
  <si>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OAG-VAD-0985-2023</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</si>
  <si>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</si>
  <si>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OAG-VAD-0986-2023</t>
  </si>
  <si>
    <t>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</si>
  <si>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OPSP-VAD-0987-2023</t>
  </si>
  <si>
    <t>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</si>
  <si>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OPSP-VAD-0988-2023</t>
  </si>
  <si>
    <t>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</si>
  <si>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OPSP-VAD-0989-2023</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</si>
  <si>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</si>
  <si>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OPSP-VAD-0990-2023</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</si>
  <si>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</si>
  <si>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OPSP-VAD-0991-2023</t>
  </si>
  <si>
    <t>La presente orden tiene por objeto: 1. Asesorar y apoyar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</si>
  <si>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OPSP-VAD-0992-2023</t>
  </si>
  <si>
    <t>La presente orden tiene por objeto: 1. Apoyar y en la identificación de los contribuyentes, y los agentes obligados a retener o exigir el pago del tributo. 2.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instruidas por la coordinación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</si>
  <si>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OAG-VAD-0993-2023</t>
  </si>
  <si>
    <t>La presente orden tiene por objeto: 1. Apoyar en la toma física de los inventarios por dependencia. 2. Apoyar en el diseño del sistema del control de bienes. 3 Apoyar en los procesos de recepción, codificación y almacenamiento de los bienes. 4. Apoyar en la creación de las bases de datos de los bienes. 5. Apoyar en los procesos de entrega de bienes de devolutivos. 6. Apoyar en la construcción de reportes en Power BI para el análisis de datos en la dependencia. 7. Apoyar en las actividades relacionadas con la baja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</si>
  <si>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OPSP-VAD-0994-2023</t>
  </si>
  <si>
    <t>La presente orden tiene por objeto: 1. Apoyar los procesos y actividades de extensión y proyección social de programa como festivales, exhibiciones, cine clubes, convenios, congresos. 2. Formular convocatorias de financiación para proyectos internos de programa. 3. Revisar cartas de autorización y cesión de derechos para obras de la VOD, y formalizar las películas que harán parte de la plataforma. 4. Asesorar y apoyar al área de comunicaciones del programa con la agenda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</si>
  <si>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OAG-VAD-0995-2023</t>
  </si>
  <si>
    <t>La presente orden tiene por objeto: 1. Apoyar a la Dirección de Bienestar Universitario en el registro, actualización y almacenamiento de información. 2. Archivar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</si>
  <si>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OAG-VAD-0996-2023</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</si>
  <si>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el sistema SIJA. 6. Apoyar las estrategias de promoción, difusión y divulgación de los servicios y actividades de Bienestar. 7. Apoyar en la atención a los miembros de la comunidad Universitaria que requieran información sobre las distintas áreas de Bienestar a través de los canales de comunicación disponibles.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</si>
  <si>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OAG-VAD-0997-2023</t>
  </si>
  <si>
    <t>La presente orden tiene por objeto: 1. Apoyar con la digitalización de los archivos físicos utilizando las ayudas tecnológicas suministradas. 2. Apoyar el control del préstamo de documentos a los funcionarios y contratistas de la Vicerrectoría y las partes interesadas. 3. Apoyar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Suministrar apoyo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</si>
  <si>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OPSP-VAD-0998-2023</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</si>
  <si>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</si>
  <si>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OAG-VAD-0999-2023</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</si>
  <si>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</si>
  <si>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OAG-VAD-1000-2023</t>
  </si>
  <si>
    <t>La presente orden tiene por objeto: 1. Apoyar en la actualización de las bases de datos y repositorios de información de los proyectos adscritos a la Vicerrectoría de Extensión y Proyección Social, en las herramientas establecidas para tal fin. 2. Apoyar las actividades de gestión y seguimiento a los procesos administrativos en la Vicerrectoría de Extensión y Proyección Social. 3. Apoyar el recibo y trámite de la correspondencia, física y digital, de la Vicerrectoría de Extensión y Proyección Social. 4. Apoyar el proceso de gestión documental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</si>
  <si>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2023/06/26</t>
  </si>
  <si>
    <t>2023/07/30</t>
  </si>
  <si>
    <t>2023/07/24</t>
  </si>
  <si>
    <t>Vicerrectoria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</si>
</sst>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43" formatCode="_(* #,##0.00_);_(* \(#,##0.00\);_(* &quot;-&quot;??_);_(@_)"/>
    <numFmt numFmtId="164" formatCode="&quot;$&quot;\ #,##0;[Red]\-&quot;$&quot;\ #,##0"/>
    <numFmt numFmtId="165" formatCode="_-&quot;$&quot;\ * #,##0.00_-;\-&quot;$&quot;\ * #,##0.00_-;_-&quot;$&quot;\ * &quot;-&quot;??_-;_-@_-"/>
    <numFmt numFmtId="166" formatCode="&quot;$&quot;#,##0"/>
    <numFmt numFmtId="167" formatCode="yyyy\/mm\/dd"/>
    <numFmt numFmtId="168" formatCode="_(* #,##0_);_(* \(#,##0\);_(* &quot;-&quot;??_);_(@_)"/>
    <numFmt numFmtId="169" formatCode="_-[$$-240A]\ * #,##0.00_-;\-[$$-240A]\ * #,##0.00_-;_-[$$-240A]\ * &quot;-&quot;??_-;_-@_-"/>
    <numFmt numFmtId="170" formatCode="_(&quot;$&quot;* #,##0_);_(&quot;$&quot;* \(#,##0\);_(&quot;$&quot;* &quot;-&quot;??_);_(@_)"/>
    <numFmt numFmtId="171" formatCode="_-&quot;$&quot;\ * #,##0_-;\-&quot;$&quot;\ * #,##0_-;_-&quot;$&quot;\ * &quot;-&quot;_-;_-@_-"/>
    <numFmt numFmtId="172" formatCode="_-&quot;$&quot;\ * #,##0.00_-;\-&quot;$&quot;\ * #,##0.00_-;_-&quot;$&quot;\ * &quot;-&quot;_-;_-@_-"/>
    <numFmt numFmtId="173" formatCode="yyyy/mm/dd;@"/>
    <numFmt numFmtId="174" formatCode="&quot;$&quot;#,##0.00"/>
    <numFmt numFmtId="175" formatCode="_-* #,##0_-;\-* #,##0_-;_-* &quot;-&quot;_-;_-@_-"/>
    <numFmt numFmtId="176" formatCode="_-* #,##0.00_-;\-* #,##0.00_-;_-* &quot;-&quot;??_-;_-@_-"/>
    <numFmt numFmtId="177" formatCode="#,##0.00_-\ [$$-45C]"/>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1"/>
      <color rgb="FFFF0000"/>
      <name val="Calibri"/>
      <family val="2"/>
      <scheme val="minor"/>
    </font>
    <font>
      <sz val="11"/>
      <name val="Calibri"/>
      <family val="2"/>
      <scheme val="minor"/>
    </font>
    <font>
      <sz val="3"/>
      <name val="Calibri"/>
      <family val="2"/>
      <scheme val="minor"/>
    </font>
    <font>
      <sz val="8"/>
      <name val="Calibri"/>
      <family val="2"/>
      <scheme val="minor"/>
    </font>
    <font>
      <sz val="11"/>
      <color rgb="FF000000"/>
      <name val="Calibri"/>
      <family val="2"/>
      <scheme val="minor"/>
    </font>
    <font>
      <u/>
      <sz val="11"/>
      <color theme="10"/>
      <name val="Calibri"/>
      <family val="2"/>
      <scheme val="minor"/>
    </font>
    <font>
      <sz val="9"/>
      <name val="Calibri"/>
      <family val="2"/>
      <scheme val="minor"/>
    </font>
    <font>
      <sz val="8"/>
      <color rgb="FF000000"/>
      <name val="Calibri"/>
      <family val="2"/>
      <scheme val="minor"/>
    </font>
    <font>
      <sz val="10"/>
      <color theme="1"/>
      <name val="Arial"/>
      <family val="2"/>
    </font>
    <font>
      <sz val="11"/>
      <name val="Calibri"/>
      <family val="2"/>
    </font>
    <font>
      <sz val="11"/>
      <color rgb="FF000000"/>
      <name val="Calibri"/>
      <family val="2"/>
    </font>
    <font>
      <b/>
      <sz val="7"/>
      <color rgb="FF333333"/>
      <name val="Arial"/>
      <family val="2"/>
    </font>
    <font>
      <sz val="10"/>
      <color rgb="FF000000"/>
      <name val="Calibri"/>
      <family val="2"/>
      <scheme val="minor"/>
    </font>
    <font>
      <b/>
      <sz val="10"/>
      <color rgb="FF000000"/>
      <name val="Calibri"/>
      <family val="2"/>
      <scheme val="minor"/>
    </font>
    <font>
      <sz val="10"/>
      <color rgb="FF000000"/>
      <name val="Calibri"/>
      <family val="2"/>
    </font>
    <font>
      <b/>
      <sz val="10"/>
      <color rgb="FF000000"/>
      <name val="Calibri"/>
      <family val="2"/>
    </font>
    <font>
      <b/>
      <sz val="11"/>
      <name val="Calibri"/>
      <family val="2"/>
      <scheme val="minor"/>
    </font>
    <font>
      <b/>
      <sz val="9"/>
      <name val="Calibri"/>
      <family val="2"/>
      <scheme val="minor"/>
    </font>
    <font>
      <b/>
      <sz val="8"/>
      <name val="Calibri"/>
      <family val="2"/>
      <scheme val="minor"/>
    </font>
    <font>
      <sz val="10"/>
      <name val="Calibri"/>
      <family val="2"/>
      <scheme val="minor"/>
    </font>
    <font>
      <b/>
      <sz val="10"/>
      <name val="Calibri"/>
      <family val="2"/>
      <scheme val="minor"/>
    </font>
    <font>
      <sz val="11"/>
      <name val="Calibri Light"/>
      <family val="2"/>
      <scheme val="major"/>
    </font>
    <font>
      <u/>
      <sz val="11"/>
      <name val="Calibri Light"/>
      <family val="2"/>
      <scheme val="major"/>
    </font>
    <font>
      <b/>
      <sz val="10"/>
      <name val="Arial"/>
      <family val="2"/>
    </font>
    <font>
      <sz val="8"/>
      <name val="Arial"/>
      <family val="2"/>
    </font>
    <font>
      <u/>
      <sz val="8"/>
      <name val="Calibri"/>
      <family val="2"/>
      <scheme val="minor"/>
    </font>
    <font>
      <sz val="8"/>
      <color rgb="FFFF0000"/>
      <name val="Calibri"/>
      <family val="2"/>
      <scheme val="minor"/>
    </font>
    <font>
      <sz val="8"/>
      <color theme="1"/>
      <name val="Arial"/>
      <family val="2"/>
    </font>
    <font>
      <b/>
      <sz val="9"/>
      <color rgb="FF333333"/>
      <name val="Arial"/>
      <family val="2"/>
    </font>
    <font>
      <u/>
      <sz val="11"/>
      <name val="Calibri"/>
      <family val="2"/>
      <scheme val="minor"/>
    </font>
    <font>
      <sz val="11"/>
      <color theme="1"/>
      <name val="Calibri"/>
      <family val="2"/>
    </font>
    <font>
      <u/>
      <sz val="10"/>
      <color theme="10"/>
      <name val="Calibri"/>
      <family val="2"/>
      <scheme val="minor"/>
    </font>
    <font>
      <sz val="10"/>
      <color theme="1"/>
      <name val="Calibri"/>
      <family val="2"/>
    </font>
  </fonts>
  <fills count="13">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lightGrid">
        <fgColor theme="0" tint="-4.9989318521683403E-2"/>
        <bgColor theme="0"/>
      </patternFill>
    </fill>
    <fill>
      <patternFill patternType="lightGrid">
        <fgColor theme="0" tint="-4.9989318521683403E-2"/>
        <bgColor theme="2"/>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1">
    <xf numFmtId="0" fontId="0" fillId="0" borderId="0"/>
    <xf numFmtId="165" fontId="1" fillId="0" borderId="0" applyFont="0" applyFill="0" applyBorder="0" applyAlignment="0" applyProtection="0"/>
    <xf numFmtId="0" fontId="3" fillId="0" borderId="0"/>
    <xf numFmtId="0" fontId="6"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4" fillId="0" borderId="0"/>
    <xf numFmtId="0" fontId="25" fillId="0" borderId="0"/>
    <xf numFmtId="171" fontId="1" fillId="0" borderId="0" applyFont="0" applyFill="0" applyBorder="0" applyAlignment="0" applyProtection="0"/>
    <xf numFmtId="175" fontId="1" fillId="0" borderId="0" applyFont="0" applyFill="0" applyBorder="0" applyAlignment="0" applyProtection="0"/>
  </cellStyleXfs>
  <cellXfs count="359">
    <xf numFmtId="0" fontId="0" fillId="0" borderId="0" xfId="0"/>
    <xf numFmtId="0" fontId="0" fillId="0" borderId="1" xfId="0" applyBorder="1" applyAlignment="1">
      <alignment horizontal="left" vertical="center"/>
    </xf>
    <xf numFmtId="166" fontId="0" fillId="0" borderId="1" xfId="0" applyNumberFormat="1" applyBorder="1" applyAlignment="1">
      <alignment horizontal="left" vertical="center"/>
    </xf>
    <xf numFmtId="167" fontId="0" fillId="0" borderId="1" xfId="0" applyNumberFormat="1" applyBorder="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44" fontId="0" fillId="0" borderId="0" xfId="0" applyNumberFormat="1"/>
    <xf numFmtId="44" fontId="1" fillId="0" borderId="1" xfId="1" applyNumberFormat="1" applyFont="1" applyFill="1" applyBorder="1" applyAlignment="1">
      <alignment horizontal="left" vertical="center"/>
    </xf>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44"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0" fontId="0" fillId="7" borderId="0" xfId="0" applyFill="1"/>
    <xf numFmtId="168" fontId="0" fillId="0" borderId="0" xfId="4" applyNumberFormat="1" applyFont="1" applyAlignment="1">
      <alignment vertical="center"/>
    </xf>
    <xf numFmtId="0" fontId="0" fillId="2" borderId="0" xfId="0" applyFill="1" applyAlignment="1">
      <alignment vertical="center"/>
    </xf>
    <xf numFmtId="0" fontId="0" fillId="2" borderId="0" xfId="0" applyFill="1"/>
    <xf numFmtId="168" fontId="2" fillId="6" borderId="0" xfId="4" applyNumberFormat="1" applyFont="1" applyFill="1" applyBorder="1" applyAlignment="1">
      <alignment vertical="center"/>
    </xf>
    <xf numFmtId="0" fontId="2" fillId="7" borderId="0" xfId="0" applyFont="1" applyFill="1"/>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44" fontId="5" fillId="8" borderId="1" xfId="1" applyNumberFormat="1" applyFont="1" applyFill="1" applyBorder="1" applyAlignment="1">
      <alignment horizontal="left" vertical="center" wrapText="1"/>
    </xf>
    <xf numFmtId="166" fontId="5" fillId="8" borderId="1" xfId="0" applyNumberFormat="1" applyFont="1" applyFill="1" applyBorder="1" applyAlignment="1">
      <alignment horizontal="left" vertical="center" wrapText="1"/>
    </xf>
    <xf numFmtId="167" fontId="5" fillId="8" borderId="1" xfId="0" applyNumberFormat="1" applyFont="1" applyFill="1" applyBorder="1" applyAlignment="1">
      <alignment horizontal="left" vertical="center" wrapText="1"/>
    </xf>
    <xf numFmtId="5" fontId="5" fillId="8" borderId="1" xfId="1" applyNumberFormat="1" applyFont="1" applyFill="1" applyBorder="1" applyAlignment="1">
      <alignment horizontal="left" vertical="center" wrapText="1"/>
    </xf>
    <xf numFmtId="44" fontId="12" fillId="7" borderId="0" xfId="0" applyNumberFormat="1" applyFont="1" applyFill="1"/>
    <xf numFmtId="44" fontId="8" fillId="6" borderId="1" xfId="0" applyNumberFormat="1" applyFont="1" applyFill="1" applyBorder="1" applyAlignment="1">
      <alignment vertical="center"/>
    </xf>
    <xf numFmtId="44" fontId="13" fillId="8" borderId="1" xfId="1" applyNumberFormat="1" applyFont="1" applyFill="1" applyBorder="1" applyAlignment="1">
      <alignment horizontal="left" vertical="center" wrapText="1"/>
    </xf>
    <xf numFmtId="9" fontId="0" fillId="0" borderId="0" xfId="5" applyFont="1" applyAlignment="1">
      <alignment horizontal="center"/>
    </xf>
    <xf numFmtId="9" fontId="5" fillId="8" borderId="1" xfId="5" applyFont="1" applyFill="1" applyBorder="1" applyAlignment="1">
      <alignment horizontal="center" vertical="center" wrapText="1"/>
    </xf>
    <xf numFmtId="9" fontId="1" fillId="0" borderId="1" xfId="5" applyFont="1" applyFill="1" applyBorder="1" applyAlignment="1">
      <alignment horizontal="center" vertical="center"/>
    </xf>
    <xf numFmtId="167" fontId="15" fillId="0" borderId="1" xfId="0" applyNumberFormat="1" applyFont="1" applyBorder="1" applyAlignment="1">
      <alignment horizontal="left" vertical="center"/>
    </xf>
    <xf numFmtId="44" fontId="16" fillId="0" borderId="1" xfId="1" applyNumberFormat="1" applyFont="1" applyFill="1" applyBorder="1" applyAlignment="1">
      <alignment horizontal="left" vertical="center"/>
    </xf>
    <xf numFmtId="9" fontId="16" fillId="0" borderId="1" xfId="5" applyFont="1" applyFill="1" applyBorder="1" applyAlignment="1">
      <alignment horizontal="center" vertical="center"/>
    </xf>
    <xf numFmtId="0" fontId="17" fillId="6" borderId="1" xfId="0" applyFont="1" applyFill="1" applyBorder="1" applyAlignment="1">
      <alignment vertical="center"/>
    </xf>
    <xf numFmtId="0" fontId="16" fillId="0" borderId="1" xfId="0" applyFont="1" applyBorder="1" applyAlignment="1">
      <alignment horizontal="left" vertical="center"/>
    </xf>
    <xf numFmtId="44" fontId="18" fillId="6" borderId="1" xfId="0" applyNumberFormat="1" applyFont="1" applyFill="1" applyBorder="1" applyAlignment="1">
      <alignment vertical="center"/>
    </xf>
    <xf numFmtId="167" fontId="16" fillId="0" borderId="1" xfId="0" applyNumberFormat="1" applyFont="1" applyBorder="1" applyAlignment="1">
      <alignment horizontal="left" vertical="center"/>
    </xf>
    <xf numFmtId="0" fontId="18" fillId="0" borderId="1" xfId="0" applyFont="1" applyBorder="1" applyAlignment="1">
      <alignment horizontal="left" vertical="center"/>
    </xf>
    <xf numFmtId="0" fontId="16" fillId="0" borderId="0" xfId="0" applyFont="1" applyAlignment="1">
      <alignment horizontal="left" vertical="center"/>
    </xf>
    <xf numFmtId="0" fontId="19" fillId="0" borderId="1" xfId="0" applyFont="1" applyBorder="1" applyAlignment="1">
      <alignment horizontal="center"/>
    </xf>
    <xf numFmtId="164" fontId="19" fillId="0" borderId="1" xfId="0" applyNumberFormat="1" applyFont="1" applyBorder="1"/>
    <xf numFmtId="164" fontId="19" fillId="0" borderId="5" xfId="0" applyNumberFormat="1" applyFont="1" applyBorder="1"/>
    <xf numFmtId="3" fontId="19" fillId="0" borderId="1" xfId="0" applyNumberFormat="1" applyFont="1" applyBorder="1" applyAlignment="1">
      <alignment horizontal="center"/>
    </xf>
    <xf numFmtId="3" fontId="19" fillId="0" borderId="0" xfId="0" applyNumberFormat="1" applyFont="1" applyAlignment="1">
      <alignment horizontal="center"/>
    </xf>
    <xf numFmtId="0" fontId="19" fillId="0" borderId="1" xfId="0" applyFont="1" applyBorder="1"/>
    <xf numFmtId="167" fontId="0" fillId="0" borderId="1" xfId="0" applyNumberFormat="1" applyBorder="1" applyAlignment="1">
      <alignment horizontal="center" vertical="center"/>
    </xf>
    <xf numFmtId="14" fontId="0" fillId="0" borderId="0" xfId="0" applyNumberFormat="1" applyAlignment="1">
      <alignment horizontal="center"/>
    </xf>
    <xf numFmtId="0" fontId="20" fillId="0" borderId="0" xfId="6" applyFill="1"/>
    <xf numFmtId="44" fontId="1" fillId="9" borderId="1" xfId="1" applyNumberFormat="1" applyFont="1" applyFill="1" applyBorder="1" applyAlignment="1">
      <alignment horizontal="left" vertical="center"/>
    </xf>
    <xf numFmtId="9" fontId="1" fillId="9" borderId="1" xfId="5" applyFont="1" applyFill="1" applyBorder="1" applyAlignment="1">
      <alignment horizontal="center" vertical="center"/>
    </xf>
    <xf numFmtId="0" fontId="19" fillId="0" borderId="0" xfId="0" applyFont="1"/>
    <xf numFmtId="0" fontId="20" fillId="0" borderId="6" xfId="6" applyBorder="1"/>
    <xf numFmtId="0" fontId="20" fillId="0" borderId="7" xfId="6" applyBorder="1"/>
    <xf numFmtId="0" fontId="21" fillId="0" borderId="1" xfId="0" applyFont="1" applyBorder="1" applyAlignment="1">
      <alignment horizontal="left" vertical="center"/>
    </xf>
    <xf numFmtId="0" fontId="8" fillId="0" borderId="1" xfId="0" applyFont="1" applyBorder="1"/>
    <xf numFmtId="44" fontId="8" fillId="0" borderId="1" xfId="1" applyNumberFormat="1" applyFont="1" applyFill="1" applyBorder="1" applyAlignment="1">
      <alignment horizontal="left" vertical="center"/>
    </xf>
    <xf numFmtId="166" fontId="16" fillId="0" borderId="1" xfId="0" applyNumberFormat="1" applyFont="1" applyBorder="1" applyAlignment="1">
      <alignment horizontal="left" vertical="center"/>
    </xf>
    <xf numFmtId="0" fontId="22" fillId="0" borderId="1" xfId="0" applyFont="1" applyBorder="1" applyAlignment="1">
      <alignment vertical="center"/>
    </xf>
    <xf numFmtId="167" fontId="8" fillId="0" borderId="1" xfId="0" applyNumberFormat="1" applyFont="1" applyBorder="1"/>
    <xf numFmtId="165" fontId="8" fillId="0" borderId="1" xfId="1" applyFont="1" applyBorder="1"/>
    <xf numFmtId="9" fontId="18" fillId="0" borderId="1" xfId="5" applyFont="1" applyFill="1" applyBorder="1" applyAlignment="1">
      <alignment horizontal="center" vertical="center"/>
    </xf>
    <xf numFmtId="0" fontId="20" fillId="0" borderId="1" xfId="6" applyBorder="1"/>
    <xf numFmtId="9" fontId="8" fillId="0" borderId="1" xfId="5" applyFont="1" applyFill="1" applyBorder="1" applyAlignment="1">
      <alignment horizontal="center" vertical="center"/>
    </xf>
    <xf numFmtId="44" fontId="18" fillId="0" borderId="1" xfId="1" applyNumberFormat="1" applyFont="1" applyFill="1" applyBorder="1" applyAlignment="1">
      <alignment horizontal="left" vertical="center"/>
    </xf>
    <xf numFmtId="9" fontId="2" fillId="6" borderId="1" xfId="5" applyFont="1" applyFill="1" applyBorder="1" applyAlignment="1">
      <alignment horizontal="center" vertical="center"/>
    </xf>
    <xf numFmtId="0" fontId="0" fillId="0" borderId="1" xfId="0" applyBorder="1"/>
    <xf numFmtId="165" fontId="0" fillId="0" borderId="1" xfId="1" applyFont="1" applyBorder="1"/>
    <xf numFmtId="0" fontId="0" fillId="0" borderId="1" xfId="0" applyBorder="1" applyAlignment="1">
      <alignment horizontal="left"/>
    </xf>
    <xf numFmtId="0" fontId="23" fillId="0" borderId="0" xfId="0" applyFont="1"/>
    <xf numFmtId="167" fontId="0" fillId="0" borderId="1" xfId="0" applyNumberFormat="1" applyBorder="1"/>
    <xf numFmtId="0" fontId="1" fillId="0" borderId="1" xfId="1" applyNumberFormat="1" applyFont="1" applyFill="1" applyBorder="1" applyAlignment="1">
      <alignment horizontal="left" vertical="center"/>
    </xf>
    <xf numFmtId="169" fontId="0" fillId="0" borderId="1" xfId="4" applyNumberFormat="1" applyFont="1" applyBorder="1"/>
    <xf numFmtId="0" fontId="20" fillId="0" borderId="0" xfId="6"/>
    <xf numFmtId="165" fontId="0" fillId="0" borderId="1" xfId="1" applyFont="1" applyBorder="1" applyAlignment="1">
      <alignment wrapText="1"/>
    </xf>
    <xf numFmtId="0" fontId="0" fillId="0" borderId="1" xfId="0" applyBorder="1" applyAlignment="1">
      <alignment horizontal="right" vertical="center"/>
    </xf>
    <xf numFmtId="167" fontId="0" fillId="0" borderId="1" xfId="0" applyNumberFormat="1" applyBorder="1" applyAlignment="1">
      <alignment horizontal="right" vertical="center"/>
    </xf>
    <xf numFmtId="0" fontId="2" fillId="0" borderId="0" xfId="0" applyFont="1"/>
    <xf numFmtId="0" fontId="2" fillId="9" borderId="1" xfId="0" applyFont="1" applyFill="1" applyBorder="1"/>
    <xf numFmtId="1" fontId="24" fillId="0" borderId="1" xfId="7" applyNumberFormat="1" applyBorder="1"/>
    <xf numFmtId="0" fontId="0" fillId="9" borderId="1" xfId="0" applyFill="1" applyBorder="1"/>
    <xf numFmtId="0" fontId="12" fillId="0" borderId="1" xfId="0" applyFont="1" applyBorder="1" applyAlignment="1">
      <alignment horizontal="left" vertical="center"/>
    </xf>
    <xf numFmtId="0" fontId="0" fillId="0" borderId="1" xfId="0" applyBorder="1" applyAlignment="1">
      <alignment horizontal="right"/>
    </xf>
    <xf numFmtId="0" fontId="25" fillId="0" borderId="1" xfId="8" applyBorder="1"/>
    <xf numFmtId="0" fontId="26" fillId="0" borderId="1" xfId="0" applyFont="1" applyBorder="1"/>
    <xf numFmtId="1" fontId="23" fillId="0" borderId="1" xfId="0" applyNumberFormat="1" applyFont="1" applyBorder="1"/>
    <xf numFmtId="0" fontId="23" fillId="0" borderId="1" xfId="0" applyFont="1" applyBorder="1"/>
    <xf numFmtId="1" fontId="23" fillId="0" borderId="1" xfId="0" applyNumberFormat="1" applyFont="1" applyBorder="1" applyAlignment="1">
      <alignment horizontal="right"/>
    </xf>
    <xf numFmtId="0" fontId="2" fillId="9" borderId="1" xfId="0" applyFont="1" applyFill="1" applyBorder="1" applyAlignment="1">
      <alignment vertical="center"/>
    </xf>
    <xf numFmtId="167" fontId="16"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8" xfId="0" applyBorder="1"/>
    <xf numFmtId="167" fontId="0" fillId="0" borderId="1" xfId="0" applyNumberFormat="1" applyBorder="1" applyAlignment="1">
      <alignment vertical="center"/>
    </xf>
    <xf numFmtId="0" fontId="26" fillId="0" borderId="0" xfId="0" applyFont="1"/>
    <xf numFmtId="14" fontId="0" fillId="0" borderId="1" xfId="0" applyNumberFormat="1" applyBorder="1"/>
    <xf numFmtId="1" fontId="0" fillId="0" borderId="0" xfId="0" applyNumberFormat="1"/>
    <xf numFmtId="0" fontId="16" fillId="0" borderId="0" xfId="0" applyFont="1"/>
    <xf numFmtId="44" fontId="34" fillId="7" borderId="0" xfId="0" applyNumberFormat="1" applyFont="1" applyFill="1"/>
    <xf numFmtId="0" fontId="16" fillId="0" borderId="0" xfId="0" applyFont="1" applyAlignment="1">
      <alignment horizontal="center"/>
    </xf>
    <xf numFmtId="0" fontId="16" fillId="0" borderId="0" xfId="0" applyFont="1" applyAlignment="1">
      <alignment horizontal="left"/>
    </xf>
    <xf numFmtId="168" fontId="31" fillId="6" borderId="0" xfId="4" applyNumberFormat="1" applyFont="1" applyFill="1" applyBorder="1" applyAlignment="1">
      <alignment vertical="center"/>
    </xf>
    <xf numFmtId="0" fontId="31" fillId="7" borderId="0" xfId="0" applyFont="1" applyFill="1"/>
    <xf numFmtId="167" fontId="35" fillId="8" borderId="1" xfId="0" applyNumberFormat="1" applyFont="1" applyFill="1" applyBorder="1" applyAlignment="1">
      <alignment horizontal="center" vertical="center" wrapText="1"/>
    </xf>
    <xf numFmtId="0" fontId="35" fillId="8" borderId="1" xfId="0" applyFont="1" applyFill="1" applyBorder="1" applyAlignment="1">
      <alignment horizontal="left" vertical="center" wrapText="1"/>
    </xf>
    <xf numFmtId="44" fontId="35" fillId="8" borderId="1" xfId="1" applyNumberFormat="1" applyFont="1" applyFill="1" applyBorder="1" applyAlignment="1">
      <alignment horizontal="left" vertical="center" wrapText="1"/>
    </xf>
    <xf numFmtId="166" fontId="35" fillId="8" borderId="1" xfId="0" applyNumberFormat="1" applyFont="1" applyFill="1" applyBorder="1" applyAlignment="1">
      <alignment horizontal="left" vertical="center" wrapText="1"/>
    </xf>
    <xf numFmtId="0" fontId="35" fillId="8" borderId="1" xfId="0" applyFont="1" applyFill="1" applyBorder="1" applyAlignment="1">
      <alignment horizontal="center" vertical="center" wrapText="1"/>
    </xf>
    <xf numFmtId="5" fontId="35" fillId="8" borderId="1" xfId="1" applyNumberFormat="1" applyFont="1" applyFill="1" applyBorder="1" applyAlignment="1">
      <alignment horizontal="left" vertical="center" wrapText="1"/>
    </xf>
    <xf numFmtId="167" fontId="35" fillId="8" borderId="1" xfId="0" applyNumberFormat="1" applyFont="1" applyFill="1" applyBorder="1" applyAlignment="1">
      <alignment horizontal="left" vertical="center" wrapText="1"/>
    </xf>
    <xf numFmtId="0" fontId="35" fillId="0" borderId="0" xfId="0" applyFont="1" applyAlignment="1">
      <alignment horizontal="left" vertical="center" wrapText="1"/>
    </xf>
    <xf numFmtId="0" fontId="36" fillId="6" borderId="1" xfId="0" applyFont="1" applyFill="1" applyBorder="1" applyAlignment="1">
      <alignment horizontal="left" vertical="center"/>
    </xf>
    <xf numFmtId="0" fontId="36" fillId="6" borderId="1" xfId="0" applyFont="1" applyFill="1" applyBorder="1" applyAlignment="1">
      <alignment vertical="center"/>
    </xf>
    <xf numFmtId="0" fontId="36" fillId="0" borderId="1" xfId="0" applyFont="1" applyBorder="1" applyAlignment="1">
      <alignment horizontal="left" vertic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36" fillId="0" borderId="1" xfId="0" applyFont="1" applyBorder="1" applyAlignment="1">
      <alignment horizontal="center" vertical="center"/>
    </xf>
    <xf numFmtId="165" fontId="36" fillId="0" borderId="1" xfId="1" applyFont="1" applyFill="1" applyBorder="1" applyAlignment="1">
      <alignment horizontal="right" vertical="center" wrapText="1"/>
    </xf>
    <xf numFmtId="170" fontId="36" fillId="0" borderId="1" xfId="1" applyNumberFormat="1" applyFont="1" applyFill="1" applyBorder="1" applyAlignment="1">
      <alignment horizontal="center" vertical="center"/>
    </xf>
    <xf numFmtId="44" fontId="36" fillId="0" borderId="1" xfId="0" applyNumberFormat="1" applyFont="1" applyBorder="1" applyAlignment="1">
      <alignment vertical="center"/>
    </xf>
    <xf numFmtId="49" fontId="36" fillId="0" borderId="1" xfId="0" applyNumberFormat="1" applyFont="1" applyBorder="1" applyAlignment="1">
      <alignment horizontal="center" vertical="center"/>
    </xf>
    <xf numFmtId="14" fontId="36" fillId="0" borderId="1" xfId="0" applyNumberFormat="1" applyFont="1" applyBorder="1" applyAlignment="1">
      <alignment horizontal="center" vertical="center"/>
    </xf>
    <xf numFmtId="167" fontId="36" fillId="0" borderId="1" xfId="0" applyNumberFormat="1" applyFont="1" applyBorder="1" applyAlignment="1">
      <alignment horizontal="left" vertical="center"/>
    </xf>
    <xf numFmtId="167" fontId="36" fillId="0" borderId="1" xfId="0" applyNumberFormat="1" applyFont="1" applyBorder="1" applyAlignment="1">
      <alignment horizontal="center" vertical="center"/>
    </xf>
    <xf numFmtId="0" fontId="36" fillId="0" borderId="1" xfId="1" applyNumberFormat="1" applyFont="1" applyFill="1" applyBorder="1" applyAlignment="1">
      <alignment horizontal="left" vertical="center"/>
    </xf>
    <xf numFmtId="9" fontId="36" fillId="0" borderId="1" xfId="5" applyFont="1" applyBorder="1" applyAlignment="1">
      <alignment horizontal="center"/>
    </xf>
    <xf numFmtId="0" fontId="36" fillId="0" borderId="1" xfId="0" applyFont="1" applyBorder="1" applyAlignment="1">
      <alignment vertical="center"/>
    </xf>
    <xf numFmtId="0" fontId="36" fillId="0" borderId="0" xfId="0" applyFont="1" applyAlignment="1">
      <alignment horizontal="left" vertical="center"/>
    </xf>
    <xf numFmtId="170" fontId="36" fillId="0" borderId="1" xfId="1" applyNumberFormat="1" applyFont="1" applyFill="1" applyBorder="1" applyAlignment="1">
      <alignment horizontal="center"/>
    </xf>
    <xf numFmtId="0" fontId="37" fillId="0" borderId="1" xfId="6" applyFont="1" applyBorder="1" applyAlignment="1">
      <alignment vertical="center"/>
    </xf>
    <xf numFmtId="165" fontId="36" fillId="0" borderId="1" xfId="1" applyFont="1" applyFill="1" applyBorder="1" applyAlignment="1">
      <alignment horizontal="center"/>
    </xf>
    <xf numFmtId="1" fontId="36" fillId="0" borderId="1" xfId="0" applyNumberFormat="1" applyFont="1" applyBorder="1" applyAlignment="1">
      <alignment horizontal="center"/>
    </xf>
    <xf numFmtId="165" fontId="36" fillId="0" borderId="1" xfId="1" applyFont="1" applyFill="1" applyBorder="1" applyAlignment="1">
      <alignment horizontal="center" vertical="center"/>
    </xf>
    <xf numFmtId="49" fontId="36" fillId="0" borderId="1" xfId="0" applyNumberFormat="1" applyFont="1" applyBorder="1" applyAlignment="1">
      <alignment horizontal="center" vertical="center" wrapText="1"/>
    </xf>
    <xf numFmtId="165" fontId="36" fillId="0" borderId="1" xfId="1" applyFont="1" applyFill="1" applyBorder="1" applyAlignment="1">
      <alignment horizontal="right" vertical="center"/>
    </xf>
    <xf numFmtId="0" fontId="36" fillId="0" borderId="1" xfId="6" applyFont="1" applyFill="1" applyBorder="1" applyAlignment="1">
      <alignment vertical="center"/>
    </xf>
    <xf numFmtId="9" fontId="36" fillId="0" borderId="1" xfId="5" applyFont="1" applyFill="1" applyBorder="1" applyAlignment="1">
      <alignment horizontal="center"/>
    </xf>
    <xf numFmtId="0" fontId="36" fillId="0" borderId="1" xfId="0" applyFont="1" applyBorder="1"/>
    <xf numFmtId="0" fontId="36" fillId="0" borderId="1" xfId="0" applyFont="1" applyBorder="1" applyAlignment="1">
      <alignment horizontal="left"/>
    </xf>
    <xf numFmtId="172" fontId="36" fillId="0" borderId="1" xfId="9" applyNumberFormat="1" applyFont="1" applyFill="1" applyBorder="1" applyAlignment="1">
      <alignment horizontal="center" vertical="center"/>
    </xf>
    <xf numFmtId="1" fontId="36" fillId="0" borderId="1" xfId="0" applyNumberFormat="1" applyFont="1" applyBorder="1" applyAlignment="1">
      <alignment horizontal="center" vertical="center"/>
    </xf>
    <xf numFmtId="165" fontId="36" fillId="0" borderId="9" xfId="1" applyFont="1" applyFill="1" applyBorder="1" applyAlignment="1">
      <alignment horizontal="right" vertical="center"/>
    </xf>
    <xf numFmtId="49" fontId="36" fillId="0" borderId="9" xfId="0" applyNumberFormat="1" applyFont="1" applyBorder="1" applyAlignment="1">
      <alignment horizontal="center" vertical="center"/>
    </xf>
    <xf numFmtId="0" fontId="36" fillId="0" borderId="1" xfId="6" applyFont="1" applyFill="1" applyBorder="1"/>
    <xf numFmtId="0" fontId="36" fillId="0" borderId="1" xfId="6" applyFont="1" applyFill="1" applyBorder="1" applyAlignment="1">
      <alignment horizontal="left" vertical="center"/>
    </xf>
    <xf numFmtId="0" fontId="37" fillId="0" borderId="1" xfId="6" applyFont="1" applyFill="1" applyBorder="1" applyAlignment="1">
      <alignment vertical="center"/>
    </xf>
    <xf numFmtId="49" fontId="36" fillId="0" borderId="1" xfId="0" applyNumberFormat="1" applyFont="1" applyBorder="1" applyAlignment="1">
      <alignment vertical="center"/>
    </xf>
    <xf numFmtId="0" fontId="36" fillId="0" borderId="1" xfId="0" applyFont="1" applyBorder="1" applyAlignment="1">
      <alignment horizontal="left" vertical="top"/>
    </xf>
    <xf numFmtId="0" fontId="36" fillId="0" borderId="9" xfId="0" applyFont="1" applyBorder="1" applyAlignment="1">
      <alignment horizontal="left" vertical="center" wrapText="1"/>
    </xf>
    <xf numFmtId="165" fontId="36" fillId="0" borderId="1" xfId="1" applyFont="1" applyBorder="1" applyAlignment="1">
      <alignment horizontal="right" vertical="center" wrapText="1"/>
    </xf>
    <xf numFmtId="0" fontId="36" fillId="9" borderId="1" xfId="0" applyFont="1" applyFill="1" applyBorder="1" applyAlignment="1">
      <alignment horizontal="center" vertical="center"/>
    </xf>
    <xf numFmtId="0" fontId="16" fillId="9" borderId="1" xfId="6" applyFont="1" applyFill="1" applyBorder="1" applyAlignment="1">
      <alignment vertical="center"/>
    </xf>
    <xf numFmtId="0" fontId="31" fillId="6" borderId="1" xfId="0" applyFont="1" applyFill="1" applyBorder="1" applyAlignment="1">
      <alignment horizontal="left" vertical="center"/>
    </xf>
    <xf numFmtId="0" fontId="31" fillId="6" borderId="1" xfId="0" applyFont="1" applyFill="1" applyBorder="1" applyAlignment="1">
      <alignment vertical="center"/>
    </xf>
    <xf numFmtId="0" fontId="31" fillId="6" borderId="1" xfId="0" applyFont="1" applyFill="1" applyBorder="1" applyAlignment="1">
      <alignment horizontal="right" vertical="center"/>
    </xf>
    <xf numFmtId="0" fontId="38" fillId="6" borderId="1" xfId="0" applyFont="1" applyFill="1" applyBorder="1" applyAlignment="1">
      <alignment vertical="center"/>
    </xf>
    <xf numFmtId="44" fontId="31" fillId="6" borderId="1" xfId="0" applyNumberFormat="1" applyFont="1" applyFill="1" applyBorder="1" applyAlignment="1">
      <alignment vertical="center"/>
    </xf>
    <xf numFmtId="0" fontId="31" fillId="6" borderId="1" xfId="0" applyFont="1" applyFill="1" applyBorder="1" applyAlignment="1">
      <alignment horizontal="center" vertical="center"/>
    </xf>
    <xf numFmtId="0" fontId="31" fillId="0" borderId="0" xfId="0" applyFont="1" applyAlignment="1">
      <alignment vertical="center"/>
    </xf>
    <xf numFmtId="44" fontId="16" fillId="0" borderId="0" xfId="0" applyNumberFormat="1" applyFont="1"/>
    <xf numFmtId="165" fontId="16" fillId="0" borderId="0" xfId="0" applyNumberFormat="1" applyFont="1"/>
    <xf numFmtId="0" fontId="5" fillId="0" borderId="1" xfId="0" applyFont="1" applyBorder="1" applyAlignment="1">
      <alignment horizontal="left" vertical="center" wrapText="1"/>
    </xf>
    <xf numFmtId="167" fontId="5" fillId="0" borderId="1" xfId="0" applyNumberFormat="1" applyFont="1" applyBorder="1" applyAlignment="1">
      <alignment horizontal="left" vertical="center" wrapText="1"/>
    </xf>
    <xf numFmtId="0" fontId="18" fillId="6" borderId="1" xfId="0" applyFont="1" applyFill="1" applyBorder="1" applyAlignment="1">
      <alignment vertical="center"/>
    </xf>
    <xf numFmtId="0" fontId="18" fillId="0" borderId="1" xfId="0" applyFont="1" applyBorder="1" applyAlignment="1">
      <alignment horizontal="center"/>
    </xf>
    <xf numFmtId="166" fontId="18" fillId="0" borderId="1" xfId="0" applyNumberFormat="1" applyFont="1" applyBorder="1" applyAlignment="1">
      <alignment horizontal="left" vertical="center"/>
    </xf>
    <xf numFmtId="0" fontId="18" fillId="0" borderId="1" xfId="0" applyFont="1" applyBorder="1"/>
    <xf numFmtId="173" fontId="18" fillId="0" borderId="1" xfId="0" applyNumberFormat="1" applyFont="1" applyBorder="1"/>
    <xf numFmtId="167" fontId="18" fillId="0" borderId="1" xfId="0" applyNumberFormat="1" applyFont="1" applyBorder="1" applyAlignment="1">
      <alignment horizontal="left" vertical="center"/>
    </xf>
    <xf numFmtId="5" fontId="21" fillId="0" borderId="1" xfId="1" applyNumberFormat="1" applyFont="1" applyFill="1" applyBorder="1"/>
    <xf numFmtId="0" fontId="21" fillId="0" borderId="1" xfId="0" applyFont="1" applyBorder="1"/>
    <xf numFmtId="0" fontId="21" fillId="0" borderId="1" xfId="0" applyFont="1" applyBorder="1" applyAlignment="1">
      <alignment vertical="center"/>
    </xf>
    <xf numFmtId="0" fontId="40" fillId="0" borderId="1" xfId="6" applyFont="1" applyFill="1" applyBorder="1"/>
    <xf numFmtId="0" fontId="18" fillId="0" borderId="0" xfId="0" applyFont="1" applyAlignment="1">
      <alignment horizontal="left" vertical="center"/>
    </xf>
    <xf numFmtId="0" fontId="8" fillId="6" borderId="1" xfId="0" applyFont="1" applyFill="1" applyBorder="1" applyAlignment="1">
      <alignment vertical="center"/>
    </xf>
    <xf numFmtId="166" fontId="8" fillId="0" borderId="1" xfId="0" applyNumberFormat="1" applyFont="1" applyBorder="1" applyAlignment="1">
      <alignment horizontal="left" vertical="center"/>
    </xf>
    <xf numFmtId="167" fontId="41" fillId="0" borderId="1" xfId="0" applyNumberFormat="1" applyFont="1" applyBorder="1" applyAlignment="1">
      <alignment horizontal="left" vertical="center"/>
    </xf>
    <xf numFmtId="167" fontId="8" fillId="0" borderId="1" xfId="0" applyNumberFormat="1" applyFont="1" applyBorder="1" applyAlignment="1">
      <alignment horizontal="left" vertical="center"/>
    </xf>
    <xf numFmtId="0" fontId="8" fillId="0" borderId="0" xfId="0" applyFont="1" applyAlignment="1">
      <alignment horizontal="left" vertical="center"/>
    </xf>
    <xf numFmtId="0" fontId="18" fillId="0" borderId="1" xfId="0" applyFont="1" applyBorder="1" applyAlignment="1">
      <alignment horizontal="left" wrapText="1"/>
    </xf>
    <xf numFmtId="0" fontId="18" fillId="0" borderId="1" xfId="0" applyFont="1" applyBorder="1" applyAlignment="1">
      <alignment wrapText="1"/>
    </xf>
    <xf numFmtId="0" fontId="40" fillId="0" borderId="1" xfId="6" applyFont="1" applyBorder="1"/>
    <xf numFmtId="0" fontId="33" fillId="0" borderId="0" xfId="0" applyFont="1" applyAlignment="1">
      <alignment horizontal="left" vertical="center"/>
    </xf>
    <xf numFmtId="0" fontId="42" fillId="0" borderId="0" xfId="0" applyFont="1"/>
    <xf numFmtId="0" fontId="2" fillId="0" borderId="1" xfId="0" applyFont="1" applyBorder="1" applyAlignment="1">
      <alignment vertical="center"/>
    </xf>
    <xf numFmtId="0" fontId="2" fillId="6" borderId="1" xfId="0" applyFont="1" applyFill="1" applyBorder="1" applyAlignment="1">
      <alignment horizontal="center"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0" xfId="0" applyAlignment="1">
      <alignment horizontal="center"/>
    </xf>
    <xf numFmtId="167" fontId="5" fillId="0" borderId="1" xfId="0" applyNumberFormat="1" applyFont="1" applyBorder="1" applyAlignment="1">
      <alignment horizontal="center" vertical="center" wrapText="1"/>
    </xf>
    <xf numFmtId="14" fontId="0" fillId="0" borderId="0" xfId="0" applyNumberFormat="1" applyAlignment="1">
      <alignment horizontal="left" vertical="center"/>
    </xf>
    <xf numFmtId="0" fontId="20" fillId="0" borderId="1" xfId="6" applyBorder="1" applyAlignment="1">
      <alignment horizontal="left" vertical="center"/>
    </xf>
    <xf numFmtId="0" fontId="0" fillId="2" borderId="1" xfId="0" applyFill="1" applyBorder="1" applyAlignment="1">
      <alignment horizontal="left" vertical="center"/>
    </xf>
    <xf numFmtId="166" fontId="2" fillId="6" borderId="1" xfId="0" applyNumberFormat="1" applyFont="1" applyFill="1" applyBorder="1" applyAlignment="1">
      <alignment vertical="center"/>
    </xf>
    <xf numFmtId="0" fontId="2" fillId="0" borderId="1" xfId="0" applyFont="1" applyBorder="1" applyAlignment="1">
      <alignment horizontal="center" vertical="center"/>
    </xf>
    <xf numFmtId="174" fontId="0" fillId="0" borderId="0" xfId="0" applyNumberFormat="1"/>
    <xf numFmtId="0" fontId="0" fillId="0" borderId="0" xfId="0" applyAlignment="1">
      <alignment horizontal="left"/>
    </xf>
    <xf numFmtId="1" fontId="0" fillId="0" borderId="1" xfId="0" applyNumberFormat="1" applyBorder="1"/>
    <xf numFmtId="0" fontId="0" fillId="0" borderId="3" xfId="0" applyBorder="1"/>
    <xf numFmtId="0" fontId="0" fillId="0" borderId="5" xfId="0" applyBorder="1" applyAlignment="1">
      <alignment horizontal="left"/>
    </xf>
    <xf numFmtId="10" fontId="1" fillId="0" borderId="1" xfId="1" applyNumberFormat="1" applyFont="1" applyFill="1" applyBorder="1" applyAlignment="1">
      <alignment horizontal="left" vertical="center"/>
    </xf>
    <xf numFmtId="0" fontId="43" fillId="0" borderId="3" xfId="0" applyFont="1" applyBorder="1"/>
    <xf numFmtId="14" fontId="0" fillId="0" borderId="5" xfId="0" applyNumberFormat="1" applyBorder="1" applyAlignment="1">
      <alignment horizontal="left"/>
    </xf>
    <xf numFmtId="14" fontId="0" fillId="0" borderId="1" xfId="0" applyNumberFormat="1" applyBorder="1" applyAlignment="1">
      <alignment horizontal="left"/>
    </xf>
    <xf numFmtId="0" fontId="43" fillId="0" borderId="1" xfId="0" applyFont="1" applyBorder="1"/>
    <xf numFmtId="0" fontId="0" fillId="0" borderId="1" xfId="0" applyBorder="1" applyAlignment="1">
      <alignment vertical="center"/>
    </xf>
    <xf numFmtId="1" fontId="0" fillId="0" borderId="3" xfId="0" applyNumberFormat="1" applyBorder="1"/>
    <xf numFmtId="44" fontId="0" fillId="0" borderId="1" xfId="0" applyNumberFormat="1" applyBorder="1"/>
    <xf numFmtId="44" fontId="8" fillId="6" borderId="10" xfId="0" applyNumberFormat="1" applyFont="1" applyFill="1" applyBorder="1" applyAlignment="1">
      <alignment vertical="center"/>
    </xf>
    <xf numFmtId="1" fontId="0" fillId="0" borderId="10" xfId="0" applyNumberFormat="1" applyBorder="1"/>
    <xf numFmtId="0" fontId="0" fillId="0" borderId="10" xfId="0" applyBorder="1"/>
    <xf numFmtId="44" fontId="1" fillId="0" borderId="10" xfId="1" applyNumberFormat="1" applyFont="1" applyFill="1" applyBorder="1" applyAlignment="1">
      <alignment horizontal="left" vertical="center"/>
    </xf>
    <xf numFmtId="9" fontId="0" fillId="0" borderId="0" xfId="5" applyFont="1" applyAlignment="1">
      <alignment horizontal="left"/>
    </xf>
    <xf numFmtId="0" fontId="43" fillId="0" borderId="0" xfId="0" applyFont="1"/>
    <xf numFmtId="44" fontId="1" fillId="0" borderId="0" xfId="1" applyNumberFormat="1" applyFont="1" applyFill="1" applyBorder="1" applyAlignment="1">
      <alignment horizontal="left" vertical="center"/>
    </xf>
    <xf numFmtId="165" fontId="0" fillId="0" borderId="0" xfId="0" applyNumberFormat="1" applyAlignment="1">
      <alignment horizontal="left" vertical="center"/>
    </xf>
    <xf numFmtId="175" fontId="0" fillId="0" borderId="0" xfId="10" applyFont="1" applyAlignment="1">
      <alignment horizontal="left" vertical="center"/>
    </xf>
    <xf numFmtId="176" fontId="0" fillId="0" borderId="0" xfId="0" applyNumberFormat="1" applyAlignment="1">
      <alignment horizontal="left" vertical="center"/>
    </xf>
    <xf numFmtId="177" fontId="0" fillId="0" borderId="1" xfId="0" applyNumberFormat="1" applyBorder="1"/>
    <xf numFmtId="165" fontId="0" fillId="0" borderId="8" xfId="1" applyFont="1" applyBorder="1"/>
    <xf numFmtId="44" fontId="1" fillId="0" borderId="8" xfId="1" applyNumberFormat="1" applyFont="1" applyFill="1" applyBorder="1" applyAlignment="1">
      <alignment horizontal="left" vertical="center"/>
    </xf>
    <xf numFmtId="3" fontId="0" fillId="0" borderId="1" xfId="0" applyNumberFormat="1" applyBorder="1" applyAlignment="1">
      <alignment horizontal="left" vertical="center"/>
    </xf>
    <xf numFmtId="0" fontId="18" fillId="0" borderId="1" xfId="6" applyFont="1" applyBorder="1" applyAlignment="1">
      <alignment horizontal="left" vertical="center"/>
    </xf>
    <xf numFmtId="0" fontId="44" fillId="0" borderId="1" xfId="6" applyFont="1" applyBorder="1" applyAlignment="1">
      <alignment horizontal="left" vertical="center"/>
    </xf>
    <xf numFmtId="3" fontId="45" fillId="0" borderId="1" xfId="0" applyNumberFormat="1" applyFont="1" applyBorder="1" applyAlignment="1">
      <alignment horizontal="left"/>
    </xf>
    <xf numFmtId="0" fontId="45" fillId="0" borderId="1" xfId="0" applyFont="1" applyBorder="1"/>
    <xf numFmtId="0" fontId="45" fillId="0" borderId="1" xfId="0" applyFont="1" applyBorder="1" applyAlignment="1">
      <alignment horizontal="center" vertical="center"/>
    </xf>
    <xf numFmtId="167" fontId="5" fillId="8" borderId="1" xfId="0" applyNumberFormat="1" applyFont="1" applyFill="1" applyBorder="1" applyAlignment="1">
      <alignment horizontal="center" vertical="center" wrapText="1"/>
    </xf>
    <xf numFmtId="0" fontId="2" fillId="0" borderId="0" xfId="0" applyFont="1" applyAlignment="1">
      <alignment horizontal="left" vertical="center"/>
    </xf>
    <xf numFmtId="167" fontId="5" fillId="8" borderId="3" xfId="0" applyNumberFormat="1" applyFont="1" applyFill="1" applyBorder="1" applyAlignment="1">
      <alignment horizontal="center" vertical="center" wrapText="1"/>
    </xf>
    <xf numFmtId="166" fontId="18" fillId="6" borderId="1" xfId="0" applyNumberFormat="1" applyFont="1" applyFill="1" applyBorder="1" applyAlignment="1">
      <alignment vertical="center"/>
    </xf>
    <xf numFmtId="44" fontId="16" fillId="0" borderId="0" xfId="0" applyNumberFormat="1" applyFont="1" applyAlignment="1">
      <alignment horizontal="center"/>
    </xf>
    <xf numFmtId="0" fontId="19" fillId="0" borderId="1" xfId="0" applyFont="1" applyBorder="1" applyAlignment="1">
      <alignment horizontal="left" vertical="center"/>
    </xf>
    <xf numFmtId="167" fontId="12" fillId="0" borderId="1" xfId="0" applyNumberFormat="1" applyFont="1" applyBorder="1" applyAlignment="1">
      <alignment horizontal="left" vertical="center"/>
    </xf>
    <xf numFmtId="44" fontId="12" fillId="0" borderId="1" xfId="1" applyNumberFormat="1" applyFont="1" applyFill="1" applyBorder="1" applyAlignment="1">
      <alignment horizontal="left" vertical="center"/>
    </xf>
    <xf numFmtId="0" fontId="46" fillId="0" borderId="1" xfId="6" applyFont="1" applyBorder="1"/>
    <xf numFmtId="0" fontId="12" fillId="0" borderId="1"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horizontal="left" vertical="center" wrapText="1"/>
    </xf>
    <xf numFmtId="0" fontId="9" fillId="6" borderId="11" xfId="0" applyFont="1" applyFill="1" applyBorder="1" applyAlignment="1">
      <alignment vertical="center"/>
    </xf>
    <xf numFmtId="0" fontId="12" fillId="0" borderId="11" xfId="0" applyFont="1" applyBorder="1" applyAlignment="1">
      <alignment horizontal="left" vertical="center"/>
    </xf>
    <xf numFmtId="0" fontId="0" fillId="0" borderId="11" xfId="0" applyBorder="1" applyAlignment="1">
      <alignment horizontal="left" vertical="center"/>
    </xf>
    <xf numFmtId="44" fontId="1" fillId="0" borderId="11" xfId="1" applyNumberFormat="1" applyFont="1" applyFill="1" applyBorder="1" applyAlignment="1">
      <alignment horizontal="left" vertical="center"/>
    </xf>
    <xf numFmtId="166" fontId="0" fillId="0" borderId="11" xfId="0" applyNumberFormat="1" applyBorder="1" applyAlignment="1">
      <alignment horizontal="left" vertical="center"/>
    </xf>
    <xf numFmtId="44" fontId="18" fillId="6" borderId="11" xfId="0" applyNumberFormat="1" applyFont="1" applyFill="1" applyBorder="1" applyAlignment="1">
      <alignment vertical="center"/>
    </xf>
    <xf numFmtId="167" fontId="0" fillId="0" borderId="11" xfId="0" applyNumberFormat="1" applyBorder="1" applyAlignment="1">
      <alignment horizontal="left" vertical="center"/>
    </xf>
    <xf numFmtId="167" fontId="16" fillId="0" borderId="11" xfId="0" applyNumberFormat="1" applyFont="1" applyBorder="1" applyAlignment="1">
      <alignment horizontal="left" vertical="center"/>
    </xf>
    <xf numFmtId="167" fontId="12" fillId="0" borderId="11" xfId="0" applyNumberFormat="1" applyFont="1" applyBorder="1" applyAlignment="1">
      <alignment horizontal="left" vertical="center"/>
    </xf>
    <xf numFmtId="44" fontId="12" fillId="0" borderId="11" xfId="1" applyNumberFormat="1" applyFont="1" applyFill="1" applyBorder="1" applyAlignment="1">
      <alignment horizontal="left" vertical="center"/>
    </xf>
    <xf numFmtId="9" fontId="1" fillId="0" borderId="11" xfId="5" applyFont="1" applyFill="1" applyBorder="1" applyAlignment="1">
      <alignment horizontal="center" vertical="center"/>
    </xf>
    <xf numFmtId="0" fontId="0" fillId="0" borderId="8" xfId="0" applyBorder="1" applyAlignment="1">
      <alignment horizontal="left" vertical="center"/>
    </xf>
    <xf numFmtId="0" fontId="9" fillId="6" borderId="8" xfId="0" applyFont="1" applyFill="1" applyBorder="1" applyAlignment="1">
      <alignment vertical="center"/>
    </xf>
    <xf numFmtId="0" fontId="12" fillId="0" borderId="8" xfId="0" applyFont="1" applyBorder="1" applyAlignment="1">
      <alignment horizontal="left" vertical="center"/>
    </xf>
    <xf numFmtId="166" fontId="0" fillId="0" borderId="8" xfId="0" applyNumberFormat="1" applyBorder="1" applyAlignment="1">
      <alignment horizontal="left" vertical="center"/>
    </xf>
    <xf numFmtId="44" fontId="18" fillId="6" borderId="8" xfId="0" applyNumberFormat="1" applyFont="1" applyFill="1" applyBorder="1" applyAlignment="1">
      <alignment vertical="center"/>
    </xf>
    <xf numFmtId="167" fontId="0" fillId="0" borderId="8" xfId="0" applyNumberFormat="1" applyBorder="1" applyAlignment="1">
      <alignment horizontal="left" vertical="center"/>
    </xf>
    <xf numFmtId="167" fontId="16" fillId="0" borderId="8" xfId="0" applyNumberFormat="1" applyFont="1" applyBorder="1" applyAlignment="1">
      <alignment horizontal="left" vertical="center"/>
    </xf>
    <xf numFmtId="167" fontId="12" fillId="0" borderId="8" xfId="0" applyNumberFormat="1" applyFont="1" applyBorder="1" applyAlignment="1">
      <alignment horizontal="left" vertical="center"/>
    </xf>
    <xf numFmtId="44" fontId="12" fillId="0" borderId="8" xfId="1" applyNumberFormat="1" applyFont="1" applyFill="1" applyBorder="1" applyAlignment="1">
      <alignment horizontal="left" vertical="center"/>
    </xf>
    <xf numFmtId="9" fontId="1" fillId="0" borderId="8" xfId="5" applyFont="1" applyFill="1" applyBorder="1" applyAlignment="1">
      <alignment horizontal="center" vertical="center"/>
    </xf>
    <xf numFmtId="0" fontId="12" fillId="0" borderId="5" xfId="0" applyFont="1" applyBorder="1" applyAlignment="1">
      <alignment horizontal="left" vertical="center"/>
    </xf>
    <xf numFmtId="0" fontId="27" fillId="10" borderId="1" xfId="0" applyFont="1" applyFill="1" applyBorder="1" applyAlignment="1">
      <alignment horizontal="left" vertical="center"/>
    </xf>
    <xf numFmtId="0" fontId="12" fillId="0" borderId="10" xfId="0" applyFont="1" applyBorder="1" applyAlignment="1">
      <alignment horizontal="left" vertical="center"/>
    </xf>
    <xf numFmtId="0" fontId="43" fillId="0" borderId="8" xfId="0" applyFont="1" applyBorder="1"/>
    <xf numFmtId="0" fontId="0" fillId="9" borderId="1" xfId="0" applyFill="1" applyBorder="1" applyAlignment="1">
      <alignment vertical="center"/>
    </xf>
    <xf numFmtId="9" fontId="47" fillId="9" borderId="1" xfId="1" applyNumberFormat="1" applyFont="1" applyFill="1" applyBorder="1" applyAlignment="1">
      <alignment horizontal="center"/>
    </xf>
    <xf numFmtId="9" fontId="47" fillId="9" borderId="1" xfId="5" applyFont="1" applyFill="1" applyBorder="1" applyAlignment="1">
      <alignment horizontal="center"/>
    </xf>
    <xf numFmtId="0" fontId="0" fillId="9" borderId="1" xfId="0" applyFill="1" applyBorder="1" applyAlignment="1">
      <alignment horizontal="left" vertical="center"/>
    </xf>
    <xf numFmtId="0" fontId="8" fillId="9" borderId="1" xfId="0" applyFont="1" applyFill="1" applyBorder="1" applyAlignment="1">
      <alignment horizontal="left" vertical="center"/>
    </xf>
    <xf numFmtId="165" fontId="0" fillId="0" borderId="0" xfId="1" applyFont="1"/>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7" borderId="0" xfId="0" applyFont="1" applyFill="1" applyAlignment="1">
      <alignment horizontal="left"/>
    </xf>
    <xf numFmtId="44" fontId="2" fillId="7" borderId="0" xfId="0" applyNumberFormat="1" applyFont="1" applyFill="1" applyAlignment="1">
      <alignment horizontal="left"/>
    </xf>
    <xf numFmtId="0" fontId="0" fillId="0" borderId="0" xfId="0" applyAlignment="1">
      <alignment horizontal="right"/>
    </xf>
    <xf numFmtId="0" fontId="2" fillId="4" borderId="0" xfId="0" applyFont="1" applyFill="1" applyAlignment="1">
      <alignment horizontal="left" vertical="center"/>
    </xf>
    <xf numFmtId="0" fontId="2" fillId="4" borderId="0" xfId="0" applyFont="1" applyFill="1" applyAlignment="1">
      <alignment horizontal="center" vertical="center"/>
    </xf>
    <xf numFmtId="0" fontId="0" fillId="0" borderId="0" xfId="0" applyAlignment="1">
      <alignment horizontal="center" vertical="center"/>
    </xf>
    <xf numFmtId="168" fontId="2" fillId="6" borderId="0" xfId="4" applyNumberFormat="1" applyFont="1" applyFill="1" applyBorder="1" applyAlignment="1">
      <alignment horizontal="left" vertical="center"/>
    </xf>
    <xf numFmtId="0" fontId="2" fillId="7" borderId="1" xfId="0" applyFont="1" applyFill="1" applyBorder="1" applyAlignment="1">
      <alignment horizontal="center"/>
    </xf>
    <xf numFmtId="0" fontId="5" fillId="8" borderId="1" xfId="0" applyFont="1" applyFill="1" applyBorder="1" applyAlignment="1">
      <alignment horizontal="center" vertical="center" wrapText="1"/>
    </xf>
    <xf numFmtId="44" fontId="5" fillId="8" borderId="1" xfId="1" applyNumberFormat="1"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5" fontId="5" fillId="8" borderId="1" xfId="1" applyNumberFormat="1" applyFont="1" applyFill="1" applyBorder="1" applyAlignment="1">
      <alignment horizontal="center" vertical="center" wrapText="1"/>
    </xf>
    <xf numFmtId="5" fontId="5" fillId="8" borderId="5" xfId="1" applyNumberFormat="1" applyFont="1" applyFill="1" applyBorder="1" applyAlignment="1">
      <alignment horizontal="center" vertical="center" wrapText="1"/>
    </xf>
    <xf numFmtId="0" fontId="5" fillId="0" borderId="0" xfId="0" applyFont="1" applyAlignment="1">
      <alignment horizontal="center" vertical="center" wrapText="1"/>
    </xf>
    <xf numFmtId="0" fontId="12" fillId="6" borderId="1" xfId="0" applyFont="1" applyFill="1" applyBorder="1" applyAlignment="1">
      <alignment horizontal="left" vertical="center"/>
    </xf>
    <xf numFmtId="0" fontId="12" fillId="0" borderId="1" xfId="0" applyFont="1" applyBorder="1" applyAlignment="1">
      <alignment horizontal="center" vertical="center"/>
    </xf>
    <xf numFmtId="166" fontId="12" fillId="0" borderId="1" xfId="0" applyNumberFormat="1" applyFont="1" applyBorder="1" applyAlignment="1">
      <alignment horizontal="right" vertical="center"/>
    </xf>
    <xf numFmtId="44" fontId="12" fillId="6" borderId="1" xfId="0" applyNumberFormat="1" applyFont="1" applyFill="1" applyBorder="1" applyAlignment="1">
      <alignment horizontal="left" vertical="center"/>
    </xf>
    <xf numFmtId="167" fontId="12" fillId="0" borderId="1" xfId="0" applyNumberFormat="1" applyFont="1" applyBorder="1" applyAlignment="1">
      <alignment horizontal="center" vertical="center"/>
    </xf>
    <xf numFmtId="167" fontId="12" fillId="0" borderId="3" xfId="0" applyNumberFormat="1" applyFont="1" applyBorder="1" applyAlignment="1">
      <alignment horizontal="center" vertical="center"/>
    </xf>
    <xf numFmtId="44" fontId="12" fillId="0" borderId="5" xfId="1" applyNumberFormat="1" applyFont="1" applyFill="1" applyBorder="1" applyAlignment="1">
      <alignment horizontal="left" vertical="center"/>
    </xf>
    <xf numFmtId="9" fontId="12" fillId="0" borderId="1" xfId="5" applyFont="1" applyFill="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xf>
    <xf numFmtId="0" fontId="12" fillId="9" borderId="1" xfId="0" applyFont="1" applyFill="1" applyBorder="1" applyAlignment="1">
      <alignment horizontal="center" vertical="center"/>
    </xf>
    <xf numFmtId="44" fontId="12" fillId="9" borderId="1" xfId="1" applyNumberFormat="1" applyFont="1" applyFill="1" applyBorder="1" applyAlignment="1">
      <alignment horizontal="left" vertical="center"/>
    </xf>
    <xf numFmtId="166" fontId="12" fillId="9" borderId="1" xfId="0" applyNumberFormat="1" applyFont="1" applyFill="1" applyBorder="1" applyAlignment="1">
      <alignment horizontal="right" vertical="center"/>
    </xf>
    <xf numFmtId="0" fontId="12" fillId="9" borderId="1" xfId="0" applyFont="1" applyFill="1" applyBorder="1" applyAlignment="1">
      <alignment horizontal="left" vertical="center"/>
    </xf>
    <xf numFmtId="167" fontId="12" fillId="9" borderId="1" xfId="0" applyNumberFormat="1" applyFont="1" applyFill="1" applyBorder="1" applyAlignment="1">
      <alignment horizontal="left" vertical="center"/>
    </xf>
    <xf numFmtId="167" fontId="12" fillId="9" borderId="3" xfId="0" applyNumberFormat="1" applyFont="1" applyFill="1" applyBorder="1" applyAlignment="1">
      <alignment horizontal="center" vertical="center"/>
    </xf>
    <xf numFmtId="0" fontId="12" fillId="0" borderId="0" xfId="0" applyFont="1" applyAlignment="1">
      <alignment horizontal="left"/>
    </xf>
    <xf numFmtId="165" fontId="12" fillId="0" borderId="1" xfId="1" applyFont="1" applyBorder="1" applyAlignment="1">
      <alignment horizontal="center"/>
    </xf>
    <xf numFmtId="0" fontId="12" fillId="11" borderId="1" xfId="0" applyFont="1" applyFill="1" applyBorder="1" applyAlignment="1">
      <alignment horizontal="left" vertical="center"/>
    </xf>
    <xf numFmtId="0" fontId="12" fillId="12" borderId="1" xfId="0" applyFont="1" applyFill="1" applyBorder="1" applyAlignment="1">
      <alignment horizontal="left" vertical="center"/>
    </xf>
    <xf numFmtId="167" fontId="12" fillId="9" borderId="1" xfId="0" applyNumberFormat="1" applyFont="1" applyFill="1" applyBorder="1" applyAlignment="1">
      <alignment horizontal="center" vertical="center"/>
    </xf>
    <xf numFmtId="0" fontId="12" fillId="9" borderId="1" xfId="0" applyFont="1" applyFill="1" applyBorder="1" applyAlignment="1">
      <alignment horizontal="left"/>
    </xf>
    <xf numFmtId="0" fontId="12" fillId="9" borderId="0" xfId="0" applyFont="1" applyFill="1" applyAlignment="1">
      <alignment horizontal="left" vertical="center"/>
    </xf>
    <xf numFmtId="166" fontId="0" fillId="0" borderId="1" xfId="0" applyNumberFormat="1" applyBorder="1" applyAlignment="1">
      <alignment horizontal="right" vertical="center"/>
    </xf>
    <xf numFmtId="0" fontId="2" fillId="6" borderId="1" xfId="0" applyFont="1" applyFill="1" applyBorder="1" applyAlignment="1">
      <alignment horizontal="left" vertical="center"/>
    </xf>
    <xf numFmtId="44" fontId="2" fillId="6" borderId="1" xfId="0" applyNumberFormat="1" applyFont="1" applyFill="1" applyBorder="1" applyAlignment="1">
      <alignment horizontal="left" vertical="center"/>
    </xf>
    <xf numFmtId="44" fontId="2" fillId="6" borderId="1" xfId="0" applyNumberFormat="1" applyFont="1" applyFill="1" applyBorder="1" applyAlignment="1">
      <alignment horizontal="right" vertical="center"/>
    </xf>
    <xf numFmtId="0" fontId="2" fillId="6" borderId="3" xfId="0" applyFont="1" applyFill="1" applyBorder="1" applyAlignment="1">
      <alignment horizontal="center" vertical="center"/>
    </xf>
    <xf numFmtId="44" fontId="2" fillId="6" borderId="5" xfId="0" applyNumberFormat="1" applyFont="1" applyFill="1" applyBorder="1" applyAlignment="1">
      <alignment horizontal="left" vertical="center"/>
    </xf>
    <xf numFmtId="44" fontId="0" fillId="0" borderId="0" xfId="0" applyNumberFormat="1" applyAlignment="1">
      <alignment horizontal="left"/>
    </xf>
    <xf numFmtId="44" fontId="2" fillId="6" borderId="11" xfId="0" applyNumberFormat="1" applyFont="1" applyFill="1" applyBorder="1" applyAlignment="1">
      <alignment horizontal="left" vertical="center"/>
    </xf>
    <xf numFmtId="165" fontId="39" fillId="0" borderId="1" xfId="1" applyFont="1" applyFill="1" applyBorder="1"/>
    <xf numFmtId="165" fontId="18" fillId="0" borderId="1" xfId="1" applyFont="1" applyFill="1" applyBorder="1" applyAlignment="1">
      <alignment horizontal="left" vertical="center"/>
    </xf>
    <xf numFmtId="165" fontId="2" fillId="6" borderId="1" xfId="1" applyFont="1" applyFill="1" applyBorder="1" applyAlignment="1">
      <alignment vertical="center"/>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16" fillId="0" borderId="1" xfId="0" applyFont="1"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166" fontId="16" fillId="0" borderId="1" xfId="0" applyNumberFormat="1" applyFont="1" applyBorder="1" applyAlignment="1">
      <alignment horizontal="right" vertical="center"/>
    </xf>
    <xf numFmtId="166" fontId="0" fillId="0" borderId="11" xfId="0" applyNumberFormat="1" applyBorder="1" applyAlignment="1">
      <alignment horizontal="right" vertical="center"/>
    </xf>
    <xf numFmtId="166" fontId="0" fillId="0" borderId="8" xfId="0" applyNumberFormat="1" applyBorder="1" applyAlignment="1">
      <alignment horizontal="right" vertical="center"/>
    </xf>
    <xf numFmtId="0" fontId="0" fillId="0" borderId="1" xfId="0" applyBorder="1" applyAlignment="1">
      <alignment horizontal="center"/>
    </xf>
    <xf numFmtId="167" fontId="5" fillId="8" borderId="1" xfId="0" applyNumberFormat="1" applyFont="1" applyFill="1" applyBorder="1" applyAlignment="1">
      <alignment horizontal="center" vertical="center" wrapText="1"/>
    </xf>
    <xf numFmtId="0" fontId="2" fillId="3" borderId="0" xfId="0" applyFont="1" applyFill="1" applyAlignment="1">
      <alignment horizontal="right" vertical="center"/>
    </xf>
    <xf numFmtId="0" fontId="11" fillId="7" borderId="0" xfId="0" applyFont="1" applyFill="1" applyAlignment="1">
      <alignment horizontal="left"/>
    </xf>
    <xf numFmtId="0" fontId="2" fillId="4" borderId="0" xfId="0" applyFont="1" applyFill="1" applyAlignment="1">
      <alignment horizontal="right" vertical="center"/>
    </xf>
    <xf numFmtId="0" fontId="0" fillId="0" borderId="0" xfId="0" applyAlignment="1">
      <alignment horizontal="left" vertical="center"/>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0" fontId="2" fillId="5" borderId="0" xfId="0" applyFont="1" applyFill="1" applyAlignment="1">
      <alignment horizontal="center" wrapText="1"/>
    </xf>
    <xf numFmtId="0" fontId="0" fillId="7" borderId="1" xfId="0" applyFill="1" applyBorder="1" applyAlignment="1">
      <alignment horizontal="center" vertical="center" wrapText="1"/>
    </xf>
    <xf numFmtId="0" fontId="2" fillId="5" borderId="2" xfId="0" applyFont="1" applyFill="1" applyBorder="1" applyAlignment="1">
      <alignment horizontal="center" vertical="center" wrapText="1"/>
    </xf>
    <xf numFmtId="167" fontId="2" fillId="8" borderId="1" xfId="0" applyNumberFormat="1" applyFont="1" applyFill="1" applyBorder="1" applyAlignment="1">
      <alignment horizontal="center" vertical="center"/>
    </xf>
    <xf numFmtId="167" fontId="5" fillId="8" borderId="3" xfId="0" applyNumberFormat="1" applyFont="1" applyFill="1" applyBorder="1" applyAlignment="1">
      <alignment horizontal="center" vertical="center" wrapText="1"/>
    </xf>
    <xf numFmtId="167" fontId="5" fillId="8" borderId="4" xfId="0" applyNumberFormat="1" applyFont="1" applyFill="1" applyBorder="1" applyAlignment="1">
      <alignment horizontal="center" vertical="center" wrapText="1"/>
    </xf>
    <xf numFmtId="167" fontId="5" fillId="8" borderId="5" xfId="0" applyNumberFormat="1" applyFont="1" applyFill="1" applyBorder="1" applyAlignment="1">
      <alignment horizontal="center" vertical="center" wrapText="1"/>
    </xf>
    <xf numFmtId="167" fontId="35" fillId="8" borderId="1" xfId="0" applyNumberFormat="1" applyFont="1" applyFill="1" applyBorder="1" applyAlignment="1">
      <alignment horizontal="center" vertical="center" wrapText="1"/>
    </xf>
    <xf numFmtId="0" fontId="31" fillId="3" borderId="0" xfId="0" applyFont="1" applyFill="1" applyAlignment="1">
      <alignment horizontal="right" vertical="center"/>
    </xf>
    <xf numFmtId="0" fontId="32" fillId="7" borderId="0" xfId="0" applyFont="1" applyFill="1" applyAlignment="1">
      <alignment horizontal="left"/>
    </xf>
    <xf numFmtId="0" fontId="31" fillId="4" borderId="0" xfId="0" applyFont="1" applyFill="1" applyAlignment="1">
      <alignment horizontal="right" vertical="center"/>
    </xf>
    <xf numFmtId="0" fontId="16" fillId="0" borderId="0" xfId="0" applyFont="1" applyAlignment="1">
      <alignment horizontal="left" vertical="center"/>
    </xf>
    <xf numFmtId="0" fontId="31" fillId="5" borderId="0" xfId="0" applyFont="1" applyFill="1" applyAlignment="1">
      <alignment horizontal="right" vertical="center" wrapText="1"/>
    </xf>
    <xf numFmtId="0" fontId="31" fillId="5" borderId="2" xfId="0" applyFont="1" applyFill="1" applyBorder="1" applyAlignment="1">
      <alignment horizontal="right" vertical="center" wrapText="1"/>
    </xf>
    <xf numFmtId="0" fontId="18" fillId="7" borderId="0" xfId="0" applyFont="1" applyFill="1" applyAlignment="1">
      <alignment horizontal="left" vertical="center" wrapText="1"/>
    </xf>
    <xf numFmtId="0" fontId="18" fillId="7" borderId="2" xfId="0" applyFont="1" applyFill="1" applyBorder="1" applyAlignment="1">
      <alignment horizontal="left" vertical="center" wrapText="1"/>
    </xf>
  </cellXfs>
  <cellStyles count="11">
    <cellStyle name="Hipervínculo" xfId="6" builtinId="8"/>
    <cellStyle name="Millares" xfId="4" builtinId="3"/>
    <cellStyle name="Millares [0] 2" xfId="10" xr:uid="{C4C7E5FF-8328-4C3E-B81E-DC97CDD3F383}"/>
    <cellStyle name="Moneda" xfId="1" builtinId="4"/>
    <cellStyle name="Moneda [0] 2" xfId="9" xr:uid="{1A173925-9346-44AE-AD14-C1CAD7C62845}"/>
    <cellStyle name="Normal" xfId="0" builtinId="0"/>
    <cellStyle name="Normal 2" xfId="2" xr:uid="{00000000-0005-0000-0000-000004000000}"/>
    <cellStyle name="Normal 3" xfId="3" xr:uid="{00000000-0005-0000-0000-000005000000}"/>
    <cellStyle name="Normal 4" xfId="7" xr:uid="{62E478E1-146F-4816-A836-831508AEFF8C}"/>
    <cellStyle name="Normal 5" xfId="8" xr:uid="{2E857E84-61E2-48B5-927A-B8025AAE6779}"/>
    <cellStyle name="Porcentaje" xfId="5" builtinId="5"/>
  </cellStyles>
  <dxfs count="31">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60960</xdr:colOff>
      <xdr:row>1</xdr:row>
      <xdr:rowOff>60960</xdr:rowOff>
    </xdr:from>
    <xdr:to>
      <xdr:col>26</xdr:col>
      <xdr:colOff>670560</xdr:colOff>
      <xdr:row>2</xdr:row>
      <xdr:rowOff>148590</xdr:rowOff>
    </xdr:to>
    <xdr:sp macro="" textlink="">
      <xdr:nvSpPr>
        <xdr:cNvPr id="2" name="Llamada rectangular redondeada 3">
          <a:extLst>
            <a:ext uri="{FF2B5EF4-FFF2-40B4-BE49-F238E27FC236}">
              <a16:creationId xmlns:a16="http://schemas.microsoft.com/office/drawing/2014/main" id="{CFB6DBDC-B1C6-444C-8C02-28880EDF2019}"/>
            </a:ext>
          </a:extLst>
        </xdr:cNvPr>
        <xdr:cNvSpPr/>
      </xdr:nvSpPr>
      <xdr:spPr>
        <a:xfrm>
          <a:off x="24778335" y="25146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27</xdr:col>
      <xdr:colOff>49530</xdr:colOff>
      <xdr:row>1</xdr:row>
      <xdr:rowOff>64770</xdr:rowOff>
    </xdr:from>
    <xdr:to>
      <xdr:col>27</xdr:col>
      <xdr:colOff>659130</xdr:colOff>
      <xdr:row>2</xdr:row>
      <xdr:rowOff>152400</xdr:rowOff>
    </xdr:to>
    <xdr:sp macro="" textlink="">
      <xdr:nvSpPr>
        <xdr:cNvPr id="3" name="Llamada rectangular redondeada 4">
          <a:extLst>
            <a:ext uri="{FF2B5EF4-FFF2-40B4-BE49-F238E27FC236}">
              <a16:creationId xmlns:a16="http://schemas.microsoft.com/office/drawing/2014/main" id="{E6F70C49-9729-412A-B243-0E9DFD1ABEB4}"/>
            </a:ext>
          </a:extLst>
        </xdr:cNvPr>
        <xdr:cNvSpPr/>
      </xdr:nvSpPr>
      <xdr:spPr>
        <a:xfrm>
          <a:off x="25528905" y="2552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28</xdr:col>
      <xdr:colOff>182880</xdr:colOff>
      <xdr:row>1</xdr:row>
      <xdr:rowOff>41910</xdr:rowOff>
    </xdr:from>
    <xdr:to>
      <xdr:col>28</xdr:col>
      <xdr:colOff>792480</xdr:colOff>
      <xdr:row>2</xdr:row>
      <xdr:rowOff>129540</xdr:rowOff>
    </xdr:to>
    <xdr:sp macro="" textlink="">
      <xdr:nvSpPr>
        <xdr:cNvPr id="4" name="Llamada rectangular redondeada 6">
          <a:extLst>
            <a:ext uri="{FF2B5EF4-FFF2-40B4-BE49-F238E27FC236}">
              <a16:creationId xmlns:a16="http://schemas.microsoft.com/office/drawing/2014/main" id="{E52D3C12-745C-4E62-9AE3-1B98861B6A1E}"/>
            </a:ext>
          </a:extLst>
        </xdr:cNvPr>
        <xdr:cNvSpPr/>
      </xdr:nvSpPr>
      <xdr:spPr>
        <a:xfrm>
          <a:off x="26424255" y="23241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29</xdr:col>
      <xdr:colOff>499109</xdr:colOff>
      <xdr:row>0</xdr:row>
      <xdr:rowOff>49530</xdr:rowOff>
    </xdr:from>
    <xdr:to>
      <xdr:col>31</xdr:col>
      <xdr:colOff>57149</xdr:colOff>
      <xdr:row>1</xdr:row>
      <xdr:rowOff>144780</xdr:rowOff>
    </xdr:to>
    <xdr:sp macro="" textlink="">
      <xdr:nvSpPr>
        <xdr:cNvPr id="5" name="Llamada rectangular redondeada 8">
          <a:extLst>
            <a:ext uri="{FF2B5EF4-FFF2-40B4-BE49-F238E27FC236}">
              <a16:creationId xmlns:a16="http://schemas.microsoft.com/office/drawing/2014/main" id="{1C726D52-70B0-4299-B578-0C5412439B33}"/>
            </a:ext>
          </a:extLst>
        </xdr:cNvPr>
        <xdr:cNvSpPr/>
      </xdr:nvSpPr>
      <xdr:spPr>
        <a:xfrm>
          <a:off x="27731084" y="49530"/>
          <a:ext cx="958215" cy="28575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19</xdr:col>
      <xdr:colOff>304800</xdr:colOff>
      <xdr:row>1</xdr:row>
      <xdr:rowOff>34290</xdr:rowOff>
    </xdr:from>
    <xdr:to>
      <xdr:col>19</xdr:col>
      <xdr:colOff>914400</xdr:colOff>
      <xdr:row>2</xdr:row>
      <xdr:rowOff>121920</xdr:rowOff>
    </xdr:to>
    <xdr:sp macro="" textlink="">
      <xdr:nvSpPr>
        <xdr:cNvPr id="6" name="Llamada rectangular redondeada 3">
          <a:extLst>
            <a:ext uri="{FF2B5EF4-FFF2-40B4-BE49-F238E27FC236}">
              <a16:creationId xmlns:a16="http://schemas.microsoft.com/office/drawing/2014/main" id="{72E61D22-8308-410F-9130-1E28D5DF23DE}"/>
            </a:ext>
          </a:extLst>
        </xdr:cNvPr>
        <xdr:cNvSpPr/>
      </xdr:nvSpPr>
      <xdr:spPr>
        <a:xfrm>
          <a:off x="17678400"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60960</xdr:colOff>
      <xdr:row>1</xdr:row>
      <xdr:rowOff>60960</xdr:rowOff>
    </xdr:from>
    <xdr:to>
      <xdr:col>26</xdr:col>
      <xdr:colOff>670560</xdr:colOff>
      <xdr:row>2</xdr:row>
      <xdr:rowOff>148590</xdr:rowOff>
    </xdr:to>
    <xdr:sp macro="" textlink="">
      <xdr:nvSpPr>
        <xdr:cNvPr id="2" name="Llamada rectangular redondeada 3">
          <a:extLst>
            <a:ext uri="{FF2B5EF4-FFF2-40B4-BE49-F238E27FC236}">
              <a16:creationId xmlns:a16="http://schemas.microsoft.com/office/drawing/2014/main" id="{EDFBAB1B-28AB-4755-B4EA-B7152070A12E}"/>
            </a:ext>
          </a:extLst>
        </xdr:cNvPr>
        <xdr:cNvSpPr/>
      </xdr:nvSpPr>
      <xdr:spPr>
        <a:xfrm>
          <a:off x="25340310" y="25146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27</xdr:col>
      <xdr:colOff>49530</xdr:colOff>
      <xdr:row>1</xdr:row>
      <xdr:rowOff>64770</xdr:rowOff>
    </xdr:from>
    <xdr:to>
      <xdr:col>27</xdr:col>
      <xdr:colOff>659130</xdr:colOff>
      <xdr:row>2</xdr:row>
      <xdr:rowOff>152400</xdr:rowOff>
    </xdr:to>
    <xdr:sp macro="" textlink="">
      <xdr:nvSpPr>
        <xdr:cNvPr id="3" name="Llamada rectangular redondeada 4">
          <a:extLst>
            <a:ext uri="{FF2B5EF4-FFF2-40B4-BE49-F238E27FC236}">
              <a16:creationId xmlns:a16="http://schemas.microsoft.com/office/drawing/2014/main" id="{986231C7-127F-426A-AFF6-650DB9B4947A}"/>
            </a:ext>
          </a:extLst>
        </xdr:cNvPr>
        <xdr:cNvSpPr/>
      </xdr:nvSpPr>
      <xdr:spPr>
        <a:xfrm>
          <a:off x="26090880" y="2552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28</xdr:col>
      <xdr:colOff>182880</xdr:colOff>
      <xdr:row>1</xdr:row>
      <xdr:rowOff>41910</xdr:rowOff>
    </xdr:from>
    <xdr:to>
      <xdr:col>28</xdr:col>
      <xdr:colOff>792480</xdr:colOff>
      <xdr:row>2</xdr:row>
      <xdr:rowOff>129540</xdr:rowOff>
    </xdr:to>
    <xdr:sp macro="" textlink="">
      <xdr:nvSpPr>
        <xdr:cNvPr id="4" name="Llamada rectangular redondeada 6">
          <a:extLst>
            <a:ext uri="{FF2B5EF4-FFF2-40B4-BE49-F238E27FC236}">
              <a16:creationId xmlns:a16="http://schemas.microsoft.com/office/drawing/2014/main" id="{A820AC54-BBDA-4258-9920-CE8AC472F411}"/>
            </a:ext>
          </a:extLst>
        </xdr:cNvPr>
        <xdr:cNvSpPr/>
      </xdr:nvSpPr>
      <xdr:spPr>
        <a:xfrm>
          <a:off x="26986230" y="23241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29</xdr:col>
      <xdr:colOff>499109</xdr:colOff>
      <xdr:row>0</xdr:row>
      <xdr:rowOff>49530</xdr:rowOff>
    </xdr:from>
    <xdr:to>
      <xdr:col>31</xdr:col>
      <xdr:colOff>57149</xdr:colOff>
      <xdr:row>1</xdr:row>
      <xdr:rowOff>144780</xdr:rowOff>
    </xdr:to>
    <xdr:sp macro="" textlink="">
      <xdr:nvSpPr>
        <xdr:cNvPr id="5" name="Llamada rectangular redondeada 8">
          <a:extLst>
            <a:ext uri="{FF2B5EF4-FFF2-40B4-BE49-F238E27FC236}">
              <a16:creationId xmlns:a16="http://schemas.microsoft.com/office/drawing/2014/main" id="{CB7A2388-AEE2-40BA-AF57-A13778694277}"/>
            </a:ext>
          </a:extLst>
        </xdr:cNvPr>
        <xdr:cNvSpPr/>
      </xdr:nvSpPr>
      <xdr:spPr>
        <a:xfrm>
          <a:off x="28293059" y="49530"/>
          <a:ext cx="681990" cy="28575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19</xdr:col>
      <xdr:colOff>304800</xdr:colOff>
      <xdr:row>1</xdr:row>
      <xdr:rowOff>34290</xdr:rowOff>
    </xdr:from>
    <xdr:to>
      <xdr:col>19</xdr:col>
      <xdr:colOff>914400</xdr:colOff>
      <xdr:row>2</xdr:row>
      <xdr:rowOff>121920</xdr:rowOff>
    </xdr:to>
    <xdr:sp macro="" textlink="">
      <xdr:nvSpPr>
        <xdr:cNvPr id="6" name="Llamada rectangular redondeada 3">
          <a:extLst>
            <a:ext uri="{FF2B5EF4-FFF2-40B4-BE49-F238E27FC236}">
              <a16:creationId xmlns:a16="http://schemas.microsoft.com/office/drawing/2014/main" id="{4F8A80B7-F3C5-47AB-AE33-315E732871F3}"/>
            </a:ext>
          </a:extLst>
        </xdr:cNvPr>
        <xdr:cNvSpPr/>
      </xdr:nvSpPr>
      <xdr:spPr>
        <a:xfrm>
          <a:off x="18430875"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60960</xdr:colOff>
      <xdr:row>1</xdr:row>
      <xdr:rowOff>60960</xdr:rowOff>
    </xdr:from>
    <xdr:to>
      <xdr:col>29</xdr:col>
      <xdr:colOff>670560</xdr:colOff>
      <xdr:row>2</xdr:row>
      <xdr:rowOff>148590</xdr:rowOff>
    </xdr:to>
    <xdr:sp macro="" textlink="">
      <xdr:nvSpPr>
        <xdr:cNvPr id="2" name="Llamada rectangular redondeada 3">
          <a:extLst>
            <a:ext uri="{FF2B5EF4-FFF2-40B4-BE49-F238E27FC236}">
              <a16:creationId xmlns:a16="http://schemas.microsoft.com/office/drawing/2014/main" id="{3352F4C3-7316-476F-AA6C-0AEB0113FC0C}"/>
            </a:ext>
          </a:extLst>
        </xdr:cNvPr>
        <xdr:cNvSpPr/>
      </xdr:nvSpPr>
      <xdr:spPr>
        <a:xfrm>
          <a:off x="35284410" y="25146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30</xdr:col>
      <xdr:colOff>49530</xdr:colOff>
      <xdr:row>1</xdr:row>
      <xdr:rowOff>64770</xdr:rowOff>
    </xdr:from>
    <xdr:to>
      <xdr:col>30</xdr:col>
      <xdr:colOff>659130</xdr:colOff>
      <xdr:row>2</xdr:row>
      <xdr:rowOff>152400</xdr:rowOff>
    </xdr:to>
    <xdr:sp macro="" textlink="">
      <xdr:nvSpPr>
        <xdr:cNvPr id="3" name="Llamada rectangular redondeada 4">
          <a:extLst>
            <a:ext uri="{FF2B5EF4-FFF2-40B4-BE49-F238E27FC236}">
              <a16:creationId xmlns:a16="http://schemas.microsoft.com/office/drawing/2014/main" id="{8F1A5FAB-CDFE-4BCD-98C3-573D7313E2E8}"/>
            </a:ext>
          </a:extLst>
        </xdr:cNvPr>
        <xdr:cNvSpPr/>
      </xdr:nvSpPr>
      <xdr:spPr>
        <a:xfrm>
          <a:off x="36034980" y="25527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31</xdr:col>
      <xdr:colOff>182880</xdr:colOff>
      <xdr:row>1</xdr:row>
      <xdr:rowOff>41910</xdr:rowOff>
    </xdr:from>
    <xdr:to>
      <xdr:col>31</xdr:col>
      <xdr:colOff>792480</xdr:colOff>
      <xdr:row>2</xdr:row>
      <xdr:rowOff>129540</xdr:rowOff>
    </xdr:to>
    <xdr:sp macro="" textlink="">
      <xdr:nvSpPr>
        <xdr:cNvPr id="4" name="Llamada rectangular redondeada 6">
          <a:extLst>
            <a:ext uri="{FF2B5EF4-FFF2-40B4-BE49-F238E27FC236}">
              <a16:creationId xmlns:a16="http://schemas.microsoft.com/office/drawing/2014/main" id="{AD6768C5-EDAE-4326-8FDE-E214B431DC9B}"/>
            </a:ext>
          </a:extLst>
        </xdr:cNvPr>
        <xdr:cNvSpPr/>
      </xdr:nvSpPr>
      <xdr:spPr>
        <a:xfrm>
          <a:off x="36930330" y="23241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32</xdr:col>
      <xdr:colOff>499109</xdr:colOff>
      <xdr:row>0</xdr:row>
      <xdr:rowOff>49530</xdr:rowOff>
    </xdr:from>
    <xdr:to>
      <xdr:col>34</xdr:col>
      <xdr:colOff>57149</xdr:colOff>
      <xdr:row>1</xdr:row>
      <xdr:rowOff>144780</xdr:rowOff>
    </xdr:to>
    <xdr:sp macro="" textlink="">
      <xdr:nvSpPr>
        <xdr:cNvPr id="5" name="Llamada rectangular redondeada 8">
          <a:extLst>
            <a:ext uri="{FF2B5EF4-FFF2-40B4-BE49-F238E27FC236}">
              <a16:creationId xmlns:a16="http://schemas.microsoft.com/office/drawing/2014/main" id="{99196C69-D2D7-497B-98EC-C034757DA23F}"/>
            </a:ext>
          </a:extLst>
        </xdr:cNvPr>
        <xdr:cNvSpPr/>
      </xdr:nvSpPr>
      <xdr:spPr>
        <a:xfrm>
          <a:off x="38237159" y="49530"/>
          <a:ext cx="720090" cy="28575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twoCellAnchor>
    <xdr:from>
      <xdr:col>22</xdr:col>
      <xdr:colOff>304800</xdr:colOff>
      <xdr:row>1</xdr:row>
      <xdr:rowOff>34290</xdr:rowOff>
    </xdr:from>
    <xdr:to>
      <xdr:col>22</xdr:col>
      <xdr:colOff>914400</xdr:colOff>
      <xdr:row>2</xdr:row>
      <xdr:rowOff>121920</xdr:rowOff>
    </xdr:to>
    <xdr:sp macro="" textlink="">
      <xdr:nvSpPr>
        <xdr:cNvPr id="6" name="Llamada rectangular redondeada 3">
          <a:extLst>
            <a:ext uri="{FF2B5EF4-FFF2-40B4-BE49-F238E27FC236}">
              <a16:creationId xmlns:a16="http://schemas.microsoft.com/office/drawing/2014/main" id="{A00C644C-9D2D-431A-9355-482B28166AAF}"/>
            </a:ext>
          </a:extLst>
        </xdr:cNvPr>
        <xdr:cNvSpPr/>
      </xdr:nvSpPr>
      <xdr:spPr>
        <a:xfrm>
          <a:off x="26717625" y="224790"/>
          <a:ext cx="609600" cy="278130"/>
        </a:xfrm>
        <a:prstGeom prst="wedgeRoundRectCallou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rgbClr val="FF0000"/>
              </a:solidFill>
            </a:rPr>
            <a:t>Nuevo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Downloads\Formato-PROCESOS%20DE%20CONTRATACION%202023%20JULIO%20VAC.xlsx" TargetMode="External"/><Relationship Id="rId1" Type="http://schemas.openxmlformats.org/officeDocument/2006/relationships/externalLinkPath" Target="/Users/HOGAR/Downloads/Formato-PROCESOS%20DE%20CONTRATACION%202023%20JULIO%20VAC.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msalasp\Desktop\JONATAN%20BUENABER%20WISMAN\VALIDACION\SECOP%20MES%20DE%20JULIO-2023.xlsx" TargetMode="External"/><Relationship Id="rId1" Type="http://schemas.openxmlformats.org/officeDocument/2006/relationships/externalLinkPath" Target="/Users/msalasp/Desktop/JONATAN%20BUENABER%20WISMAN/VALIDACION/SECOP%20MES%20DE%20JULIO-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VEX\PROCESOS%20CONTRATUALES%20TRANSPARENCIA\SANDRA%20ECOPETRO\3.%20Formato-PROCESOS%20DE%20CONTRATACION%20MAY-2023%20ECOPETRO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Downloads\PROCESOS%20JULIO%20(1).xlsx" TargetMode="External"/><Relationship Id="rId1" Type="http://schemas.openxmlformats.org/officeDocument/2006/relationships/externalLinkPath" Target="/Users/HOGAR/Downloads/PROCESOS%20JULIO%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OGAR\Downloads\PROCEOS%20CONTRATUALES%20JULIO%202023%20(4).xlsx" TargetMode="External"/><Relationship Id="rId1" Type="http://schemas.openxmlformats.org/officeDocument/2006/relationships/externalLinkPath" Target="/Users/HOGAR/Downloads/PROCEOS%20CONTRATUALES%20JULIO%202023%20(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HOGAR\Downloads\Formato%20Informe%20Gestion%20Contractual%20(1)%20(1).xlsx" TargetMode="External"/><Relationship Id="rId1" Type="http://schemas.openxmlformats.org/officeDocument/2006/relationships/externalLinkPath" Target="/Users/HOGAR/Downloads/Formato%20Informe%20Gestion%20Contractual%20(1)%2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OGAR\Downloads\Informe%20de%20Ley%20de%20transparencia%20del%20mes%20de%20julio%20FCS.xlsx" TargetMode="External"/><Relationship Id="rId1" Type="http://schemas.openxmlformats.org/officeDocument/2006/relationships/externalLinkPath" Target="/Users/HOGAR/Downloads/Informe%20de%20Ley%20de%20transparencia%20del%20mes%20de%20julio%20FC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HOGAR\Downloads\Formato-PROCESOS%20DE%20CONTRATACION%20ACTUALIZADO%202023%20(3).xlsx" TargetMode="External"/><Relationship Id="rId1" Type="http://schemas.openxmlformats.org/officeDocument/2006/relationships/externalLinkPath" Target="/Users/HOGAR/Downloads/Formato-PROCESOS%20DE%20CONTRATACION%20ACTUALIZADO%202023%20(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HOGAR\Downloads\Formato-PROCESOS%20DE%20CONTRATACION%20ACTUALIZADO%202023%20(2).xlsx" TargetMode="External"/><Relationship Id="rId1" Type="http://schemas.openxmlformats.org/officeDocument/2006/relationships/externalLinkPath" Target="/Users/HOGAR/Downloads/Formato-PROCESOS%20DE%20CONTRATACION%20ACTUALIZADO%202023%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universidadmag-my.sharepoint.com/personal/vfuentest_unimagdalena_edu_co/Documents/CONTRATACI&#211;N%202023/CUADRO%202023.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msalasp\Desktop\JONATAN%20BUENABER%20WISMAN\VALIDACION\REPORTE%20DE%20PAGOS%20JULIO%202023.xlsx" TargetMode="External"/><Relationship Id="rId1" Type="http://schemas.openxmlformats.org/officeDocument/2006/relationships/externalLinkPath" Target="/Users/msalasp/Desktop/JONATAN%20BUENABER%20WISMAN/VALIDACION/REPORTE%20DE%20PAGOS%20JUL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OP_II_JULIO_VAD(1)"/>
      <sheetName val="Hoja1"/>
    </sheetNames>
    <sheetDataSet>
      <sheetData sheetId="0" refreshError="1"/>
      <sheetData sheetId="1">
        <row r="3">
          <cell r="D3" t="str">
            <v>OPSP-VAD-0676-2023</v>
          </cell>
          <cell r="E3" t="str">
            <v>https://community.secop.gov.co/Public/Tendering/OpportunityDetail/Index?noticeUID=CO1.NTC.4711414&amp;isFromPublicArea=True&amp;isModal=true&amp;asPopupView=true</v>
          </cell>
        </row>
        <row r="4">
          <cell r="D4" t="str">
            <v>OAG-VAD-0678-2023</v>
          </cell>
          <cell r="E4" t="str">
            <v>https://community.secop.gov.co/Public/Tendering/OpportunityDetail/Index?noticeUID=CO1.NTC.4711198&amp;isFromPublicArea=True&amp;isModal=true&amp;asPopupView=true</v>
          </cell>
        </row>
        <row r="5">
          <cell r="D5" t="str">
            <v>OPSP-VAD-0681-2023</v>
          </cell>
          <cell r="E5" t="str">
            <v>https://community.secop.gov.co/Public/Tendering/OpportunityDetail/Index?noticeUID=CO1.NTC.4711423&amp;isFromPublicArea=True&amp;isModal=true&amp;asPopupView=true</v>
          </cell>
        </row>
        <row r="6">
          <cell r="D6" t="str">
            <v>OPSP-VAD-0677-2023</v>
          </cell>
          <cell r="E6" t="str">
            <v>https://community.secop.gov.co/Public/Tendering/OpportunityDetail/Index?noticeUID=CO1.NTC.4711415&amp;isFromPublicArea=True&amp;isModal=true&amp;asPopupView=true</v>
          </cell>
        </row>
        <row r="7">
          <cell r="D7" t="str">
            <v>OPSP-VAD-0675-2023</v>
          </cell>
          <cell r="E7" t="str">
            <v>https://community.secop.gov.co/Public/Tendering/OpportunityDetail/Index?noticeUID=CO1.NTC.4711410&amp;isFromPublicArea=True&amp;isModal=true&amp;asPopupView=true</v>
          </cell>
        </row>
        <row r="8">
          <cell r="D8" t="str">
            <v>OAG-VAD-0679-2023</v>
          </cell>
          <cell r="E8" t="str">
            <v>https://community.secop.gov.co/Public/Tendering/OpportunityDetail/Index?noticeUID=CO1.NTC.4711420&amp;isFromPublicArea=True&amp;isModal=true&amp;asPopupView=true</v>
          </cell>
        </row>
        <row r="9">
          <cell r="D9" t="str">
            <v>OPSP-VAD-0673-2023</v>
          </cell>
          <cell r="E9" t="str">
            <v>https://community.secop.gov.co/Public/Tendering/OpportunityDetail/Index?noticeUID=CO1.NTC.4711323&amp;isFromPublicArea=True&amp;isModal=true&amp;asPopupView=true</v>
          </cell>
        </row>
        <row r="10">
          <cell r="D10" t="str">
            <v>OPSP-VAD-0680-2023</v>
          </cell>
          <cell r="E10" t="str">
            <v>https://community.secop.gov.co/Public/Tendering/OpportunityDetail/Index?noticeUID=CO1.NTC.4711422&amp;isFromPublicArea=True&amp;isModal=true&amp;asPopupView=true</v>
          </cell>
        </row>
        <row r="11">
          <cell r="D11" t="str">
            <v>OAG-VAD-0682-2023</v>
          </cell>
          <cell r="E11" t="str">
            <v>https://community.secop.gov.co/Public/Tendering/OpportunityDetail/Index?noticeUID=CO1.NTC.4711426&amp;isFromPublicArea=True&amp;isModal=true&amp;asPopupView=true</v>
          </cell>
        </row>
        <row r="12">
          <cell r="D12" t="str">
            <v>OPSP-VAD-0674-2023</v>
          </cell>
          <cell r="E12" t="str">
            <v>https://community.secop.gov.co/Public/Tendering/OpportunityDetail/Index?noticeUID=CO1.NTC.4711191&amp;isFromPublicArea=True&amp;isModal=true&amp;asPopupView=true</v>
          </cell>
        </row>
        <row r="13">
          <cell r="D13" t="str">
            <v>OPSP-VAD-0690-2023</v>
          </cell>
          <cell r="E13" t="str">
            <v>https://community.secop.gov.co/Public/Tendering/OpportunityDetail/Index?noticeUID=CO1.NTC.4712919&amp;isFromPublicArea=True&amp;isModal=true&amp;asPopupView=true</v>
          </cell>
        </row>
        <row r="14">
          <cell r="D14" t="str">
            <v>OAG-VAD-0691-2023</v>
          </cell>
          <cell r="E14" t="str">
            <v>https://community.secop.gov.co/Public/Tendering/OpportunityDetail/Index?noticeUID=CO1.NTC.4712920&amp;isFromPublicArea=True&amp;isModal=true&amp;asPopupView=true</v>
          </cell>
        </row>
        <row r="15">
          <cell r="D15" t="str">
            <v>OPSP-VAD-0694-2023</v>
          </cell>
          <cell r="E15" t="str">
            <v>https://community.secop.gov.co/Public/Tendering/OpportunityDetail/Index?noticeUID=CO1.NTC.4712924&amp;isFromPublicArea=True&amp;isModal=true&amp;asPopupView=true</v>
          </cell>
        </row>
        <row r="16">
          <cell r="D16" t="str">
            <v>OPSP-VAD-0686-2023</v>
          </cell>
          <cell r="E16" t="str">
            <v>https://community.secop.gov.co/Public/Tendering/OpportunityDetail/Index?noticeUID=CO1.NTC.4712916&amp;isFromPublicArea=True&amp;isModal=true&amp;asPopupView=true</v>
          </cell>
        </row>
        <row r="17">
          <cell r="D17" t="str">
            <v>OPSP-VAD-0684-2023</v>
          </cell>
          <cell r="E17" t="str">
            <v>https://community.secop.gov.co/Public/Tendering/OpportunityDetail/Index?noticeUID=CO1.NTC.4712812&amp;isFromPublicArea=True&amp;isModal=true&amp;asPopupView=true</v>
          </cell>
        </row>
        <row r="18">
          <cell r="D18" t="str">
            <v>OAG-VAD-0683-2023</v>
          </cell>
          <cell r="E18" t="str">
            <v>https://community.secop.gov.co/Public/Tendering/OpportunityDetail/Index?noticeUID=CO1.NTC.4713102&amp;isFromPublicArea=True&amp;isModal=true&amp;asPopupView=true</v>
          </cell>
        </row>
        <row r="19">
          <cell r="D19" t="str">
            <v>OAG-VAD-0692-2023</v>
          </cell>
          <cell r="E19" t="str">
            <v>https://community.secop.gov.co/Public/Tendering/OpportunityDetail/Index?noticeUID=CO1.NTC.4712922&amp;isFromPublicArea=True&amp;isModal=true&amp;asPopupView=true</v>
          </cell>
        </row>
        <row r="20">
          <cell r="D20" t="str">
            <v>OPSP-VAD-0693-2023</v>
          </cell>
          <cell r="E20" t="str">
            <v>https://community.secop.gov.co/Public/Tendering/OpportunityDetail/Index?noticeUID=CO1.NTC.4712923&amp;isFromPublicArea=True&amp;isModal=true&amp;asPopupView=true</v>
          </cell>
        </row>
        <row r="21">
          <cell r="D21" t="str">
            <v>OPSP-VAD-0687-2023</v>
          </cell>
          <cell r="E21" t="str">
            <v>https://community.secop.gov.co/Public/Tendering/OpportunityDetail/Index?noticeUID=CO1.NTC.4712915&amp;isFromPublicArea=True&amp;isModal=true&amp;asPopupView=true</v>
          </cell>
        </row>
        <row r="22">
          <cell r="D22" t="str">
            <v>OPSP-VAD-0685-2023</v>
          </cell>
          <cell r="E22" t="str">
            <v>https://community.secop.gov.co/Public/Tendering/OpportunityDetail/Index?noticeUID=CO1.NTC.4713104&amp;isFromPublicArea=True&amp;isModal=true&amp;asPopupView=true</v>
          </cell>
        </row>
        <row r="23">
          <cell r="D23" t="str">
            <v>OPSP-VAD-0689-2023</v>
          </cell>
          <cell r="E23" t="str">
            <v>https://community.secop.gov.co/Public/Tendering/OpportunityDetail/Index?noticeUID=CO1.NTC.4712918&amp;isFromPublicArea=True&amp;isModal=true&amp;asPopupView=true</v>
          </cell>
        </row>
        <row r="24">
          <cell r="D24" t="str">
            <v>OPSP-VAD-0695-2023</v>
          </cell>
          <cell r="E24" t="str">
            <v>https://community.secop.gov.co/Public/Tendering/OpportunityDetail/Index?noticeUID=CO1.NTC.4712925&amp;isFromPublicArea=True&amp;isModal=true&amp;asPopupView=true</v>
          </cell>
        </row>
        <row r="25">
          <cell r="D25" t="str">
            <v>OAG-VAD-0719-2023</v>
          </cell>
          <cell r="E25" t="str">
            <v>https://community.secop.gov.co/Public/Tendering/OpportunityDetail/Index?noticeUID=CO1.NTC.4719559&amp;isFromPublicArea=True&amp;isModal=true&amp;asPopupView=true</v>
          </cell>
        </row>
        <row r="26">
          <cell r="D26" t="str">
            <v>OPSP-VAD-0717-2023</v>
          </cell>
          <cell r="E26" t="str">
            <v>https://community.secop.gov.co/Public/Tendering/OpportunityDetail/Index?noticeUID=CO1.NTC.4719458&amp;isFromPublicArea=True&amp;isModal=true&amp;asPopupView=true</v>
          </cell>
        </row>
        <row r="27">
          <cell r="D27" t="str">
            <v>OAG-VAD-0721-2023</v>
          </cell>
          <cell r="E27" t="str">
            <v>https://community.secop.gov.co/Public/Tendering/OpportunityDetail/Index?noticeUID=CO1.NTC.4719461&amp;isFromPublicArea=True&amp;isModal=true&amp;asPopupView=true</v>
          </cell>
        </row>
        <row r="28">
          <cell r="D28" t="str">
            <v>OPSP-VAD-0731-2023</v>
          </cell>
          <cell r="E28" t="str">
            <v>https://community.secop.gov.co/Public/Tendering/OpportunityDetail/Index?noticeUID=CO1.NTC.4719469&amp;isFromPublicArea=True&amp;isModal=true&amp;asPopupView=true</v>
          </cell>
        </row>
        <row r="29">
          <cell r="D29" t="str">
            <v>OAG-VAD-0726-2023</v>
          </cell>
          <cell r="E29" t="str">
            <v>https://community.secop.gov.co/Public/Tendering/OpportunityDetail/Index?noticeUID=CO1.NTC.4719280&amp;isFromPublicArea=True&amp;isModal=true&amp;asPopupView=true</v>
          </cell>
        </row>
        <row r="30">
          <cell r="D30" t="str">
            <v>OPSP-VAD-0714-2023</v>
          </cell>
          <cell r="E30" t="str">
            <v>https://community.secop.gov.co/Public/Tendering/OpportunityDetail/Index?noticeUID=CO1.NTC.4719555&amp;isFromPublicArea=True&amp;isModal=true&amp;asPopupView=true</v>
          </cell>
        </row>
        <row r="31">
          <cell r="D31" t="str">
            <v>OPSP-VAD-0729-2023</v>
          </cell>
          <cell r="E31" t="str">
            <v>https://community.secop.gov.co/Public/Tendering/OpportunityDetail/Index?noticeUID=CO1.NTC.4719468&amp;isFromPublicArea=True&amp;isModal=true&amp;asPopupView=true</v>
          </cell>
        </row>
        <row r="32">
          <cell r="D32" t="str">
            <v>OPSP-VAD-0707-2023</v>
          </cell>
          <cell r="E32" t="str">
            <v>https://community.secop.gov.co/Public/Tendering/OpportunityDetail/Index?noticeUID=CO1.NTC.4718801&amp;isFromPublicArea=True&amp;isModal=true&amp;asPopupView=true</v>
          </cell>
        </row>
        <row r="33">
          <cell r="D33" t="str">
            <v>OAG-VAD-0713-2023</v>
          </cell>
          <cell r="E33" t="str">
            <v>https://community.secop.gov.co/Public/Tendering/OpportunityDetail/Index?noticeUID=CO1.NTC.4719554&amp;isFromPublicArea=True&amp;isModal=true&amp;asPopupView=true</v>
          </cell>
        </row>
        <row r="34">
          <cell r="D34" t="str">
            <v>OPSP-VAD-0727-2023</v>
          </cell>
          <cell r="E34" t="str">
            <v>https://community.secop.gov.co/Public/Tendering/OpportunityDetail/Index?noticeUID=CO1.NTC.4719282&amp;isFromPublicArea=True&amp;isModal=true&amp;asPopupView=true</v>
          </cell>
        </row>
        <row r="35">
          <cell r="D35" t="str">
            <v>OAG-VAD-0722-2023</v>
          </cell>
          <cell r="E35" t="str">
            <v>https://community.secop.gov.co/Public/Tendering/OpportunityDetail/Index?noticeUID=CO1.NTC.4719465&amp;isFromPublicArea=True&amp;isModal=true&amp;asPopupView=true</v>
          </cell>
        </row>
        <row r="36">
          <cell r="D36" t="str">
            <v>OPSP-VAD-0688-2023</v>
          </cell>
          <cell r="E36" t="str">
            <v>https://community.secop.gov.co/Public/Tendering/OpportunityDetail/Index?noticeUID=CO1.NTC.4718063&amp;isFromPublicArea=True&amp;isModal=true&amp;asPopupView=true</v>
          </cell>
        </row>
        <row r="37">
          <cell r="D37" t="str">
            <v>OPSP-VAD-0711-2023</v>
          </cell>
          <cell r="E37" t="str">
            <v>https://community.secop.gov.co/Public/Tendering/OpportunityDetail/Index?noticeUID=CO1.NTC.4719456&amp;isFromPublicArea=True&amp;isModal=true&amp;asPopupView=true</v>
          </cell>
        </row>
        <row r="38">
          <cell r="D38" t="str">
            <v>OPSP-VAD-0732-2023</v>
          </cell>
          <cell r="E38" t="str">
            <v>https://community.secop.gov.co/Public/Tendering/OpportunityDetail/Index?noticeUID=CO1.NTC.4719641&amp;isFromPublicArea=True&amp;isModal=true&amp;asPopupView=true</v>
          </cell>
        </row>
        <row r="39">
          <cell r="D39" t="str">
            <v>OAG-VAD-0725-2023</v>
          </cell>
          <cell r="E39" t="str">
            <v>https://community.secop.gov.co/Public/Tendering/OpportunityDetail/Index?noticeUID=CO1.NTC.4719277&amp;isFromPublicArea=True&amp;isModal=true&amp;asPopupView=true</v>
          </cell>
        </row>
        <row r="40">
          <cell r="D40" t="str">
            <v>OAG-VAD-0710-2023</v>
          </cell>
          <cell r="E40" t="str">
            <v>https://community.secop.gov.co/Public/Tendering/OpportunityDetail/Index?noticeUID=CO1.NTC.4719633&amp;isFromPublicArea=True&amp;isModal=true&amp;asPopupView=true</v>
          </cell>
        </row>
        <row r="41">
          <cell r="D41" t="str">
            <v>OPSP-VAD-0702-2023</v>
          </cell>
          <cell r="E41" t="str">
            <v>https://community.secop.gov.co/Public/Tendering/OpportunityDetail/Index?noticeUID=CO1.NTC.4718270&amp;isFromPublicArea=True&amp;isModal=true&amp;asPopupView=true</v>
          </cell>
        </row>
        <row r="42">
          <cell r="D42" t="str">
            <v>OAG-VAD-0706-2023</v>
          </cell>
          <cell r="E42" t="str">
            <v>https://community.secop.gov.co/Public/Tendering/OpportunityDetail/Index?noticeUID=CO1.NTC.4719631&amp;isFromPublicArea=True&amp;isModal=true&amp;asPopupView=true</v>
          </cell>
        </row>
        <row r="43">
          <cell r="D43" t="str">
            <v>OPSP-VAD-0724-2023</v>
          </cell>
          <cell r="E43" t="str">
            <v>https://community.secop.gov.co/Public/Tendering/OpportunityDetail/Index?noticeUID=CO1.NTC.4719466&amp;isFromPublicArea=True&amp;isModal=true&amp;asPopupView=true</v>
          </cell>
        </row>
        <row r="44">
          <cell r="D44" t="str">
            <v>OPSP-VAD-0700-2023</v>
          </cell>
          <cell r="E44" t="str">
            <v>https://community.secop.gov.co/Public/Tendering/OpportunityDetail/Index?noticeUID=CO1.NTC.4717656&amp;isFromPublicArea=True&amp;isModal=true&amp;asPopupView=true</v>
          </cell>
        </row>
        <row r="45">
          <cell r="D45" t="str">
            <v>OPSP-VAD-0697-2023</v>
          </cell>
          <cell r="E45" t="str">
            <v>https://community.secop.gov.co/Public/Tendering/OpportunityDetail/Index?noticeUID=CO1.NTC.4718511&amp;isFromPublicArea=True&amp;isModal=true&amp;asPopupView=true</v>
          </cell>
        </row>
        <row r="46">
          <cell r="D46" t="str">
            <v>OPSP-VAD-0709-2023</v>
          </cell>
          <cell r="E46" t="str">
            <v>https://community.secop.gov.co/Public/Tendering/OpportunityDetail/Index?noticeUID=CO1.NTC.4719632&amp;isFromPublicArea=True&amp;isModal=true&amp;asPopupView=true</v>
          </cell>
        </row>
        <row r="47">
          <cell r="D47" t="str">
            <v>OAG-VAD-0718-2023</v>
          </cell>
          <cell r="E47" t="str">
            <v>https://community.secop.gov.co/Public/Tendering/OpportunityDetail/Index?noticeUID=CO1.NTC.4719459&amp;isFromPublicArea=True&amp;isModal=true&amp;asPopupView=true</v>
          </cell>
        </row>
        <row r="48">
          <cell r="D48" t="str">
            <v>OPSP-VAD-0701-2023</v>
          </cell>
          <cell r="E48" t="str">
            <v>https://community.secop.gov.co/Public/Tendering/OpportunityDetail/Index?noticeUID=CO1.NTC.4718078&amp;isFromPublicArea=True&amp;isModal=true&amp;asPopupView=true</v>
          </cell>
        </row>
        <row r="49">
          <cell r="D49" t="str">
            <v>OPSP-VAD-0704-2023</v>
          </cell>
          <cell r="E49" t="str">
            <v>https://community.secop.gov.co/Public/Tendering/OpportunityDetail/Index?noticeUID=CO1.NTC.4718680&amp;isFromPublicArea=True&amp;isModal=true&amp;asPopupView=true</v>
          </cell>
        </row>
        <row r="50">
          <cell r="D50" t="str">
            <v>OPSP-VAD-0730-2023</v>
          </cell>
          <cell r="E50" t="str">
            <v>https://community.secop.gov.co/Public/Tendering/OpportunityDetail/Index?noticeUID=CO1.NTC.4719638&amp;isFromPublicArea=True&amp;isModal=true&amp;asPopupView=true</v>
          </cell>
        </row>
        <row r="51">
          <cell r="D51" t="str">
            <v>OPSP-VAD-0728-2023</v>
          </cell>
          <cell r="E51" t="str">
            <v>https://community.secop.gov.co/Public/Tendering/OpportunityDetail/Index?noticeUID=CO1.NTC.4719284&amp;isFromPublicArea=True&amp;isModal=true&amp;asPopupView=true</v>
          </cell>
        </row>
        <row r="52">
          <cell r="D52" t="str">
            <v>OAG-VAD-0716-2023</v>
          </cell>
          <cell r="E52" t="str">
            <v>https://community.secop.gov.co/Public/Tendering/OpportunityDetail/Index?noticeUID=CO1.NTC.4719557&amp;isFromPublicArea=True&amp;isModal=true&amp;asPopupView=true</v>
          </cell>
        </row>
        <row r="53">
          <cell r="D53" t="str">
            <v>OPSP-VAD-0723-2023</v>
          </cell>
          <cell r="E53" t="str">
            <v>https://community.secop.gov.co/Public/Tendering/OpportunityDetail/Index?noticeUID=CO1.NTC.4719276&amp;isFromPublicArea=True&amp;isModal=true&amp;asPopupView=true</v>
          </cell>
        </row>
        <row r="54">
          <cell r="D54" t="str">
            <v>OAG-VAD-0720-2023</v>
          </cell>
          <cell r="E54" t="str">
            <v>https://community.secop.gov.co/Public/Tendering/OpportunityDetail/Index?noticeUID=CO1.NTC.4719460&amp;isFromPublicArea=True&amp;isModal=true&amp;asPopupView=true</v>
          </cell>
        </row>
        <row r="55">
          <cell r="D55" t="str">
            <v>OPSP-VAD-0699-2023</v>
          </cell>
          <cell r="E55" t="str">
            <v>https://community.secop.gov.co/Public/Tendering/OpportunityDetail/Index?noticeUID=CO1.NTC.4718505&amp;isFromPublicArea=True&amp;isModal=true&amp;asPopupView=true</v>
          </cell>
        </row>
        <row r="56">
          <cell r="D56" t="str">
            <v>OPSP-VAD-0715-2023</v>
          </cell>
          <cell r="E56" t="str">
            <v>https://community.secop.gov.co/Public/Tendering/OpportunityDetail/Index?noticeUID=CO1.NTC.4719275&amp;isFromPublicArea=True&amp;isModal=true&amp;asPopupView=true</v>
          </cell>
        </row>
        <row r="57">
          <cell r="D57" t="str">
            <v>OPSP-VAD-0698-2023</v>
          </cell>
          <cell r="E57" t="str">
            <v>https://community.secop.gov.co/Public/Tendering/OpportunityDetail/Index?noticeUID=CO1.NTC.4717894&amp;isFromPublicArea=True&amp;isModal=true&amp;asPopupView=true</v>
          </cell>
        </row>
        <row r="58">
          <cell r="D58" t="str">
            <v>OPSP-VAD-0712-2023</v>
          </cell>
          <cell r="E58" t="str">
            <v>https://community.secop.gov.co/Public/Tendering/OpportunityDetail/Index?noticeUID=CO1.NTC.4719553&amp;isFromPublicArea=True&amp;isModal=true&amp;asPopupView=true</v>
          </cell>
        </row>
        <row r="59">
          <cell r="D59" t="str">
            <v>OPSP-VAD-0733-2023</v>
          </cell>
          <cell r="E59" t="str">
            <v>https://community.secop.gov.co/Public/Tendering/OpportunityDetail/Index?noticeUID=CO1.NTC.4719642&amp;isFromPublicArea=True&amp;isModal=true&amp;asPopupView=true</v>
          </cell>
        </row>
        <row r="60">
          <cell r="D60" t="str">
            <v>OPSP-VAD-0708-2023</v>
          </cell>
          <cell r="E60" t="str">
            <v>https://community.secop.gov.co/Public/Tendering/OpportunityDetail/Index?noticeUID=CO1.NTC.4719014&amp;isFromPublicArea=True&amp;isModal=true&amp;asPopupView=true</v>
          </cell>
        </row>
        <row r="61">
          <cell r="D61" t="str">
            <v>OPSP-VAD-0703-2023</v>
          </cell>
          <cell r="E61" t="str">
            <v>https://community.secop.gov.co/Public/Tendering/OpportunityDetail/Index?noticeUID=CO1.NTC.4718657&amp;isFromPublicArea=True&amp;isModal=true&amp;asPopupView=true</v>
          </cell>
        </row>
        <row r="62">
          <cell r="D62" t="str">
            <v>OPSP-VAD-0748-2023</v>
          </cell>
          <cell r="E62" t="str">
            <v>https://community.secop.gov.co/Public/Tendering/OpportunityDetail/Index?noticeUID=CO1.NTC.4724697&amp;isFromPublicArea=True&amp;isModal=true&amp;asPopupView=true</v>
          </cell>
        </row>
        <row r="63">
          <cell r="D63" t="str">
            <v>OPSP-VAD-0749-2023</v>
          </cell>
          <cell r="E63" t="str">
            <v>https://community.secop.gov.co/Public/Tendering/OpportunityDetail/Index?noticeUID=CO1.NTC.4725036&amp;isFromPublicArea=True&amp;isModal=true&amp;asPopupView=true</v>
          </cell>
        </row>
        <row r="64">
          <cell r="D64" t="str">
            <v>OPSP-VAD-0734-2023</v>
          </cell>
          <cell r="E64" t="str">
            <v>https://community.secop.gov.co/Public/Tendering/OpportunityDetail/Index?noticeUID=CO1.NTC.4724306&amp;isFromPublicArea=True&amp;isModal=true&amp;asPopupView=true</v>
          </cell>
        </row>
        <row r="65">
          <cell r="D65" t="str">
            <v>OAG-VAD-0741-2023</v>
          </cell>
          <cell r="E65" t="str">
            <v>https://community.secop.gov.co/Public/Tendering/OpportunityDetail/Index?noticeUID=CO1.NTC.4724728&amp;isFromPublicArea=True&amp;isModal=true&amp;asPopupView=true</v>
          </cell>
        </row>
        <row r="66">
          <cell r="D66" t="str">
            <v>OPSP-VAD-0738-2023</v>
          </cell>
          <cell r="E66" t="str">
            <v>https://community.secop.gov.co/Public/Tendering/OpportunityDetail/Index?noticeUID=CO1.NTC.4724345&amp;isFromPublicArea=True&amp;isModal=true&amp;asPopupView=true</v>
          </cell>
        </row>
        <row r="67">
          <cell r="D67" t="str">
            <v>OPSP-VAD-0753-2023</v>
          </cell>
          <cell r="E67" t="str">
            <v>https://community.secop.gov.co/Public/Tendering/OpportunityDetail/Index?noticeUID=CO1.NTC.4725221&amp;isFromPublicArea=True&amp;isModal=true&amp;asPopupView=true</v>
          </cell>
        </row>
        <row r="68">
          <cell r="D68" t="str">
            <v>OPSP-VAD-0740-2023</v>
          </cell>
          <cell r="E68" t="str">
            <v>https://community.secop.gov.co/Public/Tendering/OpportunityDetail/Index?noticeUID=CO1.NTC.4724832&amp;isFromPublicArea=True&amp;isModal=true&amp;asPopupView=true</v>
          </cell>
        </row>
        <row r="69">
          <cell r="D69" t="str">
            <v>OPSP-VAD-0746-2023</v>
          </cell>
          <cell r="E69" t="str">
            <v>https://community.secop.gov.co/Public/Tendering/OpportunityDetail/Index?noticeUID=CO1.NTC.4724695&amp;isFromPublicArea=True&amp;isModal=true&amp;asPopupView=true</v>
          </cell>
        </row>
        <row r="70">
          <cell r="D70" t="str">
            <v>OAG-VAD-0742-2023</v>
          </cell>
          <cell r="E70" t="str">
            <v>https://community.secop.gov.co/Public/Tendering/OpportunityDetail/Index?noticeUID=CO1.NTC.4724843&amp;isFromPublicArea=True&amp;isModal=true&amp;asPopupView=true</v>
          </cell>
        </row>
        <row r="71">
          <cell r="D71" t="str">
            <v>OAG-VAD-0750-2023</v>
          </cell>
          <cell r="E71" t="str">
            <v>https://community.secop.gov.co/Public/Tendering/OpportunityDetail/Index?noticeUID=CO1.NTC.4725113&amp;isFromPublicArea=True&amp;isModal=true&amp;asPopupView=true</v>
          </cell>
        </row>
        <row r="72">
          <cell r="D72" t="str">
            <v>OPSP-VAD-0735-2023</v>
          </cell>
          <cell r="E72" t="str">
            <v>https://community.secop.gov.co/Public/Tendering/OpportunityDetail/Index?noticeUID=CO1.NTC.4724237&amp;isFromPublicArea=True&amp;isModal=true&amp;asPopupView=true</v>
          </cell>
        </row>
        <row r="73">
          <cell r="D73" t="str">
            <v>OPSP-VAD-0705-2023</v>
          </cell>
          <cell r="E73" t="str">
            <v>https://community.secop.gov.co/Public/Tendering/OpportunityDetail/Index?noticeUID=CO1.NTC.4719572&amp;isFromPublicArea=True&amp;isModal=true&amp;asPopupView=true</v>
          </cell>
        </row>
        <row r="74">
          <cell r="D74" t="str">
            <v>OAG-VAD-0751-2023</v>
          </cell>
          <cell r="E74" t="str">
            <v>https://community.secop.gov.co/Public/Tendering/OpportunityDetail/Index?noticeUID=CO1.NTC.4725116&amp;isFromPublicArea=True&amp;isModal=true&amp;asPopupView=true</v>
          </cell>
        </row>
        <row r="75">
          <cell r="D75" t="str">
            <v>OPSP-VAD-0744-2023</v>
          </cell>
          <cell r="E75" t="str">
            <v>https://community.secop.gov.co/Public/Tendering/OpportunityDetail/Index?noticeUID=CO1.NTC.4724789&amp;isFromPublicArea=True&amp;isModal=true&amp;asPopupView=true</v>
          </cell>
        </row>
        <row r="76">
          <cell r="D76" t="str">
            <v>OPSP-VAD-0745-2023</v>
          </cell>
          <cell r="E76" t="str">
            <v>https://community.secop.gov.co/Public/Tendering/OpportunityDetail/Index?noticeUID=CO1.NTC.4724691&amp;isFromPublicArea=True&amp;isModal=true&amp;asPopupView=true</v>
          </cell>
        </row>
        <row r="77">
          <cell r="D77" t="str">
            <v>OAG-VAD-0752-2023</v>
          </cell>
          <cell r="E77" t="str">
            <v>https://community.secop.gov.co/Public/Tendering/OpportunityDetail/Index?noticeUID=CO1.NTC.4725040&amp;isFromPublicArea=True&amp;isModal=true&amp;asPopupView=true</v>
          </cell>
        </row>
        <row r="78">
          <cell r="D78" t="str">
            <v>OPSP-VAD-0743-2023</v>
          </cell>
          <cell r="E78" t="str">
            <v>https://community.secop.gov.co/Public/Tendering/OpportunityDetail/Index?noticeUID=CO1.NTC.4724911&amp;isFromPublicArea=True&amp;isModal=true&amp;asPopupView=true</v>
          </cell>
        </row>
        <row r="79">
          <cell r="D79" t="str">
            <v>OPSP-VAD-0737-2023</v>
          </cell>
          <cell r="E79" t="str">
            <v>https://community.secop.gov.co/Public/Tendering/OpportunityDetail/Index?noticeUID=CO1.NTC.4724332&amp;isFromPublicArea=True&amp;isModal=true&amp;asPopupView=true</v>
          </cell>
        </row>
        <row r="80">
          <cell r="D80" t="str">
            <v>OPSP-VAD-0739-2023</v>
          </cell>
          <cell r="E80" t="str">
            <v>https://community.secop.gov.co/Public/Tendering/OpportunityDetail/Index?noticeUID=CO1.NTC.4724826&amp;isFromPublicArea=True&amp;isModal=true&amp;asPopupView=true</v>
          </cell>
        </row>
        <row r="81">
          <cell r="D81" t="str">
            <v>OAG-VAD-0736-2023</v>
          </cell>
          <cell r="E81" t="str">
            <v>https://community.secop.gov.co/Public/Tendering/OpportunityDetail/Index?noticeUID=CO1.NTC.4724327&amp;isFromPublicArea=True&amp;isModal=true&amp;asPopupView=true</v>
          </cell>
        </row>
        <row r="82">
          <cell r="D82" t="str">
            <v>OPSP-VAD-0768-2023</v>
          </cell>
          <cell r="E82" t="str">
            <v>https://community.secop.gov.co/Public/Tendering/OpportunityDetail/Index?noticeUID=CO1.NTC.4726518&amp;isFromPublicArea=True&amp;isModal=true&amp;asPopupView=true</v>
          </cell>
        </row>
        <row r="83">
          <cell r="D83" t="str">
            <v>OPSP-VAD-0747-2023</v>
          </cell>
          <cell r="E83" t="str">
            <v>https://community.secop.gov.co/Public/Tendering/OpportunityDetail/Index?noticeUID=CO1.NTC.4727701&amp;isFromPublicArea=True&amp;isModal=true&amp;asPopupView=true</v>
          </cell>
        </row>
        <row r="84">
          <cell r="D84" t="str">
            <v>OPSP-VAD-0758-2023</v>
          </cell>
          <cell r="E84" t="str">
            <v>https://community.secop.gov.co/Public/Tendering/OpportunityDetail/Index?noticeUID=CO1.NTC.4727386&amp;isFromPublicArea=True&amp;isModal=true&amp;asPopupView=true</v>
          </cell>
        </row>
        <row r="85">
          <cell r="D85" t="str">
            <v>OAG-VAD-0754-2023</v>
          </cell>
          <cell r="E85" t="str">
            <v>https://community.secop.gov.co/Public/Tendering/OpportunityDetail/Index?noticeUID=CO1.NTC.4726523&amp;isFromPublicArea=True&amp;isModal=true&amp;asPopupView=true</v>
          </cell>
        </row>
        <row r="86">
          <cell r="D86" t="str">
            <v>OAG-VAD-0762-2023</v>
          </cell>
          <cell r="E86" t="str">
            <v>https://community.secop.gov.co/Public/Tendering/OpportunityDetail/Index?noticeUID=CO1.NTC.4726682&amp;isFromPublicArea=True&amp;isModal=true&amp;asPopupView=true</v>
          </cell>
        </row>
        <row r="87">
          <cell r="D87" t="str">
            <v>OAG-VAD-0763-2023</v>
          </cell>
          <cell r="E87" t="str">
            <v>https://community.secop.gov.co/Public/Tendering/OpportunityDetail/Index?noticeUID=CO1.NTC.4727806&amp;isFromPublicArea=True&amp;isModal=true&amp;asPopupView=true</v>
          </cell>
        </row>
        <row r="88">
          <cell r="D88" t="str">
            <v>OPSP-VAD-0772-2023</v>
          </cell>
          <cell r="E88" t="str">
            <v>https://community.secop.gov.co/Public/Tendering/OpportunityDetail/Index?noticeUID=CO1.NTC.4727122&amp;isFromPublicArea=True&amp;isModal=true&amp;asPopupView=true</v>
          </cell>
        </row>
        <row r="89">
          <cell r="D89" t="str">
            <v>OPSP-VAD-0773-2023</v>
          </cell>
          <cell r="E89" t="str">
            <v>https://community.secop.gov.co/Public/Tendering/OpportunityDetail/Index?noticeUID=CO1.NTC.4727130&amp;isFromPublicArea=True&amp;isModal=true&amp;asPopupView=true</v>
          </cell>
        </row>
        <row r="90">
          <cell r="D90" t="str">
            <v>OAG-VAD-0764-2023</v>
          </cell>
          <cell r="E90" t="str">
            <v>https://community.secop.gov.co/Public/Tendering/OpportunityDetail/Index?noticeUID=CO1.NTC.4725951&amp;isFromPublicArea=True&amp;isModal=true&amp;asPopupView=true</v>
          </cell>
        </row>
        <row r="91">
          <cell r="D91" t="str">
            <v>OPSP-VAD-0766-2023</v>
          </cell>
          <cell r="E91" t="str">
            <v>https://community.secop.gov.co/Public/Tendering/OpportunityDetail/Index?noticeUID=CO1.NTC.4726323&amp;isFromPublicArea=True&amp;isModal=true&amp;asPopupView=true</v>
          </cell>
        </row>
        <row r="92">
          <cell r="D92" t="str">
            <v>OAG-VAD-0770-2023</v>
          </cell>
          <cell r="E92" t="str">
            <v>https://community.secop.gov.co/Public/Tendering/OpportunityDetail/Index?noticeUID=CO1.NTC.4726477&amp;isFromPublicArea=True&amp;isModal=true&amp;asPopupView=true</v>
          </cell>
        </row>
        <row r="93">
          <cell r="D93" t="str">
            <v>OPSP-VAD-0771-2023</v>
          </cell>
          <cell r="E93" t="str">
            <v>https://community.secop.gov.co/Public/Tendering/OpportunityDetail/Index?noticeUID=CO1.NTC.4727019&amp;isFromPublicArea=True&amp;isModal=true&amp;asPopupView=true</v>
          </cell>
        </row>
        <row r="94">
          <cell r="D94" t="str">
            <v>OAG-VAD-0767-2023</v>
          </cell>
          <cell r="E94" t="str">
            <v>https://community.secop.gov.co/Public/Tendering/OpportunityDetail/Index?noticeUID=CO1.NTC.4728761&amp;isFromPublicArea=True&amp;isModal=true&amp;asPopupView=true</v>
          </cell>
        </row>
        <row r="95">
          <cell r="D95" t="str">
            <v>OPSP-VAD-0765-2023</v>
          </cell>
          <cell r="E95" t="str">
            <v>https://community.secop.gov.co/Public/Tendering/OpportunityDetail/Index?noticeUID=CO1.NTC.4725500&amp;isFromPublicArea=True&amp;isModal=true&amp;asPopupView=true</v>
          </cell>
        </row>
        <row r="96">
          <cell r="D96" t="str">
            <v>OAG-VAD-0757-2023</v>
          </cell>
          <cell r="E96" t="str">
            <v>https://community.secop.gov.co/Public/Tendering/OpportunityDetail/Index?noticeUID=CO1.NTC.4727427&amp;isFromPublicArea=True&amp;isModal=true&amp;asPopupView=true</v>
          </cell>
        </row>
        <row r="97">
          <cell r="D97" t="str">
            <v>OPSP-VAD-0761-2023</v>
          </cell>
          <cell r="E97" t="str">
            <v>https://community.secop.gov.co/Public/Tendering/OpportunityDetail/Index?noticeUID=CO1.NTC.4726772&amp;isFromPublicArea=True&amp;isModal=true&amp;asPopupView=true</v>
          </cell>
        </row>
        <row r="98">
          <cell r="D98" t="str">
            <v>OAG-VAD-0756-2023</v>
          </cell>
          <cell r="E98" t="str">
            <v>https://community.secop.gov.co/Public/Tendering/OpportunityDetail/Index?noticeUID=CO1.NTC.4727209&amp;isFromPublicArea=True&amp;isModal=true&amp;asPopupView=true</v>
          </cell>
        </row>
        <row r="99">
          <cell r="D99" t="str">
            <v>OAG-VAD-0755-2023</v>
          </cell>
          <cell r="E99" t="str">
            <v>https://community.secop.gov.co/Public/Tendering/OpportunityDetail/Index?noticeUID=CO1.NTC.4726803&amp;isFromPublicArea=True&amp;isModal=true&amp;asPopupView=true</v>
          </cell>
        </row>
        <row r="100">
          <cell r="D100" t="str">
            <v>OAG-VAD-0759-2023</v>
          </cell>
          <cell r="E100" t="str">
            <v>https://community.secop.gov.co/Public/Tendering/OpportunityDetail/Index?noticeUID=CO1.NTC.4725977&amp;isFromPublicArea=True&amp;isModal=true&amp;asPopupView=true</v>
          </cell>
        </row>
        <row r="101">
          <cell r="D101" t="str">
            <v>OAG-VAD-0769-2023</v>
          </cell>
          <cell r="E101" t="str">
            <v>https://community.secop.gov.co/Public/Tendering/OpportunityDetail/Index?noticeUID=CO1.NTC.4726638&amp;isFromPublicArea=True&amp;isModal=true&amp;asPopupView=true</v>
          </cell>
        </row>
        <row r="102">
          <cell r="D102" t="str">
            <v>OPSP-VAD-0760-2023</v>
          </cell>
          <cell r="E102" t="str">
            <v>https://community.secop.gov.co/Public/Tendering/OpportunityDetail/Index?noticeUID=CO1.NTC.4729947&amp;isFromPublicArea=True&amp;isModal=true&amp;asPopupView=true</v>
          </cell>
        </row>
        <row r="103">
          <cell r="D103" t="str">
            <v>OAG-VAD-0801-2023</v>
          </cell>
          <cell r="E103" t="str">
            <v>https://community.secop.gov.co/Public/Tendering/OpportunityDetail/Index?noticeUID=CO1.NTC.4733527&amp;isFromPublicArea=True&amp;isModal=true&amp;asPopupView=true</v>
          </cell>
        </row>
        <row r="104">
          <cell r="D104" t="str">
            <v>OPSP-VAD-0791-2023</v>
          </cell>
          <cell r="E104" t="str">
            <v>https://community.secop.gov.co/Public/Tendering/OpportunityDetail/Index?noticeUID=CO1.NTC.4732530&amp;isFromPublicArea=True&amp;isModal=true&amp;asPopupView=true</v>
          </cell>
        </row>
        <row r="105">
          <cell r="D105" t="str">
            <v>OAG-VAD-0808-2023</v>
          </cell>
          <cell r="E105" t="str">
            <v>https://community.secop.gov.co/Public/Tendering/OpportunityDetail/Index?noticeUID=CO1.NTC.4734216&amp;isFromPublicArea=True&amp;isModal=true&amp;asPopupView=true</v>
          </cell>
        </row>
        <row r="106">
          <cell r="D106" t="str">
            <v>OPSP-VAD-0798-2023</v>
          </cell>
          <cell r="E106" t="str">
            <v>https://community.secop.gov.co/Public/Tendering/OpportunityDetail/Index?noticeUID=CO1.NTC.4732790&amp;isFromPublicArea=True&amp;isModal=true&amp;asPopupView=true</v>
          </cell>
        </row>
        <row r="107">
          <cell r="D107" t="str">
            <v>OAG-VAD-0805-2023</v>
          </cell>
          <cell r="E107" t="str">
            <v>https://community.secop.gov.co/Public/Tendering/OpportunityDetail/Index?noticeUID=CO1.NTC.4733599&amp;isFromPublicArea=True&amp;isModal=true&amp;asPopupView=true</v>
          </cell>
        </row>
        <row r="108">
          <cell r="D108" t="str">
            <v>OAG-VAD-0814-2023</v>
          </cell>
          <cell r="E108" t="str">
            <v>https://community.secop.gov.co/Public/Tendering/OpportunityDetail/Index?noticeUID=CO1.NTC.4734297&amp;isFromPublicArea=True&amp;isModal=true&amp;asPopupView=true</v>
          </cell>
        </row>
        <row r="109">
          <cell r="D109" t="str">
            <v>OPSP-VAD-0779-2023</v>
          </cell>
          <cell r="E109" t="str">
            <v>https://community.secop.gov.co/Public/Tendering/OpportunityDetail/Index?noticeUID=CO1.NTC.4733041&amp;isFromPublicArea=True&amp;isModal=true&amp;asPopupView=true</v>
          </cell>
        </row>
        <row r="110">
          <cell r="D110" t="str">
            <v>OAG-VAD-0802-2023</v>
          </cell>
          <cell r="E110" t="str">
            <v>https://community.secop.gov.co/Public/Tendering/OpportunityDetail/Index?noticeUID=CO1.NTC.4733386&amp;isFromPublicArea=True&amp;isModal=true&amp;asPopupView=true</v>
          </cell>
        </row>
        <row r="111">
          <cell r="D111" t="str">
            <v>OPSP-VAD-0784-2023</v>
          </cell>
          <cell r="E111" t="str">
            <v>https://community.secop.gov.co/Public/Tendering/OpportunityDetail/Index?noticeUID=CO1.NTC.4731477&amp;isFromPublicArea=True&amp;isModal=true&amp;asPopupView=true</v>
          </cell>
        </row>
        <row r="112">
          <cell r="D112" t="str">
            <v>OAG-VAD-0803-2023</v>
          </cell>
          <cell r="E112" t="str">
            <v>https://community.secop.gov.co/Public/Tendering/OpportunityDetail/Index?noticeUID=CO1.NTC.4733574&amp;isFromPublicArea=True&amp;isModal=true&amp;asPopupView=true</v>
          </cell>
        </row>
        <row r="113">
          <cell r="D113" t="str">
            <v>OPSP-VAD-0793-2023</v>
          </cell>
          <cell r="E113" t="str">
            <v>https://community.secop.gov.co/Public/Tendering/OpportunityDetail/Index?noticeUID=CO1.NTC.4732659&amp;isFromPublicArea=True&amp;isModal=true&amp;asPopupView=true</v>
          </cell>
        </row>
        <row r="114">
          <cell r="D114" t="str">
            <v>OPSP-VAD-0792-2023</v>
          </cell>
          <cell r="E114" t="str">
            <v>https://community.secop.gov.co/Public/Tendering/OpportunityDetail/Index?noticeUID=CO1.NTC.4732644&amp;isFromPublicArea=True&amp;isModal=true&amp;asPopupView=true</v>
          </cell>
        </row>
        <row r="115">
          <cell r="D115" t="str">
            <v>OPSP-VAD-0775-2023</v>
          </cell>
          <cell r="E115" t="str">
            <v>https://community.secop.gov.co/Public/Tendering/OpportunityDetail/Index?noticeUID=CO1.NTC.4732527&amp;isFromPublicArea=True&amp;isModal=true&amp;asPopupView=true</v>
          </cell>
        </row>
        <row r="116">
          <cell r="D116" t="str">
            <v>OAG-VAD-0807-2023</v>
          </cell>
          <cell r="E116" t="str">
            <v>https://community.secop.gov.co/Public/Tendering/OpportunityDetail/Index?noticeUID=CO1.NTC.4733949&amp;isFromPublicArea=True&amp;isModal=true&amp;asPopupView=true</v>
          </cell>
        </row>
        <row r="117">
          <cell r="D117" t="str">
            <v>OPSP-VAD-0780-2023</v>
          </cell>
          <cell r="E117" t="str">
            <v>https://community.secop.gov.co/Public/Tendering/OpportunityDetail/Index?noticeUID=CO1.NTC.4733090&amp;isFromPublicArea=True&amp;isModal=true&amp;asPopupView=true</v>
          </cell>
        </row>
        <row r="118">
          <cell r="D118" t="str">
            <v>OPSP-VAD-0778-2023</v>
          </cell>
          <cell r="E118" t="str">
            <v>https://community.secop.gov.co/Public/Tendering/OpportunityDetail/Index?noticeUID=CO1.NTC.4732937&amp;isFromPublicArea=True&amp;isModal=true&amp;asPopupView=true</v>
          </cell>
        </row>
        <row r="119">
          <cell r="D119" t="str">
            <v>OPSP-VAD-0796-2023</v>
          </cell>
          <cell r="E119" t="str">
            <v>https://community.secop.gov.co/Public/Tendering/OpportunityDetail/Index?noticeUID=CO1.NTC.4732756&amp;isFromPublicArea=True&amp;isModal=true&amp;asPopupView=true</v>
          </cell>
        </row>
        <row r="120">
          <cell r="D120" t="str">
            <v>OPSP-VAD-0789-2023</v>
          </cell>
          <cell r="E120" t="str">
            <v>https://community.secop.gov.co/Public/Tendering/OpportunityDetail/Index?noticeUID=CO1.NTC.4732181&amp;isFromPublicArea=True&amp;isModal=true&amp;asPopupView=true</v>
          </cell>
        </row>
        <row r="121">
          <cell r="D121" t="str">
            <v>OPSP-VAD-0820-2023</v>
          </cell>
          <cell r="E121" t="str">
            <v>https://community.secop.gov.co/Public/Tendering/OpportunityDetail/Index?noticeUID=CO1.NTC.4735177&amp;isFromPublicArea=True&amp;isModal=true&amp;asPopupView=true</v>
          </cell>
        </row>
        <row r="122">
          <cell r="D122" t="str">
            <v>OPSP-VAD-0795-2023</v>
          </cell>
          <cell r="E122" t="str">
            <v>https://community.secop.gov.co/Public/Tendering/OpportunityDetail/Index?noticeUID=CO1.NTC.4735229&amp;isFromPublicArea=True&amp;isModal=true&amp;asPopupView=true</v>
          </cell>
        </row>
        <row r="123">
          <cell r="D123" t="str">
            <v>OAG-VAD-0817-2023</v>
          </cell>
          <cell r="E123" t="str">
            <v>https://community.secop.gov.co/Public/Tendering/OpportunityDetail/Index?noticeUID=CO1.NTC.4735422&amp;isFromPublicArea=True&amp;isModal=true&amp;asPopupView=true</v>
          </cell>
        </row>
        <row r="124">
          <cell r="D124" t="str">
            <v>OAG-VAD-0799-2023</v>
          </cell>
          <cell r="E124" t="str">
            <v>https://community.secop.gov.co/Public/Tendering/OpportunityDetail/Index?noticeUID=CO1.NTC.4733044&amp;isFromPublicArea=True&amp;isModal=true&amp;asPopupView=true</v>
          </cell>
        </row>
        <row r="125">
          <cell r="D125" t="str">
            <v>OPSP-VAD-0809-2023</v>
          </cell>
          <cell r="E125" t="str">
            <v>https://community.secop.gov.co/Public/Tendering/OpportunityDetail/Index?noticeUID=CO1.NTC.4733898&amp;isFromPublicArea=True&amp;isModal=true&amp;asPopupView=true</v>
          </cell>
        </row>
        <row r="126">
          <cell r="D126" t="str">
            <v>OPSP-VAD-0797-2023</v>
          </cell>
          <cell r="E126" t="str">
            <v>https://community.secop.gov.co/Public/Tendering/OpportunityDetail/Index?noticeUID=CO1.NTC.4733014&amp;isFromPublicArea=True&amp;isModal=true&amp;asPopupView=true</v>
          </cell>
        </row>
        <row r="127">
          <cell r="D127" t="str">
            <v>OAG-VAD-0781-2023</v>
          </cell>
          <cell r="E127" t="str">
            <v>https://community.secop.gov.co/Public/Tendering/OpportunityDetail/Index?noticeUID=CO1.NTC.4733601&amp;isFromPublicArea=True&amp;isModal=true&amp;asPopupView=true</v>
          </cell>
        </row>
        <row r="128">
          <cell r="D128" t="str">
            <v>OAG-VAD-0774-2023</v>
          </cell>
          <cell r="E128" t="str">
            <v>https://community.secop.gov.co/Public/Tendering/OpportunityDetail/Index?noticeUID=CO1.NTC.4732007&amp;isFromPublicArea=True&amp;isModal=true&amp;asPopupView=true</v>
          </cell>
        </row>
        <row r="129">
          <cell r="D129" t="str">
            <v>OAG-VAD-0806-2023</v>
          </cell>
          <cell r="E129" t="str">
            <v>https://community.secop.gov.co/Public/Tendering/OpportunityDetail/Index?noticeUID=CO1.NTC.4733777&amp;isFromPublicArea=True&amp;isModal=true&amp;asPopupView=true</v>
          </cell>
        </row>
        <row r="130">
          <cell r="D130" t="str">
            <v>OPSP-VAD-0794-2023</v>
          </cell>
          <cell r="E130" t="str">
            <v>https://community.secop.gov.co/Public/Tendering/OpportunityDetail/Index?noticeUID=CO1.NTC.4732737&amp;isFromPublicArea=True&amp;isModal=true&amp;asPopupView=true</v>
          </cell>
        </row>
        <row r="131">
          <cell r="D131" t="str">
            <v>OPSP-VAD-0782-2023</v>
          </cell>
          <cell r="E131" t="str">
            <v>https://community.secop.gov.co/Public/Tendering/OpportunityDetail/Index?noticeUID=CO1.NTC.4733002&amp;isFromPublicArea=True&amp;isModal=true&amp;asPopupView=true</v>
          </cell>
        </row>
        <row r="132">
          <cell r="D132" t="str">
            <v>OPSP-VAD-0804-2023</v>
          </cell>
          <cell r="E132" t="str">
            <v>https://community.secop.gov.co/Public/Tendering/OpportunityDetail/Index?noticeUID=CO1.NTC.4733584&amp;isFromPublicArea=True&amp;isModal=true&amp;asPopupView=true</v>
          </cell>
        </row>
        <row r="133">
          <cell r="D133" t="str">
            <v>OPSP-VAD-0790-2023</v>
          </cell>
          <cell r="E133" t="str">
            <v>https://community.secop.gov.co/Public/Tendering/OpportunityDetail/Index?noticeUID=CO1.NTC.4732517&amp;isFromPublicArea=True&amp;isModal=true&amp;asPopupView=true</v>
          </cell>
        </row>
        <row r="134">
          <cell r="D134" t="str">
            <v>OPSP-VAD-0788-2023</v>
          </cell>
          <cell r="E134" t="str">
            <v>https://community.secop.gov.co/Public/Tendering/OpportunityDetail/Index?noticeUID=CO1.NTC.4732634&amp;isFromPublicArea=True&amp;isModal=true&amp;asPopupView=true</v>
          </cell>
        </row>
        <row r="135">
          <cell r="D135" t="str">
            <v>OPSP-VAD-0776-2023</v>
          </cell>
          <cell r="E135" t="str">
            <v>https://community.secop.gov.co/Public/Tendering/OpportunityDetail/Index?noticeUID=CO1.NTC.4732389&amp;isFromPublicArea=True&amp;isModal=true&amp;asPopupView=true</v>
          </cell>
        </row>
        <row r="136">
          <cell r="D136" t="str">
            <v>OAG-VAD-0777-2023</v>
          </cell>
          <cell r="E136" t="str">
            <v>https://community.secop.gov.co/Public/Tendering/OpportunityDetail/Index?noticeUID=CO1.NTC.4732746&amp;isFromPublicArea=True&amp;isModal=true&amp;asPopupView=true</v>
          </cell>
        </row>
        <row r="137">
          <cell r="D137" t="str">
            <v>OPSP-VAD-0800-2023</v>
          </cell>
          <cell r="E137" t="str">
            <v>https://community.secop.gov.co/Public/Tendering/OpportunityDetail/Index?noticeUID=CO1.NTC.4733217&amp;isFromPublicArea=True&amp;isModal=true&amp;asPopupView=true</v>
          </cell>
        </row>
        <row r="138">
          <cell r="D138" t="str">
            <v>OPSP-VAD-0811-2023</v>
          </cell>
          <cell r="E138" t="str">
            <v>https://community.secop.gov.co/Public/Tendering/OpportunityDetail/Index?noticeUID=CO1.NTC.4733993&amp;isFromPublicArea=True&amp;isModal=true&amp;asPopupView=true</v>
          </cell>
        </row>
        <row r="139">
          <cell r="D139" t="str">
            <v>OAG-VAD-0819-2023</v>
          </cell>
          <cell r="E139" t="str">
            <v>https://community.secop.gov.co/Public/Tendering/OpportunityDetail/Index?noticeUID=CO1.NTC.4735176&amp;isFromPublicArea=True&amp;isModal=true&amp;asPopupView=true</v>
          </cell>
        </row>
        <row r="140">
          <cell r="D140" t="str">
            <v>OPSP-VAD-0812-2023</v>
          </cell>
          <cell r="E140" t="str">
            <v>https://community.secop.gov.co/Public/Tendering/OpportunityDetail/Index?noticeUID=CO1.NTC.4733998&amp;isFromPublicArea=True&amp;isModal=true&amp;asPopupView=true</v>
          </cell>
        </row>
        <row r="141">
          <cell r="D141" t="str">
            <v>OPSP-VAD-0787-2023</v>
          </cell>
          <cell r="E141" t="str">
            <v>https://community.secop.gov.co/Public/Tendering/OpportunityDetail/Index?noticeUID=CO1.NTC.4732187&amp;isFromPublicArea=True&amp;isModal=true&amp;asPopupView=true</v>
          </cell>
        </row>
        <row r="142">
          <cell r="D142" t="str">
            <v>OAG-VAD-0786-2023</v>
          </cell>
          <cell r="E142" t="str">
            <v>https://community.secop.gov.co/Public/Tendering/OpportunityDetail/Index?noticeUID=CO1.NTC.4731932&amp;isFromPublicArea=True&amp;isModal=true&amp;asPopupView=true</v>
          </cell>
        </row>
        <row r="143">
          <cell r="D143" t="str">
            <v>OAG-VAD-0813-2023</v>
          </cell>
          <cell r="E143" t="str">
            <v>https://community.secop.gov.co/Public/Tendering/OpportunityDetail/Index?noticeUID=CO1.NTC.4734283&amp;isFromPublicArea=True&amp;isModal=true&amp;asPopupView=true</v>
          </cell>
        </row>
        <row r="144">
          <cell r="D144" t="str">
            <v>OAG-VAD-0783-2023</v>
          </cell>
          <cell r="E144" t="str">
            <v>https://community.secop.gov.co/Public/Tendering/OpportunityDetail/Index?noticeUID=CO1.NTC.4733059&amp;isFromPublicArea=True&amp;isModal=true&amp;asPopupView=true</v>
          </cell>
        </row>
        <row r="145">
          <cell r="D145" t="str">
            <v>OPSP-VAD-0785-2023</v>
          </cell>
          <cell r="E145" t="str">
            <v>https://community.secop.gov.co/Public/Tendering/OpportunityDetail/Index?noticeUID=CO1.NTC.4731824&amp;isFromPublicArea=True&amp;isModal=true&amp;asPopupView=true</v>
          </cell>
        </row>
        <row r="146">
          <cell r="D146" t="str">
            <v>OAG-VAD-0815-2023</v>
          </cell>
          <cell r="E146" t="str">
            <v>https://community.secop.gov.co/Public/Tendering/OpportunityDetail/Index?noticeUID=CO1.NTC.4734709&amp;isFromPublicArea=True&amp;isModal=true&amp;asPopupView=true</v>
          </cell>
        </row>
        <row r="147">
          <cell r="D147" t="str">
            <v>OPSP-VAD-0816-2023</v>
          </cell>
          <cell r="E147" t="str">
            <v>https://community.secop.gov.co/Public/Tendering/OpportunityDetail/Index?noticeUID=CO1.NTC.4734545&amp;isFromPublicArea=True&amp;isModal=true&amp;asPopupView=true</v>
          </cell>
        </row>
        <row r="148">
          <cell r="D148" t="str">
            <v>OAG-VAD-0818-2023</v>
          </cell>
          <cell r="E148" t="str">
            <v>https://community.secop.gov.co/Public/Tendering/OpportunityDetail/Index?noticeUID=CO1.NTC.4735173&amp;isFromPublicArea=True&amp;isModal=true&amp;asPopupView=true</v>
          </cell>
        </row>
        <row r="149">
          <cell r="D149" t="str">
            <v>OPSP-VAD-0810-2023</v>
          </cell>
          <cell r="E149" t="str">
            <v>https://community.secop.gov.co/Public/Tendering/OpportunityDetail/Index?noticeUID=CO1.NTC.4734242&amp;isFromPublicArea=True&amp;isModal=true&amp;asPopupView=true</v>
          </cell>
        </row>
        <row r="150">
          <cell r="D150" t="str">
            <v>OAG-VAD-0829-2023</v>
          </cell>
          <cell r="E150" t="str">
            <v>https://community.secop.gov.co/Public/Tendering/OpportunityDetail/Index?noticeUID=CO1.NTC.4737821&amp;isFromPublicArea=True&amp;isModal=true&amp;asPopupView=true</v>
          </cell>
        </row>
        <row r="151">
          <cell r="D151" t="str">
            <v>OPSP-VAD-0850-2023</v>
          </cell>
          <cell r="E151" t="str">
            <v>https://community.secop.gov.co/Public/Tendering/OpportunityDetail/Index?noticeUID=CO1.NTC.4740588&amp;isFromPublicArea=True&amp;isModal=true&amp;asPopupView=true</v>
          </cell>
        </row>
        <row r="152">
          <cell r="D152" t="str">
            <v>OPSP-VAD-0832-2023</v>
          </cell>
          <cell r="E152" t="str">
            <v>https://community.secop.gov.co/Public/Tendering/OpportunityDetail/Index?noticeUID=CO1.NTC.4737329&amp;isFromPublicArea=True&amp;isModal=true&amp;asPopupView=true</v>
          </cell>
        </row>
        <row r="153">
          <cell r="D153" t="str">
            <v>OPSP-VAD-0846-2023</v>
          </cell>
          <cell r="E153" t="str">
            <v>https://community.secop.gov.co/Public/Tendering/OpportunityDetail/Index?noticeUID=CO1.NTC.4738122&amp;isFromPublicArea=True&amp;isModal=true&amp;asPopupView=true</v>
          </cell>
        </row>
        <row r="154">
          <cell r="D154" t="str">
            <v>OAG-VAD-0831-2023</v>
          </cell>
          <cell r="E154" t="str">
            <v>https://community.secop.gov.co/Public/Tendering/OpportunityDetail/Index?noticeUID=CO1.NTC.4737067&amp;isFromPublicArea=True&amp;isModal=true&amp;asPopupView=true</v>
          </cell>
        </row>
        <row r="155">
          <cell r="D155" t="str">
            <v>OPSP-VAD-0856-2023</v>
          </cell>
          <cell r="E155" t="str">
            <v>https://community.secop.gov.co/Public/Tendering/OpportunityDetail/Index?noticeUID=CO1.NTC.4740760&amp;isFromPublicArea=True&amp;isModal=true&amp;asPopupView=true</v>
          </cell>
        </row>
        <row r="156">
          <cell r="D156" t="str">
            <v>OPSP-VAD-0849-2023</v>
          </cell>
          <cell r="E156" t="str">
            <v>https://community.secop.gov.co/Public/Tendering/OpportunityDetail/Index?noticeUID=CO1.NTC.4740583&amp;isFromPublicArea=True&amp;isModal=true&amp;asPopupView=true</v>
          </cell>
        </row>
        <row r="157">
          <cell r="D157" t="str">
            <v>OPSP-VAD-0855-2023</v>
          </cell>
          <cell r="E157" t="str">
            <v>https://community.secop.gov.co/Public/Tendering/OpportunityDetail/Index?noticeUID=CO1.NTC.4740842&amp;isFromPublicArea=True&amp;isModal=true&amp;asPopupView=true</v>
          </cell>
        </row>
        <row r="158">
          <cell r="D158" t="str">
            <v>OPSP-VAD-0848-2023</v>
          </cell>
          <cell r="E158" t="str">
            <v>https://community.secop.gov.co/Public/Tendering/OpportunityDetail/Index?noticeUID=CO1.NTC.4740581&amp;isFromPublicArea=True&amp;isModal=true&amp;asPopupView=true</v>
          </cell>
        </row>
        <row r="159">
          <cell r="D159" t="str">
            <v>OPSP-VAD-0845-2023</v>
          </cell>
          <cell r="E159" t="str">
            <v>https://community.secop.gov.co/Public/Tendering/OpportunityDetail/Index?noticeUID=CO1.NTC.4737867&amp;isFromPublicArea=True&amp;isModal=true&amp;asPopupView=true</v>
          </cell>
        </row>
        <row r="160">
          <cell r="D160" t="str">
            <v>OAG-VAD-0841-2023</v>
          </cell>
          <cell r="E160" t="str">
            <v>https://community.secop.gov.co/Public/Tendering/OpportunityDetail/Index?noticeUID=CO1.NTC.4737841&amp;isFromPublicArea=True&amp;isModal=true&amp;asPopupView=true</v>
          </cell>
        </row>
        <row r="161">
          <cell r="D161" t="str">
            <v>OPSP-VAD-0837-2023</v>
          </cell>
          <cell r="E161" t="str">
            <v>https://community.secop.gov.co/Public/Tendering/OpportunityDetail/Index?noticeUID=CO1.NTC.4737497&amp;isFromPublicArea=True&amp;isModal=true&amp;asPopupView=true</v>
          </cell>
        </row>
        <row r="162">
          <cell r="D162" t="str">
            <v>OPSP-VAD-0821-2023</v>
          </cell>
          <cell r="E162" t="str">
            <v>https://community.secop.gov.co/Public/Tendering/OpportunityDetail/Index?noticeUID=CO1.NTC.4736961&amp;isFromPublicArea=True&amp;isModal=true&amp;asPopupView=true</v>
          </cell>
        </row>
        <row r="163">
          <cell r="D163" t="str">
            <v>OAG-VAD-0827-2023</v>
          </cell>
          <cell r="E163" t="str">
            <v>https://community.secop.gov.co/Public/Tendering/OpportunityDetail/Index?noticeUID=CO1.NTC.4737704&amp;isFromPublicArea=True&amp;isModal=true&amp;asPopupView=true</v>
          </cell>
        </row>
        <row r="164">
          <cell r="D164" t="str">
            <v>OAG-VAD-0836-2023</v>
          </cell>
          <cell r="E164" t="str">
            <v>https://community.secop.gov.co/Public/Tendering/OpportunityDetail/Index?noticeUID=CO1.NTC.4738565&amp;isFromPublicArea=True&amp;isModal=true&amp;asPopupView=true</v>
          </cell>
        </row>
        <row r="165">
          <cell r="D165" t="str">
            <v>OAG-VAD-0844-2023</v>
          </cell>
          <cell r="E165" t="str">
            <v>https://community.secop.gov.co/Public/Tendering/OpportunityDetail/Index?noticeUID=CO1.NTC.4737861&amp;isFromPublicArea=True&amp;isModal=true&amp;asPopupView=true</v>
          </cell>
        </row>
        <row r="166">
          <cell r="D166" t="str">
            <v>OPSP-VAD-0828-2023</v>
          </cell>
          <cell r="E166" t="str">
            <v>https://community.secop.gov.co/Public/Tendering/OpportunityDetail/Index?noticeUID=CO1.NTC.4737489&amp;isFromPublicArea=True&amp;isModal=true&amp;asPopupView=true</v>
          </cell>
        </row>
        <row r="167">
          <cell r="D167" t="str">
            <v>OPSP-VAD-0824-2023</v>
          </cell>
          <cell r="E167" t="str">
            <v>https://community.secop.gov.co/Public/Tendering/OpportunityDetail/Index?noticeUID=CO1.NTC.4737418&amp;isFromPublicArea=True&amp;isModal=true&amp;asPopupView=true</v>
          </cell>
        </row>
        <row r="168">
          <cell r="D168" t="str">
            <v>OPSP-VAD-0833-2023</v>
          </cell>
          <cell r="E168" t="str">
            <v>https://community.secop.gov.co/Public/Tendering/OpportunityDetail/Index?noticeUID=CO1.NTC.4737519&amp;isFromPublicArea=True&amp;isModal=true&amp;asPopupView=true</v>
          </cell>
        </row>
        <row r="169">
          <cell r="D169" t="str">
            <v>OAG-VAD-0823-2023</v>
          </cell>
          <cell r="E169" t="str">
            <v>https://community.secop.gov.co/Public/Tendering/OpportunityDetail/Index?noticeUID=CO1.NTC.4737232&amp;isFromPublicArea=True&amp;isModal=true&amp;asPopupView=true</v>
          </cell>
        </row>
        <row r="170">
          <cell r="D170" t="str">
            <v>OPSP-VAD-0854-2023</v>
          </cell>
          <cell r="E170" t="str">
            <v>https://community.secop.gov.co/Public/Tendering/OpportunityDetail/Index?noticeUID=CO1.NTC.4740839&amp;isFromPublicArea=True&amp;isModal=true&amp;asPopupView=true</v>
          </cell>
        </row>
        <row r="171">
          <cell r="D171" t="str">
            <v>OPSP-VAD-0825-2023</v>
          </cell>
          <cell r="E171" t="str">
            <v>https://community.secop.gov.co/Public/Tendering/OpportunityDetail/Index?noticeUID=CO1.NTC.4737622&amp;isFromPublicArea=True&amp;isModal=true&amp;asPopupView=true</v>
          </cell>
        </row>
        <row r="172">
          <cell r="D172" t="str">
            <v>OPSP-VAD-0852-2023</v>
          </cell>
          <cell r="E172" t="str">
            <v>https://community.secop.gov.co/Public/Tendering/OpportunityDetail/Index?noticeUID=CO1.NTC.4740835&amp;isFromPublicArea=True&amp;isModal=true&amp;asPopupView=true</v>
          </cell>
        </row>
        <row r="173">
          <cell r="D173" t="str">
            <v>OPSP-VAD-0853-2023</v>
          </cell>
          <cell r="E173" t="str">
            <v>https://community.secop.gov.co/Public/Tendering/OpportunityDetail/Index?noticeUID=CO1.NTC.4740838&amp;isFromPublicArea=True&amp;isModal=true&amp;asPopupView=true</v>
          </cell>
        </row>
        <row r="174">
          <cell r="D174" t="str">
            <v>OPSP-VAD-0838-2023</v>
          </cell>
          <cell r="E174" t="str">
            <v>https://community.secop.gov.co/Public/Tendering/OpportunityDetail/Index?noticeUID=CO1.NTC.4737907&amp;isFromPublicArea=True&amp;isModal=true&amp;asPopupView=true</v>
          </cell>
        </row>
        <row r="175">
          <cell r="D175" t="str">
            <v>OAG-VAD-0822-2023</v>
          </cell>
          <cell r="E175" t="str">
            <v>https://community.secop.gov.co/Public/Tendering/OpportunityDetail/Index?noticeUID=CO1.NTC.4737176&amp;isFromPublicArea=True&amp;isModal=true&amp;asPopupView=true</v>
          </cell>
        </row>
        <row r="176">
          <cell r="D176" t="str">
            <v>OPSP-VAD-0851-2023</v>
          </cell>
          <cell r="E176" t="str">
            <v>https://community.secop.gov.co/Public/Tendering/OpportunityDetail/Index?noticeUID=CO1.NTC.4740833&amp;isFromPublicArea=True&amp;isModal=true&amp;asPopupView=true</v>
          </cell>
        </row>
        <row r="177">
          <cell r="D177" t="str">
            <v>OPSP-VAD-0839-2023</v>
          </cell>
          <cell r="E177" t="str">
            <v>https://community.secop.gov.co/Public/Tendering/OpportunityDetail/Index?noticeUID=CO1.NTC.4737594&amp;isFromPublicArea=True&amp;isModal=true&amp;asPopupView=true</v>
          </cell>
        </row>
        <row r="178">
          <cell r="D178" t="str">
            <v>OPSP-VAD-0830-2023</v>
          </cell>
          <cell r="E178" t="str">
            <v>https://community.secop.gov.co/Public/Tendering/OpportunityDetail/Index?noticeUID=CO1.NTC.4737744&amp;isFromPublicArea=True&amp;isModal=true&amp;asPopupView=true</v>
          </cell>
        </row>
        <row r="179">
          <cell r="D179" t="str">
            <v>OPSP-VAD-0842-2023</v>
          </cell>
          <cell r="E179" t="str">
            <v>https://community.secop.gov.co/Public/Tendering/OpportunityDetail/Index?noticeUID=CO1.NTC.4737929&amp;isFromPublicArea=True&amp;isModal=true&amp;asPopupView=true</v>
          </cell>
        </row>
        <row r="180">
          <cell r="D180" t="str">
            <v>OPSP-VAD-0826-2023</v>
          </cell>
          <cell r="E180" t="str">
            <v>https://community.secop.gov.co/Public/Tendering/OpportunityDetail/Index?noticeUID=CO1.NTC.4737279&amp;isFromPublicArea=True&amp;isModal=true&amp;asPopupView=true</v>
          </cell>
        </row>
        <row r="181">
          <cell r="D181" t="str">
            <v>OPSP-VAD-0843-2023</v>
          </cell>
          <cell r="E181" t="str">
            <v>https://community.secop.gov.co/Public/Tendering/OpportunityDetail/Index?noticeUID=CO1.NTC.4737934&amp;isFromPublicArea=True&amp;isModal=true&amp;asPopupView=true</v>
          </cell>
        </row>
        <row r="182">
          <cell r="D182" t="str">
            <v>OPSP-VAD-0834-2023</v>
          </cell>
          <cell r="E182" t="str">
            <v>https://community.secop.gov.co/Public/Tendering/OpportunityDetail/Index?noticeUID=CO1.NTC.4737708&amp;isFromPublicArea=True&amp;isModal=true&amp;asPopupView=true</v>
          </cell>
        </row>
        <row r="183">
          <cell r="D183" t="str">
            <v>OAG-VAD-0835-2023</v>
          </cell>
          <cell r="E183" t="str">
            <v>https://community.secop.gov.co/Public/Tendering/OpportunityDetail/Index?noticeUID=CO1.NTC.4738410&amp;isFromPublicArea=True&amp;isModal=true&amp;asPopupView=true</v>
          </cell>
        </row>
        <row r="184">
          <cell r="D184" t="str">
            <v>OAG-VAD-0840-2023</v>
          </cell>
          <cell r="E184" t="str">
            <v>https://community.secop.gov.co/Public/Tendering/OpportunityDetail/Index?noticeUID=CO1.NTC.4737921&amp;isFromPublicArea=True&amp;isModal=true&amp;asPopupView=true</v>
          </cell>
        </row>
        <row r="185">
          <cell r="D185" t="str">
            <v>OPSP-VAD-0857-2023</v>
          </cell>
          <cell r="E185" t="str">
            <v>https://community.secop.gov.co/Public/Tendering/OpportunityDetail/Index?noticeUID=CO1.NTC.4747042&amp;isFromPublicArea=True&amp;isModal=true&amp;asPopupView=true</v>
          </cell>
        </row>
        <row r="186">
          <cell r="D186" t="str">
            <v>OPSP-VAD-0858-2023</v>
          </cell>
          <cell r="E186" t="str">
            <v>https://community.secop.gov.co/Public/Tendering/OpportunityDetail/Index?noticeUID=CO1.NTC.4747048&amp;isFromPublicArea=True&amp;isModal=true&amp;asPopupView=true</v>
          </cell>
        </row>
        <row r="187">
          <cell r="D187" t="str">
            <v>OAG-VAD-0860-2023</v>
          </cell>
          <cell r="E187" t="str">
            <v>https://community.secop.gov.co/Public/Tendering/OpportunityDetail/Index?noticeUID=CO1.NTC.4747056&amp;isFromPublicArea=True&amp;isModal=true&amp;asPopupView=true</v>
          </cell>
        </row>
        <row r="188">
          <cell r="D188" t="str">
            <v>OPSP-VAD-0861-2023</v>
          </cell>
          <cell r="E188" t="str">
            <v>https://community.secop.gov.co/Public/Tendering/OpportunityDetail/Index?noticeUID=CO1.NTC.4758063&amp;isFromPublicArea=True&amp;isModal=true&amp;asPopupView=true</v>
          </cell>
        </row>
        <row r="189">
          <cell r="D189" t="str">
            <v>OPSP-VAD-0862-2023</v>
          </cell>
          <cell r="E189" t="str">
            <v>https://community.secop.gov.co/Public/Tendering/OpportunityDetail/Index?noticeUID=CO1.NTC.4757958&amp;isFromPublicArea=True&amp;isModal=true&amp;asPopupView=true</v>
          </cell>
        </row>
        <row r="190">
          <cell r="D190" t="str">
            <v>OPSP-VAD-0876-2023</v>
          </cell>
          <cell r="E190" t="str">
            <v>https://community.secop.gov.co/Public/Tendering/OpportunityDetail/Index?noticeUID=CO1.NTC.4768146&amp;isFromPublicArea=True&amp;isModal=true&amp;asPopupView=true</v>
          </cell>
        </row>
        <row r="191">
          <cell r="D191" t="str">
            <v>OPSP-VAD-0872-2023</v>
          </cell>
          <cell r="E191" t="str">
            <v>https://community.secop.gov.co/Public/Tendering/OpportunityDetail/Index?noticeUID=CO1.NTC.4768757&amp;isFromPublicArea=True&amp;isModal=true&amp;asPopupView=true</v>
          </cell>
        </row>
        <row r="192">
          <cell r="D192" t="str">
            <v>OPSP-VAD-0882-2023</v>
          </cell>
          <cell r="E192" t="str">
            <v>https://community.secop.gov.co/Public/Tendering/OpportunityDetail/Index?noticeUID=CO1.NTC.4768673&amp;isFromPublicArea=True&amp;isModal=true&amp;asPopupView=true</v>
          </cell>
        </row>
        <row r="193">
          <cell r="D193" t="str">
            <v>OPSP-VAD-0877-2023</v>
          </cell>
          <cell r="E193" t="str">
            <v>https://community.secop.gov.co/Public/Tendering/OpportunityDetail/Index?noticeUID=CO1.NTC.4768416&amp;isFromPublicArea=True&amp;isModal=true&amp;asPopupView=true</v>
          </cell>
        </row>
        <row r="194">
          <cell r="D194" t="str">
            <v>OPSP-VAD-0873-2023</v>
          </cell>
          <cell r="E194" t="str">
            <v>https://community.secop.gov.co/Public/Tendering/OpportunityDetail/Index?noticeUID=CO1.NTC.4767007&amp;isFromPublicArea=True&amp;isModal=true&amp;asPopupView=true</v>
          </cell>
        </row>
        <row r="195">
          <cell r="D195" t="str">
            <v>OPSP-VAD-0885-2023</v>
          </cell>
          <cell r="E195" t="str">
            <v>https://community.secop.gov.co/Public/Tendering/OpportunityDetail/Index?noticeUID=CO1.NTC.4767146&amp;isFromPublicArea=True&amp;isModal=true&amp;asPopupView=true</v>
          </cell>
        </row>
        <row r="196">
          <cell r="D196" t="str">
            <v>OAG-VAD-0867-2023</v>
          </cell>
          <cell r="E196" t="str">
            <v>https://community.secop.gov.co/Public/Tendering/OpportunityDetail/Index?noticeUID=CO1.NTC.4767687&amp;isFromPublicArea=True&amp;isModal=true&amp;asPopupView=true</v>
          </cell>
        </row>
        <row r="197">
          <cell r="D197" t="str">
            <v>OPSP-VAD-0874-2023</v>
          </cell>
          <cell r="E197" t="str">
            <v>https://community.secop.gov.co/Public/Tendering/OpportunityDetail/Index?noticeUID=CO1.NTC.4767262&amp;isFromPublicArea=True&amp;isModal=true&amp;asPopupView=true</v>
          </cell>
        </row>
        <row r="198">
          <cell r="D198" t="str">
            <v>OPSP-VAD-0884-2023</v>
          </cell>
          <cell r="E198" t="str">
            <v>https://community.secop.gov.co/Public/Tendering/OpportunityDetail/Index?noticeUID=CO1.NTC.4767135&amp;isFromPublicArea=True&amp;isModal=true&amp;asPopupView=true</v>
          </cell>
        </row>
        <row r="199">
          <cell r="D199" t="str">
            <v>OPSP-VAD-0868-2023</v>
          </cell>
          <cell r="E199" t="str">
            <v>https://community.secop.gov.co/Public/Tendering/OpportunityDetail/Index?noticeUID=CO1.NTC.4768253&amp;isFromPublicArea=True&amp;isModal=true&amp;asPopupView=true</v>
          </cell>
        </row>
        <row r="200">
          <cell r="D200" t="str">
            <v>OPSP-VAD-0869-2023</v>
          </cell>
          <cell r="E200" t="str">
            <v>https://community.secop.gov.co/Public/Tendering/OpportunityDetail/Index?noticeUID=CO1.NTC.4768472&amp;isFromPublicArea=True&amp;isModal=true&amp;asPopupView=true</v>
          </cell>
        </row>
        <row r="201">
          <cell r="D201" t="str">
            <v>OPSP-VAD-0878-2023</v>
          </cell>
          <cell r="E201" t="str">
            <v>https://community.secop.gov.co/Public/Tendering/OpportunityDetail/Index?noticeUID=CO1.NTC.4769018&amp;isFromPublicArea=True&amp;isModal=true&amp;asPopupView=true</v>
          </cell>
        </row>
        <row r="202">
          <cell r="D202" t="str">
            <v>OPSP-VAD-0871-2023</v>
          </cell>
          <cell r="E202" t="str">
            <v>https://community.secop.gov.co/Public/Tendering/OpportunityDetail/Index?noticeUID=CO1.NTC.4769022&amp;isFromPublicArea=True&amp;isModal=true&amp;asPopupView=true</v>
          </cell>
        </row>
        <row r="203">
          <cell r="D203" t="str">
            <v>OAG-VAD-0875-2023</v>
          </cell>
          <cell r="E203" t="str">
            <v>https://community.secop.gov.co/Public/Tendering/OpportunityDetail/Index?noticeUID=CO1.NTC.4767464&amp;isFromPublicArea=True&amp;isModal=true&amp;asPopupView=true</v>
          </cell>
        </row>
        <row r="204">
          <cell r="D204" t="str">
            <v>OPSP-VAD-0866-2023</v>
          </cell>
          <cell r="E204" t="str">
            <v>https://community.secop.gov.co/Public/Tendering/OpportunityDetail/Index?noticeUID=CO1.NTC.4767716&amp;isFromPublicArea=True&amp;isModal=true&amp;asPopupView=true</v>
          </cell>
        </row>
        <row r="205">
          <cell r="D205" t="str">
            <v>OAG-VAD-0880-2023</v>
          </cell>
          <cell r="E205" t="str">
            <v>https://community.secop.gov.co/Public/Tendering/OpportunityDetail/Index?noticeUID=CO1.NTC.4766935&amp;isFromPublicArea=True&amp;isModal=true&amp;asPopupView=true</v>
          </cell>
        </row>
        <row r="206">
          <cell r="D206" t="str">
            <v>OPSP-VAD-0886-2023</v>
          </cell>
          <cell r="E206" t="str">
            <v>https://community.secop.gov.co/Public/Tendering/OpportunityDetail/Index?noticeUID=CO1.NTC.4767158&amp;isFromPublicArea=True&amp;isModal=true&amp;asPopupView=true</v>
          </cell>
        </row>
        <row r="207">
          <cell r="D207" t="str">
            <v>OPSP-VAD-0879-2023</v>
          </cell>
          <cell r="E207" t="str">
            <v>https://community.secop.gov.co/Public/Tendering/OpportunityDetail/Index?noticeUID=CO1.NTC.4766748&amp;isFromPublicArea=True&amp;isModal=true&amp;asPopupView=true</v>
          </cell>
        </row>
        <row r="208">
          <cell r="D208" t="str">
            <v>OPSP-VAD-0864-2023</v>
          </cell>
          <cell r="E208" t="str">
            <v>https://community.secop.gov.co/Public/Tendering/OpportunityDetail/Index?noticeUID=CO1.NTC.4767322&amp;isFromPublicArea=True&amp;isModal=true&amp;asPopupView=true</v>
          </cell>
        </row>
        <row r="209">
          <cell r="D209" t="str">
            <v>OAG-VAD-0883-2023</v>
          </cell>
          <cell r="E209" t="str">
            <v>https://community.secop.gov.co/Public/Tendering/OpportunityDetail/Index?noticeUID=CO1.NTC.4766948&amp;isFromPublicArea=True&amp;isModal=true&amp;asPopupView=true</v>
          </cell>
        </row>
        <row r="210">
          <cell r="D210" t="str">
            <v>OAG-VAD-0881-2023</v>
          </cell>
          <cell r="E210" t="str">
            <v>https://community.secop.gov.co/Public/Tendering/OpportunityDetail/Index?noticeUID=CO1.NTC.4768677&amp;isFromPublicArea=True&amp;isModal=true&amp;asPopupView=true</v>
          </cell>
        </row>
        <row r="211">
          <cell r="D211" t="str">
            <v>OPSP-VAD-0865-2023</v>
          </cell>
          <cell r="E211" t="str">
            <v>https://community.secop.gov.co/Public/Tendering/OpportunityDetail/Index?noticeUID=CO1.NTC.4767620&amp;isFromPublicArea=True&amp;isModal=true&amp;asPopupView=true</v>
          </cell>
        </row>
        <row r="212">
          <cell r="D212" t="str">
            <v>OAG-VAD-0870-2023</v>
          </cell>
          <cell r="E212" t="str">
            <v>https://community.secop.gov.co/Public/Tendering/OpportunityDetail/Index?noticeUID=CO1.NTC.4768294&amp;isFromPublicArea=True&amp;isModal=true&amp;asPopupView=true</v>
          </cell>
        </row>
        <row r="213">
          <cell r="D213" t="str">
            <v>OAG-VAD-0894-2023</v>
          </cell>
          <cell r="E213" t="str">
            <v>https://community.secop.gov.co/Public/Tendering/OpportunityDetail/Index?noticeUID=CO1.NTC.4771275&amp;isFromPublicArea=True&amp;isModal=true&amp;asPopupView=true</v>
          </cell>
        </row>
        <row r="214">
          <cell r="D214" t="str">
            <v>OPSP-VAD-0892-2023</v>
          </cell>
          <cell r="E214" t="str">
            <v>https://community.secop.gov.co/Public/Tendering/OpportunityDetail/Index?noticeUID=CO1.NTC.4771242&amp;isFromPublicArea=True&amp;isModal=true&amp;asPopupView=true</v>
          </cell>
        </row>
        <row r="215">
          <cell r="D215" t="str">
            <v>OPSP-VAD-0891-2023</v>
          </cell>
          <cell r="E215" t="str">
            <v>https://community.secop.gov.co/Public/Tendering/OpportunityDetail/Index?noticeUID=CO1.NTC.4771217&amp;isFromPublicArea=True&amp;isModal=true&amp;asPopupView=true</v>
          </cell>
        </row>
        <row r="216">
          <cell r="D216" t="str">
            <v>OPSP-VAD-0895-2023</v>
          </cell>
          <cell r="E216" t="str">
            <v>https://community.secop.gov.co/Public/Tendering/OpportunityDetail/Index?noticeUID=CO1.NTC.4771364&amp;isFromPublicArea=True&amp;isModal=true&amp;asPopupView=true</v>
          </cell>
        </row>
        <row r="217">
          <cell r="D217" t="str">
            <v>OAG-VAD-0898-2023</v>
          </cell>
          <cell r="E217" t="str">
            <v>https://community.secop.gov.co/Public/Tendering/OpportunityDetail/Index?noticeUID=CO1.NTC.4771721&amp;isFromPublicArea=True&amp;isModal=true&amp;asPopupView=true</v>
          </cell>
        </row>
        <row r="218">
          <cell r="D218" t="str">
            <v>OAG-VAD-0913-2023</v>
          </cell>
          <cell r="E218" t="str">
            <v>https://community.secop.gov.co/Public/Tendering/OpportunityDetail/Index?noticeUID=CO1.NTC.4770538&amp;isFromPublicArea=True&amp;isModal=true&amp;asPopupView=true</v>
          </cell>
        </row>
        <row r="219">
          <cell r="D219" t="str">
            <v>OPSP-VAD-0908-2023</v>
          </cell>
          <cell r="E219" t="str">
            <v>https://community.secop.gov.co/Public/Tendering/OpportunityDetail/Index?noticeUID=CO1.NTC.4771162&amp;isFromPublicArea=True&amp;isModal=true&amp;asPopupView=true</v>
          </cell>
        </row>
        <row r="220">
          <cell r="D220" t="str">
            <v>OAG-VAD-0902-2023</v>
          </cell>
          <cell r="E220" t="str">
            <v>https://community.secop.gov.co/Public/Tendering/OpportunityDetail/Index?noticeUID=CO1.NTC.4771638&amp;isFromPublicArea=True&amp;isModal=true&amp;asPopupView=true</v>
          </cell>
        </row>
        <row r="221">
          <cell r="D221" t="str">
            <v>OPSP-VAD-0890-2023</v>
          </cell>
          <cell r="E221" t="str">
            <v>https://community.secop.gov.co/Public/Tendering/OpportunityDetail/Index?noticeUID=CO1.NTC.4771024&amp;isFromPublicArea=True&amp;isModal=true&amp;asPopupView=true</v>
          </cell>
        </row>
        <row r="222">
          <cell r="D222" t="str">
            <v>OPSP-VAD-0904-2023</v>
          </cell>
          <cell r="E222" t="str">
            <v>https://community.secop.gov.co/Public/Tendering/OpportunityDetail/Index?noticeUID=CO1.NTC.4771387&amp;isFromPublicArea=True&amp;isModal=true&amp;asPopupView=true</v>
          </cell>
        </row>
        <row r="223">
          <cell r="D223" t="str">
            <v>OAG-VAD-0910-2023</v>
          </cell>
          <cell r="E223" t="str">
            <v>https://community.secop.gov.co/Public/Tendering/OpportunityDetail/Index?noticeUID=CO1.NTC.4772128&amp;isFromPublicArea=True&amp;isModal=true&amp;asPopupView=true</v>
          </cell>
        </row>
        <row r="224">
          <cell r="D224" t="str">
            <v>VAD-135-2023</v>
          </cell>
          <cell r="E224" t="str">
            <v>https://community.secop.gov.co/Public/Tendering/OpportunityDetail/Index?noticeUID=CO1.NTC.4773665&amp;isFromPublicArea=True&amp;isModal=true&amp;asPopupView=true</v>
          </cell>
        </row>
        <row r="225">
          <cell r="D225" t="str">
            <v>OPSP-VAD-0899-2023</v>
          </cell>
          <cell r="E225" t="str">
            <v>https://community.secop.gov.co/Public/Tendering/OpportunityDetail/Index?noticeUID=CO1.NTC.4771534&amp;isFromPublicArea=True&amp;isModal=true&amp;asPopupView=true</v>
          </cell>
        </row>
        <row r="226">
          <cell r="D226" t="str">
            <v>OPSP-VAD-0911-2023</v>
          </cell>
          <cell r="E226" t="str">
            <v>https://community.secop.gov.co/Public/Tendering/OpportunityDetail/Index?noticeUID=CO1.NTC.4773981&amp;isFromPublicArea=True&amp;isModal=true&amp;asPopupView=true</v>
          </cell>
        </row>
        <row r="227">
          <cell r="D227" t="str">
            <v>OPSP-VAD-0905-2023</v>
          </cell>
          <cell r="E227" t="str">
            <v>https://community.secop.gov.co/Public/Tendering/OpportunityDetail/Index?noticeUID=CO1.NTC.4770902&amp;isFromPublicArea=True&amp;isModal=true&amp;asPopupView=true</v>
          </cell>
        </row>
        <row r="228">
          <cell r="D228" t="str">
            <v>OAG-VAD-0906-2023</v>
          </cell>
          <cell r="E228" t="str">
            <v>https://community.secop.gov.co/Public/Tendering/OpportunityDetail/Index?noticeUID=CO1.NTC.4770879&amp;isFromPublicArea=True&amp;isModal=true&amp;asPopupView=true</v>
          </cell>
        </row>
        <row r="229">
          <cell r="D229" t="str">
            <v>OPSP-VAD-0887-2023</v>
          </cell>
          <cell r="E229" t="str">
            <v>https://community.secop.gov.co/Public/Tendering/OpportunityDetail/Index?noticeUID=CO1.NTC.4770761&amp;isFromPublicArea=True&amp;isModal=true&amp;asPopupView=true</v>
          </cell>
        </row>
        <row r="230">
          <cell r="D230" t="str">
            <v>OAG-VAD-0909-2023</v>
          </cell>
          <cell r="E230" t="str">
            <v>https://community.secop.gov.co/Public/Tendering/OpportunityDetail/Index?noticeUID=CO1.NTC.4771934&amp;isFromPublicArea=True&amp;isModal=true&amp;asPopupView=true</v>
          </cell>
        </row>
        <row r="231">
          <cell r="D231" t="str">
            <v>OPSP-VAD-0903-2023</v>
          </cell>
          <cell r="E231" t="str">
            <v>https://community.secop.gov.co/Public/Tendering/OpportunityDetail/Index?noticeUID=CO1.NTC.4771574&amp;isFromPublicArea=True&amp;isModal=true&amp;asPopupView=true</v>
          </cell>
        </row>
        <row r="232">
          <cell r="D232" t="str">
            <v>OPSP-VAD-0897-2023</v>
          </cell>
          <cell r="E232" t="str">
            <v>https://community.secop.gov.co/Public/Tendering/OpportunityDetail/Index?noticeUID=CO1.NTC.4771588&amp;isFromPublicArea=True&amp;isModal=true&amp;asPopupView=true</v>
          </cell>
        </row>
        <row r="233">
          <cell r="D233" t="str">
            <v>OAG-VAD-0912-2023</v>
          </cell>
          <cell r="E233" t="str">
            <v>https://community.secop.gov.co/Public/Tendering/OpportunityDetail/Index?noticeUID=CO1.NTC.4770529&amp;isFromPublicArea=True&amp;isModal=true&amp;asPopupView=true</v>
          </cell>
        </row>
        <row r="234">
          <cell r="D234" t="str">
            <v>OPSP-VAD-0896-2023</v>
          </cell>
          <cell r="E234" t="str">
            <v>https://community.secop.gov.co/Public/Tendering/OpportunityDetail/Index?noticeUID=CO1.NTC.4771292&amp;isFromPublicArea=True&amp;isModal=true&amp;asPopupView=true</v>
          </cell>
        </row>
        <row r="235">
          <cell r="D235" t="str">
            <v>OPSP-VAD-0888-2023</v>
          </cell>
          <cell r="E235" t="str">
            <v>https://community.secop.gov.co/Public/Tendering/OpportunityDetail/Index?noticeUID=CO1.NTC.4770780&amp;isFromPublicArea=True&amp;isModal=true&amp;asPopupView=true</v>
          </cell>
        </row>
        <row r="236">
          <cell r="D236" t="str">
            <v>OAG-VAD-0914-2023</v>
          </cell>
          <cell r="E236" t="str">
            <v>https://community.secop.gov.co/Public/Tendering/OpportunityDetail/Index?noticeUID=CO1.NTC.4774038&amp;isFromPublicArea=True&amp;isModal=true&amp;asPopupView=true</v>
          </cell>
        </row>
        <row r="237">
          <cell r="D237" t="str">
            <v>OPSP-VAD-0901-2023</v>
          </cell>
          <cell r="E237" t="str">
            <v>https://community.secop.gov.co/Public/Tendering/OpportunityDetail/Index?noticeUID=CO1.NTC.4771626&amp;isFromPublicArea=True&amp;isModal=true&amp;asPopupView=true</v>
          </cell>
        </row>
        <row r="238">
          <cell r="D238" t="str">
            <v>OPSP-VAD-0893-2023</v>
          </cell>
          <cell r="E238" t="str">
            <v>https://community.secop.gov.co/Public/Tendering/OpportunityDetail/Index?noticeUID=CO1.NTC.4771338&amp;isFromPublicArea=True&amp;isModal=true&amp;asPopupView=true</v>
          </cell>
        </row>
        <row r="239">
          <cell r="D239" t="str">
            <v>OPSP-VAD-0907-2023</v>
          </cell>
          <cell r="E239" t="str">
            <v>https://community.secop.gov.co/Public/Tendering/OpportunityDetail/Index?noticeUID=CO1.NTC.4771221&amp;isFromPublicArea=True&amp;isModal=true&amp;asPopupView=true</v>
          </cell>
        </row>
        <row r="240">
          <cell r="D240" t="str">
            <v>OPSP-VAD-0900-2023</v>
          </cell>
          <cell r="E240" t="str">
            <v>https://community.secop.gov.co/Public/Tendering/OpportunityDetail/Index?noticeUID=CO1.NTC.4771370&amp;isFromPublicArea=True&amp;isModal=true&amp;asPopupView=true</v>
          </cell>
        </row>
        <row r="241">
          <cell r="D241" t="str">
            <v>OPSP-VAD-0889-2023</v>
          </cell>
          <cell r="E241" t="str">
            <v>https://community.secop.gov.co/Public/Tendering/OpportunityDetail/Index?noticeUID=CO1.NTC.4770870&amp;isFromPublicArea=True&amp;isModal=true&amp;asPopupView=true</v>
          </cell>
        </row>
        <row r="242">
          <cell r="D242" t="str">
            <v>OAG-VAD-0937-2023</v>
          </cell>
          <cell r="E242" t="str">
            <v>https://community.secop.gov.co/Public/Tendering/OpportunityDetail/Index?noticeUID=CO1.NTC.4776542&amp;isFromPublicArea=True&amp;isModal=true&amp;asPopupView=true</v>
          </cell>
        </row>
        <row r="243">
          <cell r="D243" t="str">
            <v>OAG-VAD-0934-2023</v>
          </cell>
          <cell r="E243" t="str">
            <v>https://community.secop.gov.co/Public/Tendering/OpportunityDetail/Index?noticeUID=CO1.NTC.4776271&amp;isFromPublicArea=True&amp;isModal=true&amp;asPopupView=true</v>
          </cell>
        </row>
        <row r="244">
          <cell r="D244" t="str">
            <v>OPSP-VAD-0942-2023</v>
          </cell>
          <cell r="E244" t="str">
            <v>https://community.secop.gov.co/Public/Tendering/OpportunityDetail/Index?noticeUID=CO1.NTC.4776834&amp;isFromPublicArea=True&amp;isModal=true&amp;asPopupView=true</v>
          </cell>
        </row>
        <row r="245">
          <cell r="D245" t="str">
            <v>OPSP-VAD-0930-2023</v>
          </cell>
          <cell r="E245" t="str">
            <v>https://community.secop.gov.co/Public/Tendering/OpportunityDetail/Index?noticeUID=CO1.NTC.4777977&amp;isFromPublicArea=True&amp;isModal=true&amp;asPopupView=true</v>
          </cell>
        </row>
        <row r="246">
          <cell r="D246" t="str">
            <v>OAG-VAD-0921-2023</v>
          </cell>
          <cell r="E246" t="str">
            <v>https://community.secop.gov.co/Public/Tendering/OpportunityDetail/Index?noticeUID=CO1.NTC.4776662&amp;isFromPublicArea=True&amp;isModal=true&amp;asPopupView=true</v>
          </cell>
        </row>
        <row r="247">
          <cell r="D247" t="str">
            <v>OPSP-VAD-0941-2023</v>
          </cell>
          <cell r="E247" t="str">
            <v>https://community.secop.gov.co/Public/Tendering/OpportunityDetail/Index?noticeUID=CO1.NTC.4776425&amp;isFromPublicArea=True&amp;isModal=true&amp;asPopupView=true</v>
          </cell>
        </row>
        <row r="248">
          <cell r="D248" t="str">
            <v>OPSP-VAD-0917-2023</v>
          </cell>
          <cell r="E248" t="str">
            <v>https://community.secop.gov.co/Public/Tendering/OpportunityDetail/Index?noticeUID=CO1.NTC.4776300&amp;isFromPublicArea=True&amp;isModal=true&amp;asPopupView=true</v>
          </cell>
        </row>
        <row r="249">
          <cell r="D249" t="str">
            <v>OAG-VAD-0928-2023</v>
          </cell>
          <cell r="E249" t="str">
            <v>https://community.secop.gov.co/Public/Tendering/OpportunityDetail/Index?noticeUID=CO1.NTC.4776034&amp;isFromPublicArea=True&amp;isModal=true&amp;asPopupView=true</v>
          </cell>
        </row>
        <row r="250">
          <cell r="D250" t="str">
            <v>OPSP-VAD-0933-2023</v>
          </cell>
          <cell r="E250" t="str">
            <v>https://community.secop.gov.co/Public/Tendering/OpportunityDetail/Index?noticeUID=CO1.NTC.4776250&amp;isFromPublicArea=True&amp;isModal=true&amp;asPopupView=true</v>
          </cell>
        </row>
        <row r="251">
          <cell r="D251" t="str">
            <v>OAG-VAD-0924-2023</v>
          </cell>
          <cell r="E251" t="str">
            <v>https://community.secop.gov.co/Public/Tendering/OpportunityDetail/Index?noticeUID=CO1.NTC.4777114&amp;isFromPublicArea=True&amp;isModal=true&amp;asPopupView=true</v>
          </cell>
        </row>
        <row r="252">
          <cell r="D252" t="str">
            <v>OPSP-VAD-0935-2023</v>
          </cell>
          <cell r="E252" t="str">
            <v>https://community.secop.gov.co/Public/Tendering/OpportunityDetail/Index?noticeUID=CO1.NTC.4776444&amp;isFromPublicArea=True&amp;isModal=true&amp;asPopupView=true</v>
          </cell>
        </row>
        <row r="253">
          <cell r="D253" t="str">
            <v>OPSP-VAD-0922-2023</v>
          </cell>
          <cell r="E253" t="str">
            <v>https://community.secop.gov.co/Public/Tendering/OpportunityDetail/Index?noticeUID=CO1.NTC.4776674&amp;isFromPublicArea=True&amp;isModal=true&amp;asPopupView=true</v>
          </cell>
        </row>
        <row r="254">
          <cell r="D254" t="str">
            <v>OPSP-VAD-0939-2023</v>
          </cell>
          <cell r="E254" t="str">
            <v>https://community.secop.gov.co/Public/Tendering/OpportunityDetail/Index?noticeUID=CO1.NTC.4776127&amp;isFromPublicArea=True&amp;isModal=true&amp;asPopupView=true</v>
          </cell>
        </row>
        <row r="255">
          <cell r="D255" t="str">
            <v>OPSP-VAD-0919-2023</v>
          </cell>
          <cell r="E255" t="str">
            <v>https://community.secop.gov.co/Public/Tendering/OpportunityDetail/Index?noticeUID=CO1.NTC.4776384&amp;isFromPublicArea=True&amp;isModal=true&amp;asPopupView=true</v>
          </cell>
        </row>
        <row r="256">
          <cell r="D256" t="str">
            <v>OPSP-VAD-0932-2023</v>
          </cell>
          <cell r="E256" t="str">
            <v>https://community.secop.gov.co/Public/Tendering/OpportunityDetail/Index?noticeUID=CO1.NTC.4779021&amp;isFromPublicArea=True&amp;isModal=true&amp;asPopupView=true</v>
          </cell>
        </row>
        <row r="257">
          <cell r="D257" t="str">
            <v>OAG-VAD-0923-2023</v>
          </cell>
          <cell r="E257" t="str">
            <v>https://community.secop.gov.co/Public/Tendering/OpportunityDetail/Index?noticeUID=CO1.NTC.4777005&amp;isFromPublicArea=True&amp;isModal=true&amp;asPopupView=true</v>
          </cell>
        </row>
        <row r="258">
          <cell r="D258" t="str">
            <v>OAG-VAD-0927-2023</v>
          </cell>
          <cell r="E258" t="str">
            <v>https://community.secop.gov.co/Public/Tendering/OpportunityDetail/Index?noticeUID=CO1.NTC.4775932&amp;isFromPublicArea=True&amp;isModal=true&amp;asPopupView=true</v>
          </cell>
        </row>
        <row r="259">
          <cell r="D259" t="str">
            <v>OAG-VAD-0915-2023</v>
          </cell>
          <cell r="E259" t="str">
            <v>https://community.secop.gov.co/Public/Tendering/OpportunityDetail/Index?noticeUID=CO1.NTC.4776323&amp;isFromPublicArea=True&amp;isModal=true&amp;asPopupView=true</v>
          </cell>
        </row>
        <row r="260">
          <cell r="D260" t="str">
            <v>OAG-VAD-0936-2023</v>
          </cell>
          <cell r="E260" t="str">
            <v>https://community.secop.gov.co/Public/Tendering/OpportunityDetail/Index?noticeUID=CO1.NTC.4776343&amp;isFromPublicArea=True&amp;isModal=true&amp;asPopupView=true</v>
          </cell>
        </row>
        <row r="261">
          <cell r="D261" t="str">
            <v>OPSP-VAD-0925-2023</v>
          </cell>
          <cell r="E261" t="str">
            <v>https://community.secop.gov.co/Public/Tendering/OpportunityDetail/Index?noticeUID=CO1.NTC.4777030&amp;isFromPublicArea=True&amp;isModal=true&amp;asPopupView=true</v>
          </cell>
        </row>
        <row r="262">
          <cell r="D262" t="str">
            <v>OAG-VAD-0931-2023</v>
          </cell>
          <cell r="E262" t="str">
            <v>https://community.secop.gov.co/Public/Tendering/OpportunityDetail/Index?noticeUID=CO1.NTC.4778330&amp;isFromPublicArea=True&amp;isModal=true&amp;asPopupView=true</v>
          </cell>
        </row>
        <row r="263">
          <cell r="D263" t="str">
            <v>OPSP-VAD-0920-2023</v>
          </cell>
          <cell r="E263" t="str">
            <v>https://community.secop.gov.co/Public/Tendering/OpportunityDetail/Index?noticeUID=CO1.NTC.4776389&amp;isFromPublicArea=True&amp;isModal=true&amp;asPopupView=true</v>
          </cell>
        </row>
        <row r="264">
          <cell r="D264" t="str">
            <v>OPSP-VAD-0926-2023</v>
          </cell>
          <cell r="E264" t="str">
            <v>https://community.secop.gov.co/Public/Tendering/OpportunityDetail/Index?noticeUID=CO1.NTC.4776985&amp;isFromPublicArea=True&amp;isModal=true&amp;asPopupView=true</v>
          </cell>
        </row>
        <row r="265">
          <cell r="D265" t="str">
            <v>OPSP-VAD-0938-2023</v>
          </cell>
          <cell r="E265" t="str">
            <v>https://community.secop.gov.co/Public/Tendering/OpportunityDetail/Index?noticeUID=CO1.NTC.4776009&amp;isFromPublicArea=True&amp;isModal=true&amp;asPopupView=true</v>
          </cell>
        </row>
        <row r="266">
          <cell r="D266" t="str">
            <v>OPSP-VAD-0929-2023</v>
          </cell>
          <cell r="E266" t="str">
            <v>https://community.secop.gov.co/Public/Tendering/OpportunityDetail/Index?noticeUID=CO1.NTC.4778116&amp;isFromPublicArea=True&amp;isModal=true&amp;asPopupView=true</v>
          </cell>
        </row>
        <row r="267">
          <cell r="D267" t="str">
            <v>OPSP-VAD-0918-2023</v>
          </cell>
          <cell r="E267" t="str">
            <v>https://community.secop.gov.co/Public/Tendering/OpportunityDetail/Index?noticeUID=CO1.NTC.4776712&amp;isFromPublicArea=True&amp;isModal=true&amp;asPopupView=true</v>
          </cell>
        </row>
        <row r="268">
          <cell r="D268" t="str">
            <v>OAG-VAD-0916-2023</v>
          </cell>
          <cell r="E268" t="str">
            <v>https://community.secop.gov.co/Public/Tendering/OpportunityDetail/Index?noticeUID=CO1.NTC.4776335&amp;isFromPublicArea=True&amp;isModal=true&amp;asPopupView=true</v>
          </cell>
        </row>
        <row r="269">
          <cell r="D269" t="str">
            <v>OPSP-VAD-0940-2023</v>
          </cell>
          <cell r="E269" t="str">
            <v>https://community.secop.gov.co/Public/Tendering/OpportunityDetail/Index?noticeUID=CO1.NTC.4776171&amp;isFromPublicArea=True&amp;isModal=true&amp;asPopupView=true</v>
          </cell>
        </row>
        <row r="270">
          <cell r="D270" t="str">
            <v>OAG-VAD-0954-2023</v>
          </cell>
          <cell r="E270" t="str">
            <v>https://community.secop.gov.co/Public/Tendering/OpportunityDetail/Index?noticeUID=CO1.NTC.4782773&amp;isFromPublicArea=True&amp;isModal=true&amp;asPopupView=true</v>
          </cell>
        </row>
        <row r="271">
          <cell r="D271" t="str">
            <v>OAG-VAD-0971-2023</v>
          </cell>
          <cell r="E271" t="str">
            <v>https://community.secop.gov.co/Public/Tendering/OpportunityDetail/Index?noticeUID=CO1.NTC.4783023&amp;isFromPublicArea=True&amp;isModal=true&amp;asPopupView=true</v>
          </cell>
        </row>
        <row r="272">
          <cell r="D272" t="str">
            <v>OAG-VAD-0957-2023</v>
          </cell>
          <cell r="E272" t="str">
            <v>https://community.secop.gov.co/Public/Tendering/OpportunityDetail/Index?noticeUID=CO1.NTC.4783104&amp;isFromPublicArea=True&amp;isModal=true&amp;asPopupView=true</v>
          </cell>
        </row>
        <row r="273">
          <cell r="D273" t="str">
            <v>OPSP-VAD-0962-2023</v>
          </cell>
          <cell r="E273" t="str">
            <v>https://community.secop.gov.co/Public/Tendering/OpportunityDetail/Index?noticeUID=CO1.NTC.4781865&amp;isFromPublicArea=True&amp;isModal=true&amp;asPopupView=true</v>
          </cell>
        </row>
        <row r="274">
          <cell r="D274" t="str">
            <v>OAG-VAD-0951-2023</v>
          </cell>
          <cell r="E274" t="str">
            <v>https://community.secop.gov.co/Public/Tendering/OpportunityDetail/Index?noticeUID=CO1.NTC.4782613&amp;isFromPublicArea=True&amp;isModal=true&amp;asPopupView=true</v>
          </cell>
        </row>
        <row r="275">
          <cell r="D275" t="str">
            <v>OAG-VAD-0958-2023</v>
          </cell>
          <cell r="E275" t="str">
            <v>https://community.secop.gov.co/Public/Tendering/OpportunityDetail/Index?noticeUID=CO1.NTC.4781554&amp;isFromPublicArea=True&amp;isModal=true&amp;asPopupView=true</v>
          </cell>
        </row>
        <row r="276">
          <cell r="D276" t="str">
            <v>OAG-VAD-0966-2023</v>
          </cell>
          <cell r="E276" t="str">
            <v>https://community.secop.gov.co/Public/Tendering/OpportunityDetail/Index?noticeUID=CO1.NTC.4781657&amp;isFromPublicArea=True&amp;isModal=true&amp;asPopupView=true</v>
          </cell>
        </row>
        <row r="277">
          <cell r="D277" t="str">
            <v>OPSP-VAD-0956-2023</v>
          </cell>
          <cell r="E277" t="str">
            <v>https://community.secop.gov.co/Public/Tendering/OpportunityDetail/Index?noticeUID=CO1.NTC.4783011&amp;isFromPublicArea=True&amp;isModal=true&amp;asPopupView=true</v>
          </cell>
        </row>
        <row r="278">
          <cell r="D278" t="str">
            <v>OPSP-VAD-0948-2023</v>
          </cell>
          <cell r="E278" t="str">
            <v>https://community.secop.gov.co/Public/Tendering/OpportunityDetail/Index?noticeUID=CO1.NTC.4781990&amp;isFromPublicArea=True&amp;isModal=true&amp;asPopupView=true</v>
          </cell>
        </row>
        <row r="279">
          <cell r="D279" t="str">
            <v>OPSP-VAD-0949-2023</v>
          </cell>
          <cell r="E279" t="str">
            <v>https://community.secop.gov.co/Public/Tendering/OpportunityDetail/Index?noticeUID=CO1.NTC.4782501&amp;isFromPublicArea=True&amp;isModal=true&amp;asPopupView=true</v>
          </cell>
        </row>
        <row r="280">
          <cell r="D280" t="str">
            <v>OAG-VAD-0976-2023</v>
          </cell>
          <cell r="E280" t="str">
            <v>https://community.secop.gov.co/Public/Tendering/OpportunityDetail/Index?noticeUID=CO1.NTC.4783222&amp;isFromPublicArea=True&amp;isModal=true&amp;asPopupView=true</v>
          </cell>
        </row>
        <row r="281">
          <cell r="D281" t="str">
            <v>OPSP-VAD-0946-2023</v>
          </cell>
          <cell r="E281" t="str">
            <v>https://community.secop.gov.co/Public/Tendering/OpportunityDetail/Index?noticeUID=CO1.NTC.4781783&amp;isFromPublicArea=True&amp;isModal=true&amp;asPopupView=true</v>
          </cell>
        </row>
        <row r="282">
          <cell r="D282" t="str">
            <v>OPSP-VAD-0975-2023</v>
          </cell>
          <cell r="E282" t="str">
            <v>https://community.secop.gov.co/Public/Tendering/OpportunityDetail/Index?noticeUID=CO1.NTC.4783037&amp;isFromPublicArea=True&amp;isModal=true&amp;asPopupView=true</v>
          </cell>
        </row>
        <row r="283">
          <cell r="D283" t="str">
            <v>OAG-VAD-0972-2023</v>
          </cell>
          <cell r="E283" t="str">
            <v>https://community.secop.gov.co/Public/Tendering/OpportunityDetail/Index?noticeUID=CO1.NTC.4782653&amp;isFromPublicArea=True&amp;isModal=true&amp;asPopupView=true</v>
          </cell>
        </row>
        <row r="284">
          <cell r="D284" t="str">
            <v>OAG-VAD-0943-2023</v>
          </cell>
          <cell r="E284" t="str">
            <v>https://community.secop.gov.co/Public/Tendering/OpportunityDetail/Index?noticeUID=CO1.NTC.4781587&amp;isFromPublicArea=True&amp;isModal=true&amp;asPopupView=true</v>
          </cell>
        </row>
        <row r="285">
          <cell r="D285" t="str">
            <v>OAG-VAD-0960-2023</v>
          </cell>
          <cell r="E285" t="str">
            <v>https://community.secop.gov.co/Public/Tendering/OpportunityDetail/Index?noticeUID=CO1.NTC.4781582&amp;isFromPublicArea=True&amp;isModal=true&amp;asPopupView=true</v>
          </cell>
        </row>
        <row r="286">
          <cell r="D286" t="str">
            <v>OPSP-VAD-0968-2023</v>
          </cell>
          <cell r="E286" t="str">
            <v>https://community.secop.gov.co/Public/Tendering/OpportunityDetail/Index?noticeUID=CO1.NTC.4782232&amp;isFromPublicArea=True&amp;isModal=true&amp;asPopupView=true</v>
          </cell>
        </row>
        <row r="287">
          <cell r="D287" t="str">
            <v>OPSP-VAD-0973-2023</v>
          </cell>
          <cell r="E287" t="str">
            <v>https://community.secop.gov.co/Public/Tendering/OpportunityDetail/Index?noticeUID=CO1.NTC.4783028&amp;isFromPublicArea=True&amp;isModal=true&amp;asPopupView=true</v>
          </cell>
        </row>
        <row r="288">
          <cell r="D288" t="str">
            <v>OAG-VAD-0947-2023</v>
          </cell>
          <cell r="E288" t="str">
            <v>https://community.secop.gov.co/Public/Tendering/OpportunityDetail/Index?noticeUID=CO1.NTC.4781849&amp;isFromPublicArea=True&amp;isModal=true&amp;asPopupView=true</v>
          </cell>
        </row>
        <row r="289">
          <cell r="D289" t="str">
            <v>OAG-VAD-0952-2023</v>
          </cell>
          <cell r="E289" t="str">
            <v>https://community.secop.gov.co/Public/Tendering/OpportunityDetail/Index?noticeUID=CO1.NTC.4782622&amp;isFromPublicArea=True&amp;isModal=true&amp;asPopupView=true</v>
          </cell>
        </row>
        <row r="290">
          <cell r="D290" t="str">
            <v>OAG-VAD-0969-2023</v>
          </cell>
          <cell r="E290" t="str">
            <v>https://community.secop.gov.co/Public/Tendering/OpportunityDetail/Index?noticeUID=CO1.NTC.4783020&amp;isFromPublicArea=True&amp;isModal=true&amp;asPopupView=true</v>
          </cell>
        </row>
        <row r="291">
          <cell r="D291" t="str">
            <v>OPSP-VAD-0963-2023</v>
          </cell>
          <cell r="E291" t="str">
            <v>https://community.secop.gov.co/Public/Tendering/OpportunityDetail/Index?noticeUID=CO1.NTC.4780710&amp;isFromPublicArea=True&amp;isModal=true&amp;asPopupView=true</v>
          </cell>
        </row>
        <row r="292">
          <cell r="D292" t="str">
            <v>OPSP-VAD-0964-2023</v>
          </cell>
          <cell r="E292" t="str">
            <v>https://community.secop.gov.co/Public/Tendering/OpportunityDetail/Index?noticeUID=CO1.NTC.4781319&amp;isFromPublicArea=True&amp;isModal=true&amp;asPopupView=true</v>
          </cell>
        </row>
        <row r="293">
          <cell r="D293" t="str">
            <v>OPSP-VAD-0961-2023</v>
          </cell>
          <cell r="E293" t="str">
            <v>https://community.secop.gov.co/Public/Tendering/OpportunityDetail/Index?noticeUID=CO1.NTC.4781909&amp;isFromPublicArea=True&amp;isModal=true&amp;asPopupView=true</v>
          </cell>
        </row>
        <row r="294">
          <cell r="D294" t="str">
            <v>OAG-VAD-0970-2023</v>
          </cell>
          <cell r="E294" t="str">
            <v>https://community.secop.gov.co/Public/Tendering/OpportunityDetail/Index?noticeUID=CO1.NTC.4783209&amp;isFromPublicArea=True&amp;isModal=true&amp;asPopupView=true</v>
          </cell>
        </row>
        <row r="295">
          <cell r="D295" t="str">
            <v>OPSP-VAD-0955-2023</v>
          </cell>
          <cell r="E295" t="str">
            <v>https://community.secop.gov.co/Public/Tendering/OpportunityDetail/Index?noticeUID=CO1.NTC.4782590&amp;isFromPublicArea=True&amp;isModal=true&amp;asPopupView=true</v>
          </cell>
        </row>
        <row r="296">
          <cell r="D296" t="str">
            <v>OAG-VAD-0945-2023</v>
          </cell>
          <cell r="E296" t="str">
            <v>https://community.secop.gov.co/Public/Tendering/OpportunityDetail/Index?noticeUID=CO1.NTC.4781666&amp;isFromPublicArea=True&amp;isModal=true&amp;asPopupView=true</v>
          </cell>
        </row>
        <row r="297">
          <cell r="D297" t="str">
            <v>OPSP-VAD-0953-2023</v>
          </cell>
          <cell r="E297" t="str">
            <v>https://community.secop.gov.co/Public/Tendering/OpportunityDetail/Index?noticeUID=CO1.NTC.4782627&amp;isFromPublicArea=True&amp;isModal=true&amp;asPopupView=true</v>
          </cell>
        </row>
        <row r="298">
          <cell r="D298" t="str">
            <v>OAG-VAD-0950-2023</v>
          </cell>
          <cell r="E298" t="str">
            <v>https://community.secop.gov.co/Public/Tendering/OpportunityDetail/Index?noticeUID=CO1.NTC.4782349&amp;isFromPublicArea=True&amp;isModal=true&amp;asPopupView=true</v>
          </cell>
        </row>
        <row r="299">
          <cell r="D299" t="str">
            <v>OPSP-VAD-0944-2023</v>
          </cell>
          <cell r="E299" t="str">
            <v>https://community.secop.gov.co/Public/Tendering/OpportunityDetail/Index?noticeUID=CO1.NTC.4781610&amp;isFromPublicArea=True&amp;isModal=true&amp;asPopupView=true</v>
          </cell>
        </row>
        <row r="300">
          <cell r="D300" t="str">
            <v>OPSP-VAD-0967-2023</v>
          </cell>
          <cell r="E300" t="str">
            <v>https://community.secop.gov.co/Public/Tendering/OpportunityDetail/Index?noticeUID=CO1.NTC.4782105&amp;isFromPublicArea=True&amp;isModal=true&amp;asPopupView=true</v>
          </cell>
        </row>
        <row r="301">
          <cell r="D301" t="str">
            <v>OPSP-VAD-0974-2023</v>
          </cell>
          <cell r="E301" t="str">
            <v>https://community.secop.gov.co/Public/Tendering/OpportunityDetail/Index?noticeUID=CO1.NTC.4783035&amp;isFromPublicArea=True&amp;isModal=true&amp;asPopupView=true</v>
          </cell>
        </row>
        <row r="302">
          <cell r="D302" t="str">
            <v>OAG-VAD-0959-2023</v>
          </cell>
          <cell r="E302" t="str">
            <v>https://community.secop.gov.co/Public/Tendering/OpportunityDetail/Index?noticeUID=CO1.NTC.4780916&amp;isFromPublicArea=True&amp;isModal=true&amp;asPopupView=true</v>
          </cell>
        </row>
        <row r="303">
          <cell r="D303" t="str">
            <v>OPSP-VAD-0965-2023</v>
          </cell>
          <cell r="E303" t="str">
            <v>https://community.secop.gov.co/Public/Tendering/OpportunityDetail/Index?noticeUID=CO1.NTC.4781619&amp;isFromPublicArea=True&amp;isModal=true&amp;asPopupView=true</v>
          </cell>
        </row>
        <row r="304">
          <cell r="D304" t="str">
            <v>OAG-VAD-1000-2023</v>
          </cell>
          <cell r="E304" t="str">
            <v>https://community.secop.gov.co/Public/Tendering/OpportunityDetail/Index?noticeUID=CO1.NTC.4785624&amp;isFromPublicArea=True&amp;isModal=true&amp;asPopupView=true</v>
          </cell>
        </row>
        <row r="305">
          <cell r="D305" t="str">
            <v>OAG-VAD-0996-2023</v>
          </cell>
          <cell r="E305" t="str">
            <v>https://community.secop.gov.co/Public/Tendering/OpportunityDetail/Index?noticeUID=CO1.NTC.4786147&amp;isFromPublicArea=True&amp;isModal=true&amp;asPopupView=true</v>
          </cell>
        </row>
        <row r="306">
          <cell r="D306" t="str">
            <v>OAG-VAD-0982-2023</v>
          </cell>
          <cell r="E306" t="str">
            <v>https://community.secop.gov.co/Public/Tendering/OpportunityDetail/Index?noticeUID=CO1.NTC.4785002&amp;isFromPublicArea=True&amp;isModal=true&amp;asPopupView=true</v>
          </cell>
        </row>
        <row r="307">
          <cell r="D307" t="str">
            <v>OPSP-VAD-0989-2023</v>
          </cell>
          <cell r="E307" t="str">
            <v>https://community.secop.gov.co/Public/Tendering/OpportunityDetail/Index?noticeUID=CO1.NTC.4783699&amp;isFromPublicArea=True&amp;isModal=true&amp;asPopupView=true</v>
          </cell>
        </row>
        <row r="308">
          <cell r="D308" t="str">
            <v>OPSP-VAD-0984-2023</v>
          </cell>
          <cell r="E308" t="str">
            <v>https://community.secop.gov.co/Public/Tendering/OpportunityDetail/Index?noticeUID=CO1.NTC.4785043&amp;isFromPublicArea=True&amp;isModal=true&amp;asPopupView=true</v>
          </cell>
        </row>
        <row r="309">
          <cell r="D309" t="str">
            <v>OPSP-VAD-0990-2023</v>
          </cell>
          <cell r="E309" t="str">
            <v>https://community.secop.gov.co/Public/Tendering/OpportunityDetail/Index?noticeUID=CO1.NTC.4784279&amp;isFromPublicArea=True&amp;isModal=true&amp;asPopupView=true</v>
          </cell>
        </row>
        <row r="310">
          <cell r="D310" t="str">
            <v>OPSP-VAD-0991-2023</v>
          </cell>
          <cell r="E310" t="str">
            <v>https://community.secop.gov.co/Public/Tendering/OpportunityDetail/Index?noticeUID=CO1.NTC.4784737&amp;isFromPublicArea=True&amp;isModal=true&amp;asPopupView=true</v>
          </cell>
        </row>
        <row r="311">
          <cell r="D311" t="str">
            <v>OPSP-VAD-0992-2023</v>
          </cell>
          <cell r="E311" t="str">
            <v>https://community.secop.gov.co/Public/Tendering/OpportunityDetail/Index?noticeUID=CO1.NTC.4784695&amp;isFromPublicArea=True&amp;isModal=true&amp;asPopupView=true</v>
          </cell>
        </row>
        <row r="312">
          <cell r="D312" t="str">
            <v>OAG-VAD-0981-2023</v>
          </cell>
          <cell r="E312" t="str">
            <v>https://community.secop.gov.co/Public/Tendering/OpportunityDetail/Index?noticeUID=CO1.NTC.4783733&amp;isFromPublicArea=True&amp;isModal=true&amp;asPopupView=true</v>
          </cell>
        </row>
        <row r="313">
          <cell r="D313" t="str">
            <v>OAG-VAD-0978-2023</v>
          </cell>
          <cell r="E313" t="str">
            <v>https://community.secop.gov.co/Public/Tendering/OpportunityDetail/Index?noticeUID=CO1.NTC.4783987&amp;isFromPublicArea=True&amp;isModal=true&amp;asPopupView=true</v>
          </cell>
        </row>
        <row r="314">
          <cell r="D314" t="str">
            <v>OPSP-VAD-0994-2023</v>
          </cell>
          <cell r="E314" t="str">
            <v>https://community.secop.gov.co/Public/Tendering/OpportunityDetail/Index?noticeUID=CO1.NTC.4785399&amp;isFromPublicArea=True&amp;isModal=true&amp;asPopupView=true</v>
          </cell>
        </row>
        <row r="315">
          <cell r="D315" t="str">
            <v>OAG-VAD-0993-2023</v>
          </cell>
          <cell r="E315" t="str">
            <v>https://community.secop.gov.co/Public/Tendering/OpportunityDetail/Index?noticeUID=CO1.NTC.4785563&amp;isFromPublicArea=True&amp;isModal=true&amp;asPopupView=true</v>
          </cell>
        </row>
        <row r="316">
          <cell r="D316" t="str">
            <v>OAG-VAD-0980-2023</v>
          </cell>
          <cell r="E316" t="str">
            <v>https://community.secop.gov.co/Public/Tendering/OpportunityDetail/Index?noticeUID=CO1.NTC.4783537&amp;isFromPublicArea=True&amp;isModal=true&amp;asPopupView=true</v>
          </cell>
        </row>
        <row r="317">
          <cell r="D317" t="str">
            <v>OPSP-VAD-0998-2023</v>
          </cell>
          <cell r="E317" t="str">
            <v>https://community.secop.gov.co/Public/Tendering/OpportunityDetail/Index?noticeUID=CO1.NTC.4785449&amp;isFromPublicArea=True&amp;isModal=true&amp;asPopupView=true</v>
          </cell>
        </row>
        <row r="318">
          <cell r="D318" t="str">
            <v>OAG-VAD-0985-2023</v>
          </cell>
          <cell r="E318" t="str">
            <v>https://community.secop.gov.co/Public/Tendering/OpportunityDetail/Index?noticeUID=CO1.NTC.4784882&amp;isFromPublicArea=True&amp;isModal=true&amp;asPopupView=true</v>
          </cell>
        </row>
        <row r="319">
          <cell r="D319" t="str">
            <v>OPSP-VAD-0988-2023</v>
          </cell>
          <cell r="E319" t="str">
            <v>https://community.secop.gov.co/Public/Tendering/OpportunityDetail/Index?noticeUID=CO1.NTC.4787019&amp;isFromPublicArea=True&amp;isModal=true&amp;asPopupView=true</v>
          </cell>
        </row>
        <row r="320">
          <cell r="D320" t="str">
            <v>OAG-VAD-0977-2023</v>
          </cell>
          <cell r="E320" t="str">
            <v>https://community.secop.gov.co/Public/Tendering/OpportunityDetail/Index?noticeUID=CO1.NTC.4783713&amp;isFromPublicArea=True&amp;isModal=true&amp;asPopupView=true</v>
          </cell>
        </row>
        <row r="321">
          <cell r="D321" t="str">
            <v>OAG-VAD-0999-2023</v>
          </cell>
          <cell r="E321" t="str">
            <v>https://community.secop.gov.co/Public/Tendering/OpportunityDetail/Index?noticeUID=CO1.NTC.4785457&amp;isFromPublicArea=True&amp;isModal=true&amp;asPopupView=true</v>
          </cell>
        </row>
        <row r="322">
          <cell r="D322" t="str">
            <v>OAG-VAD-0997-2023</v>
          </cell>
          <cell r="E322" t="str">
            <v>https://community.secop.gov.co/Public/Tendering/OpportunityDetail/Index?noticeUID=CO1.NTC.4785439&amp;isFromPublicArea=True&amp;isModal=true&amp;asPopupView=true</v>
          </cell>
        </row>
        <row r="323">
          <cell r="D323" t="str">
            <v>OAG-VAD-0986-2023</v>
          </cell>
          <cell r="E323" t="str">
            <v>https://community.secop.gov.co/Public/Tendering/OpportunityDetail/Index?noticeUID=CO1.NTC.4785133&amp;isFromPublicArea=True&amp;isModal=true&amp;asPopupView=true</v>
          </cell>
        </row>
        <row r="324">
          <cell r="D324" t="str">
            <v>OPSP-VAD-0987-2023</v>
          </cell>
          <cell r="E324" t="str">
            <v>https://community.secop.gov.co/Public/Tendering/OpportunityDetail/Index?noticeUID=CO1.NTC.4783749&amp;isFromPublicArea=True&amp;isModal=true&amp;asPopupView=true</v>
          </cell>
        </row>
        <row r="325">
          <cell r="D325" t="str">
            <v>OAG-VAD-0995-2023</v>
          </cell>
          <cell r="E325" t="str">
            <v>https://community.secop.gov.co/Public/Tendering/OpportunityDetail/Index?noticeUID=CO1.NTC.4785672&amp;isFromPublicArea=True&amp;isModal=true&amp;asPopupView=true</v>
          </cell>
        </row>
        <row r="326">
          <cell r="D326" t="str">
            <v>OPSP-VAD-0979-2023</v>
          </cell>
          <cell r="E326" t="str">
            <v>https://community.secop.gov.co/Public/Tendering/OpportunityDetail/Index?noticeUID=CO1.NTC.4783617&amp;isFromPublicArea=True&amp;isModal=true&amp;asPopupView=true</v>
          </cell>
        </row>
        <row r="327">
          <cell r="D327" t="str">
            <v>OPSP-VAD-0983-2023</v>
          </cell>
          <cell r="E327" t="str">
            <v>https://community.secop.gov.co/Public/Tendering/OpportunityDetail/Index?noticeUID=CO1.NTC.4784868&amp;isFromPublicArea=True&amp;isModal=true&amp;asPopupView=true</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de Contratos"/>
      <sheetName val="Datos"/>
    </sheetNames>
    <sheetDataSet>
      <sheetData sheetId="0">
        <row r="5">
          <cell r="C5" t="str">
            <v>INVERSION</v>
          </cell>
          <cell r="E5" t="str">
            <v>OPSP-VEX-0362-2023</v>
          </cell>
          <cell r="H5" t="str">
            <v>PRESTACION DE SERVICIOS</v>
          </cell>
          <cell r="I5">
            <v>45600000</v>
          </cell>
          <cell r="O5" t="str">
            <v>SANDRA PATRICIA ZAPATA FRAGOSO</v>
          </cell>
          <cell r="P5" t="str">
            <v>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v>
          </cell>
          <cell r="AD5" t="str">
            <v>https://community.secop.gov.co/Public/Tendering/OpportunityDetail/Index?noticeUID=CO1.NTC.4005290&amp;isFromPublicArea=True&amp;isModal=False</v>
          </cell>
          <cell r="AE5" t="str">
            <v>SI</v>
          </cell>
          <cell r="AF5" t="str">
            <v>SI</v>
          </cell>
        </row>
        <row r="6">
          <cell r="C6" t="str">
            <v>INVERSION</v>
          </cell>
          <cell r="E6" t="str">
            <v>OPSP-VEX-0396-2023</v>
          </cell>
          <cell r="H6" t="str">
            <v>PRESTACION DE SERVICIOS</v>
          </cell>
          <cell r="I6">
            <v>48000000</v>
          </cell>
          <cell r="O6" t="str">
            <v>MIRIAN ESTHER SIERRA HERNANDEZ</v>
          </cell>
          <cell r="P6" t="str">
            <v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v>
          </cell>
          <cell r="AD6" t="str">
            <v xml:space="preserve">https://community.secop.gov.co/Public/Tendering/OpportunityDetail/Index?noticeUID=CO1.NTC.4013673&amp;isFromPublicArea=True&amp;isModal=False   </v>
          </cell>
          <cell r="AE6" t="str">
            <v>SI</v>
          </cell>
          <cell r="AF6" t="str">
            <v>SI</v>
          </cell>
        </row>
        <row r="7">
          <cell r="C7" t="str">
            <v>INVERSION</v>
          </cell>
          <cell r="E7" t="str">
            <v>OPSP-VEX-0397-2023</v>
          </cell>
          <cell r="H7" t="str">
            <v>PRESTACION DE SERVICIOS</v>
          </cell>
          <cell r="I7">
            <v>48000000</v>
          </cell>
          <cell r="O7" t="str">
            <v>MARIA JOSE CASTILLO VIANA</v>
          </cell>
          <cell r="P7" t="str">
            <v>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v>
          </cell>
          <cell r="AD7" t="str">
            <v>https://community.secop.gov.co/Public/Tendering/OpportunityDetail/Index?noticeUID=CO1.NTC.4013191&amp;isFromPublicArea=True&amp;isModal=False</v>
          </cell>
          <cell r="AE7" t="str">
            <v>SI</v>
          </cell>
          <cell r="AF7" t="str">
            <v>SI</v>
          </cell>
        </row>
        <row r="8">
          <cell r="C8" t="str">
            <v>INVERSION</v>
          </cell>
          <cell r="E8" t="str">
            <v>OPSP-VEX-0398-2023</v>
          </cell>
          <cell r="H8" t="str">
            <v>PRESTACION DE SERVICIOS</v>
          </cell>
          <cell r="I8">
            <v>40800000</v>
          </cell>
          <cell r="O8" t="str">
            <v>HEIDY CRISTINA CAMPO BELTRAN</v>
          </cell>
          <cell r="P8" t="str">
            <v>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v>
          </cell>
          <cell r="AD8" t="str">
            <v>https://community.secop.gov.co/Public/Tendering/OpportunityDetail/Index?noticeUID=CO1.NTC.4013220&amp;isFromPublicArea=True&amp;isModal=False</v>
          </cell>
          <cell r="AE8" t="str">
            <v>SI</v>
          </cell>
          <cell r="AF8" t="str">
            <v>SI</v>
          </cell>
        </row>
        <row r="9">
          <cell r="C9" t="str">
            <v>INVERSION</v>
          </cell>
          <cell r="E9" t="str">
            <v>OPSP-VEX-0402-2023</v>
          </cell>
          <cell r="H9" t="str">
            <v>PRESTACION DE SERVICIOS</v>
          </cell>
          <cell r="I9">
            <v>25000000</v>
          </cell>
          <cell r="O9" t="str">
            <v>MARIA JOSE CASTILLO VIANA</v>
          </cell>
          <cell r="P9" t="str">
            <v>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v>
          </cell>
          <cell r="AD9" t="str">
            <v>https://community.secop.gov.co/Public/Tendering/OpportunityDetail/Index?noticeUID=CO1.NTC.4034227&amp;isFromPublicArea=True&amp;isModal=False</v>
          </cell>
          <cell r="AE9" t="str">
            <v>SI</v>
          </cell>
          <cell r="AF9" t="str">
            <v>SI</v>
          </cell>
        </row>
        <row r="10">
          <cell r="C10" t="str">
            <v>INVERSION</v>
          </cell>
          <cell r="E10" t="str">
            <v>OPSP-VEX-0403-2023</v>
          </cell>
          <cell r="H10" t="str">
            <v>PRESTACION DE SERVICIOS</v>
          </cell>
          <cell r="I10">
            <v>12000000</v>
          </cell>
          <cell r="O10" t="str">
            <v>HEIDY CRISTINA CAMPO BELTRAN</v>
          </cell>
          <cell r="P10" t="str">
            <v>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v>
          </cell>
          <cell r="AD10" t="str">
            <v>https://community.secop.gov.co/Public/Tendering/OpportunityDetail/Index?noticeUID=CO1.NTC.4034414&amp;isFromPublicArea=True&amp;isModal=False</v>
          </cell>
          <cell r="AE10" t="str">
            <v>SI</v>
          </cell>
          <cell r="AF10" t="str">
            <v>SI</v>
          </cell>
        </row>
        <row r="11">
          <cell r="C11" t="str">
            <v>INVERSION</v>
          </cell>
          <cell r="E11" t="str">
            <v>OAG-VEX-0427-2023</v>
          </cell>
          <cell r="H11" t="str">
            <v>PRESTACION DE SERVICIOS</v>
          </cell>
          <cell r="I11">
            <v>40800000</v>
          </cell>
          <cell r="O11" t="str">
            <v>MANUEL ALEXANDER MUÑOZ BANDERA</v>
          </cell>
          <cell r="P11" t="str">
            <v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v>
          </cell>
          <cell r="AD11" t="str">
            <v>https://community.secop.gov.co/Public/Tendering/OpportunityDetail/Index?noticeUID=CO1.NTC.4072100&amp;isFromPublicArea=True&amp;isModal=False</v>
          </cell>
          <cell r="AE11" t="str">
            <v>SI</v>
          </cell>
          <cell r="AF11" t="str">
            <v>SI</v>
          </cell>
        </row>
        <row r="12">
          <cell r="C12" t="str">
            <v>INVERSION</v>
          </cell>
          <cell r="E12" t="str">
            <v xml:space="preserve">OSM-VEX-0003-2023 </v>
          </cell>
          <cell r="H12" t="str">
            <v>SUMINISTROS</v>
          </cell>
          <cell r="I12">
            <v>43264000</v>
          </cell>
          <cell r="O12" t="str">
            <v>MARTINEZ &amp; RUIZ S.A.S.</v>
          </cell>
          <cell r="P12" t="str">
            <v xml:space="preserve">LA PRESENTE ORDEN TIENE POR OBJETO, SUMINISTRAR 6.640 REFRIGERIOS TIPO1, 353 REFRIGERIOS TIPO 2 Y 60 REFRIGERIOS TIPO 3, NECESARIOS PARA LA REALIZACIÓN DE EVENTO DE LANZAMIENTO, FOROS, SESIONES DE FORMACIÓN Y EVENTOS DE CERTIFICACIÓN DE DIPLOMADOS; A DESARROLLARSE EN EL MARCO  DEL CONVENIO ESPECÍFICO  N° 3051459,  SUSCRITO ENTRE UNIMAGDALENA Y LA EMPRESA ECOPETROL S.A, CUYO OBJETO ES “FORTALECER LA CALIDAD EN LA PRESTACIÓN DE SERVICIOS TURÍSTICOS Y ARTESANAS EN EL MUNICIPIO DE URIBIA(LA GUAJIRA)". </v>
          </cell>
          <cell r="AD12" t="str">
            <v xml:space="preserve">https://community.secop.gov.co/Public/Tendering/OpportunityDetail/Index?noticeUID=CO1.NTC.4102097&amp;isFromPublicArea=True&amp;isModal=False
</v>
          </cell>
          <cell r="AE12" t="str">
            <v>SI</v>
          </cell>
          <cell r="AF12" t="str">
            <v>NA por TIPO Contrato</v>
          </cell>
        </row>
        <row r="13">
          <cell r="C13" t="str">
            <v>INVERSION</v>
          </cell>
          <cell r="E13" t="str">
            <v xml:space="preserve">OPS-VEX-0446-2023 </v>
          </cell>
          <cell r="H13" t="str">
            <v>PRESTACION DE SERVICIOS</v>
          </cell>
          <cell r="I13">
            <v>83943700</v>
          </cell>
          <cell r="O13" t="str">
            <v>INNMAKERS S.A.S.</v>
          </cell>
          <cell r="P13" t="str">
            <v xml:space="preserve">LA PRESENTE ORDEN TIENE POR OBJETO PRESTAR SERVICIOS TECNICOS DE DISEÑO E IMPLEMENTACIÓN DE INSTRUMENTOS DE CARACTERIZACIÓN, SISTEMATIZACIÓN, DIGITALIZACION DE INFORMACIÓN, DISEÑO DE ESTRATEGIAS DE DIVULGACIÓN, DISEÑO DE TERMINOS DE DIPLOMADO, DISEÑO DE ESTRATEGIAS PARA SELECCIÓN Y EVALUACIÓN DE PARTICIPANTES; REQUERIDOS PARA EL DESARROLLO DE LAS ACTIVIDADES DEL CONVENIO ESPECÍFICO NO. 3051459 SUSCRITO ENTRE ECOPETROL S.A Y UNIMAGDALENA, CUYO OBJETO ES: "FORTALECER LA CALIDAD EN LA PRESTACIÓN DE SERVICIOS TURÍSTICOS Y ARTESANAS EN EL MUNICIPIO DE URIBIA(LA GUAJIRA)". </v>
          </cell>
          <cell r="AD13" t="str">
            <v>https://community.secop.gov.co/Public/Tendering/OpportunityDetail/Index?noticeUID=CO1.NTC.4102957&amp;isFromPublicArea=True&amp;isModal=False</v>
          </cell>
          <cell r="AE13" t="str">
            <v>SI</v>
          </cell>
          <cell r="AF13" t="str">
            <v>NA por TIPO Contrato</v>
          </cell>
        </row>
        <row r="14">
          <cell r="C14" t="str">
            <v>INVERSION</v>
          </cell>
          <cell r="E14" t="str">
            <v>OPS-VEX- 0462-2023</v>
          </cell>
          <cell r="H14" t="str">
            <v>PRESTACION DE SERVICIOS</v>
          </cell>
          <cell r="I14">
            <v>47220000</v>
          </cell>
          <cell r="O14" t="str">
            <v>INVERSIONES TIERRA FERTIL</v>
          </cell>
          <cell r="P14" t="str">
            <v>LA PRESENTE ORDEN TIENE POR OBJETO PRESTAR SERVICIOS DE APOYO LOGISTICO; REQUERIDOS PARA EL DESARROLLO DE LAS ACTIVIDADES DEL CONVENIO ESPECÍFICO NO. 3051459 SUSCRITO ENTRE ECOPETROL S.A Y UNIMAGDALENA, CUYO OBJETO ES: "FORTALECER LA CALIDAD EN LA PRESTACIÓN DE SERVICIOS TURÍSTICOS Y ARTESANAS EN EL MUNICIPIO DE URIBIA(LA GUAJIRA)".</v>
          </cell>
          <cell r="AD14" t="str">
            <v>https://community.secop.gov.co/Public/Tendering/OpportunityDetail/Index?noticeUID=CO1.NTC.4142638&amp;isFromPublicArea=True&amp;isModal=False</v>
          </cell>
          <cell r="AE14" t="str">
            <v>SI</v>
          </cell>
          <cell r="AF14" t="str">
            <v>NA por TIPO Contrato</v>
          </cell>
        </row>
        <row r="15">
          <cell r="C15" t="str">
            <v>INVERSION</v>
          </cell>
          <cell r="E15" t="str">
            <v xml:space="preserve">OSM-VEX-0004-2023 </v>
          </cell>
          <cell r="H15" t="str">
            <v>SUMINISTROS</v>
          </cell>
          <cell r="I15">
            <v>20000000</v>
          </cell>
          <cell r="O15" t="str">
            <v>FABIO ANDRES FERNANDEZ PINTO</v>
          </cell>
          <cell r="P15" t="str">
            <v xml:space="preserve"> 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v>
          </cell>
          <cell r="AD15" t="str">
            <v>https://community.secop.gov.co/Public/Tendering/OpportunityDetail/Index?noticeUID=CO1.NTC.4166763&amp;isFromPublicArea=True&amp;isModal=False</v>
          </cell>
          <cell r="AE15" t="str">
            <v>SI</v>
          </cell>
          <cell r="AF15" t="str">
            <v>NA por TIPO Contrato</v>
          </cell>
        </row>
        <row r="16">
          <cell r="C16" t="str">
            <v>INVERSION</v>
          </cell>
          <cell r="E16" t="str">
            <v>OPS-VEX- 0479-2023</v>
          </cell>
          <cell r="H16" t="str">
            <v>PRESTACION DE SERVICIOS</v>
          </cell>
          <cell r="I16">
            <v>29480000</v>
          </cell>
          <cell r="O16" t="str">
            <v>CLARA PATRICIA ROLDAN</v>
          </cell>
          <cell r="P16" t="str">
            <v>LA PRESENTE ORDEN TIENE POR OBJETO PRESTAR SERVICIOS DE DISEÑO Y ELABORACIÓN DE PIEZAS DE VISIBILIZACIÓN COMO PENDONES, TULAS, LAPICEROS, AGENDAS, MEMORIAS Y BACKING, ASÍ COMO LA IMPRESIÓN DE MÓDULOS Y CERTIFICADOS, REQUERIDOS PARA EL DESARROLLO DE LAS ACTIVIDADES DEL CONVENIO ESPECÍFICO NO. 3051459 SUSCRITO ENTRE ECOPETROL S.A Y UNIMAGDALENA, CUYO OBJETO ES: "FORTALECER LA CALIDAD EN LA PRESTACIÓN DE SERVICIOS TURÍSTICOS Y ARTESANAS EN EL MUNICIPIO DE URIBIA(LA GUAJIRA)"</v>
          </cell>
          <cell r="AD16" t="str">
            <v>https://community.secop.gov.co/Public/Tendering/OpportunityDetail/Index?noticeUID=CO1.NTC.4171708&amp;isFromPublicArea=True&amp;isModal=False</v>
          </cell>
          <cell r="AE16" t="str">
            <v>SI</v>
          </cell>
          <cell r="AF16" t="str">
            <v>NA por TIPO Contrato</v>
          </cell>
        </row>
        <row r="17">
          <cell r="C17" t="str">
            <v>INVERSION</v>
          </cell>
          <cell r="E17" t="str">
            <v>OAG-VEX-0478-2023</v>
          </cell>
          <cell r="H17" t="str">
            <v>PRESTACION DE SERVICIOS</v>
          </cell>
          <cell r="I17">
            <v>12000000</v>
          </cell>
          <cell r="O17" t="str">
            <v>NICOL CAROLINA SIERRA SANCHEZ</v>
          </cell>
          <cell r="P17" t="str">
            <v xml:space="preserve">PRESTAR SERVICIOS DE APOYO A LA GESTIÓN EN EL MARCO DEL CONVENIO ESPECÍFICO NO. 3051459 DE 2022, SUSCRITO ENTRE ECOPETROL S.A Y LA UNIVERSIDAD DEL MAGDALENA, PARA EL DESARROLLO DE LAS SIGUIENTES ACTIVIDADES: 1). APOYAR EN LA LOGÍSTICA Y SEGUIMIENTO EN CAMPO DEL DIPLOMADO FORMACIÓN Y ORGANIZACIÓN EMPRESARIAL. 2). APOYAR EN LA LOGÍSTICA Y SEGUIMIENTO EN CAMPO DEL DIPLOMADO DISEÑO Y COMERCIALIZACIÓN DE PRODUCTOS ARTESANALES. </v>
          </cell>
          <cell r="AD17" t="str">
            <v>https://community.secop.gov.co/Public/Tendering/OpportunityDetail/Index?noticeUID=CO1.NTC.4172378&amp;isFromPublicArea=True&amp;isModal=False</v>
          </cell>
          <cell r="AE17" t="str">
            <v>SI</v>
          </cell>
          <cell r="AF17" t="str">
            <v>SI</v>
          </cell>
        </row>
        <row r="18">
          <cell r="C18" t="str">
            <v>INVERSION</v>
          </cell>
          <cell r="E18" t="str">
            <v>OAG-VEX-0565-2023</v>
          </cell>
          <cell r="H18" t="str">
            <v>PRESTACION DE SERVICIOS</v>
          </cell>
          <cell r="I18">
            <v>1920000</v>
          </cell>
          <cell r="O18" t="str">
            <v>CELMIRIA PANA IPUANA</v>
          </cell>
          <cell r="P18" t="str">
            <v>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PUERTO ESTRELLA.</v>
          </cell>
          <cell r="AD18" t="str">
            <v>https://community.secop.gov.co/Public/Tendering/OpportunityDetail/Index?noticeUID=CO1.NTC.4372577&amp;isFromPublicArea=True&amp;isModal=False</v>
          </cell>
          <cell r="AE18" t="str">
            <v>SI</v>
          </cell>
          <cell r="AF18" t="str">
            <v>SI</v>
          </cell>
        </row>
        <row r="19">
          <cell r="C19" t="str">
            <v>INVERSION</v>
          </cell>
          <cell r="E19" t="str">
            <v>OAG-VEX-0566-2023</v>
          </cell>
          <cell r="H19" t="str">
            <v>PRESTACION DE SERVICIOS</v>
          </cell>
          <cell r="I19">
            <v>4800000</v>
          </cell>
          <cell r="O19" t="str">
            <v>CESAR ALBERTO MERA RUIZ</v>
          </cell>
          <cell r="P19" t="str">
            <v>PRESTAR SERVICIOS DE APOYO A LA GESTIÓN EN EL MARCO DEL CONVENIO ESPECÍFICO NO. 3051459 DE 2022, SUSCRITO ENTRE ECOPETROL S.A Y LA UNIVERSIDAD DEL MAGDALENA, PARA EL DESARROLLO DE LAS SIGUIENTES ACTIVIDADES: 1). DESARROLLAR MÓDULOS DE FORMALIZACIÓN EMPRESARIAL Y GESTIÓN DE RELACIONES ESTRATÉGICAS EN EL DIPLOMADO FORMACIÓN Y ORGANIZACIÓN EMPRESARIAL GRUPO NAZARETH</v>
          </cell>
          <cell r="AD19" t="str">
            <v>https://community.secop.gov.co/Public/Tendering/OpportunityDetail/Index?noticeUID=CO1.NTC.4372824&amp;isFromPublicArea=True&amp;isModal=False</v>
          </cell>
          <cell r="AE19" t="str">
            <v>SI</v>
          </cell>
          <cell r="AF19" t="str">
            <v>SI</v>
          </cell>
        </row>
        <row r="20">
          <cell r="C20" t="str">
            <v>INVERSION</v>
          </cell>
          <cell r="E20" t="str">
            <v>OAG-VEX-0567-2023</v>
          </cell>
          <cell r="H20" t="str">
            <v>PRESTACION DE SERVICIOS</v>
          </cell>
          <cell r="I20">
            <v>4800000</v>
          </cell>
          <cell r="O20" t="str">
            <v>EILEEN MARGARITA VILORIA FERNANDEZ</v>
          </cell>
          <cell r="P20" t="str">
            <v xml:space="preserve">PRESTAR SERVICIOS DE APOYO A LA GESTIÓN EN EL MARCO DEL CONVENIO ESPECÍFICO NO. 3051459 DE 2022, SUSCRITO ENTRE ECOPETROL S.A Y LA UNIVERSIDAD DEL MAGDALENA, PARA EL DESARROLLO DE LAS SIGUIENTES ACTIVIDADES: 1). DESARROLLAR LOS MÓDULOS DE FORMALIZACIÓN EMPRESARIAL Y GESTIÓN DE RELACIONES ESTRATÉGICAS EN EL DIPLOMADO FORMACIÓN Y ORGANIZACIÓN EMPRESARIAL GRUPO PUERTO ESTRELLA. </v>
          </cell>
          <cell r="AD20" t="str">
            <v>https://community.secop.gov.co/Public/Tendering/OpportunityDetail/Index?noticeUID=CO1.NTC.4372923&amp;isFromPublicArea=True&amp;isModal=False</v>
          </cell>
          <cell r="AE20" t="str">
            <v>SI</v>
          </cell>
          <cell r="AF20" t="str">
            <v>SI</v>
          </cell>
        </row>
        <row r="21">
          <cell r="C21" t="str">
            <v>INVERSION</v>
          </cell>
          <cell r="E21" t="str">
            <v>OAG-VEX-0568 -2023</v>
          </cell>
          <cell r="H21" t="str">
            <v>PRESTACION DE SERVICIOS</v>
          </cell>
          <cell r="I21">
            <v>1920000</v>
          </cell>
          <cell r="O21" t="str">
            <v>LUZANGELA BRITO CARRILLO</v>
          </cell>
          <cell r="P21" t="str">
            <v xml:space="preserve">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CABECERA. </v>
          </cell>
          <cell r="V21">
            <v>1920000</v>
          </cell>
          <cell r="AD21" t="str">
            <v>https://community.secop.gov.co/Public/Tendering/OpportunityDetail/Index?noticeUID=CO1.NTC.4373201&amp;isFromPublicArea=True&amp;isModal=False</v>
          </cell>
          <cell r="AE21" t="str">
            <v>SI</v>
          </cell>
          <cell r="AF21" t="str">
            <v>SI</v>
          </cell>
        </row>
        <row r="22">
          <cell r="C22" t="str">
            <v>INVERSION</v>
          </cell>
          <cell r="E22" t="str">
            <v>OPSP-VEX-0569-2023</v>
          </cell>
          <cell r="H22" t="str">
            <v>PRESTACION DE SERVICIOS</v>
          </cell>
          <cell r="I22">
            <v>6720000</v>
          </cell>
          <cell r="O22" t="str">
            <v>ESPERANZA MOSQUERA MATURANA</v>
          </cell>
          <cell r="P22" t="str">
            <v xml:space="preserve">PRESTAR SERVICIOS PROFESIONALES EN EL MARCO DEL CONVENIO ESPECÍFICO NO. 3051459 DE 2022, SUSCRITO ENTRE ECOPETROL S.A Y LA UNIVERSIDAD DEL MAGDALENA, PARA EL DESARROLLO DE LAS SIGUIENTES ACTIVIDADES: 1) DESARROLLAR LOS MÓDULOS DE FORMACIÓN EMPRESARIAL - GRUPO CABECERA Y CABO DE LA VELA, Y FORMALIZACIÓN EMPRESARIAL - GRUPO NAZARETH DEL DIPLOMADO FORMACIÓN Y ORGANIZACIÓN EMPRESARIAL. </v>
          </cell>
          <cell r="AD22" t="str">
            <v>https://community.secop.gov.co/Public/Tendering/OpportunityDetail/Index?noticeUID=CO1.NTC.4373125&amp;isFromPublicArea=True&amp;isModal=False</v>
          </cell>
          <cell r="AE22" t="str">
            <v>SI</v>
          </cell>
          <cell r="AF22" t="str">
            <v>SI</v>
          </cell>
        </row>
        <row r="23">
          <cell r="C23" t="str">
            <v>INVERSION</v>
          </cell>
          <cell r="E23" t="str">
            <v xml:space="preserve">OPSP-VEX-0596-2023    </v>
          </cell>
          <cell r="H23" t="str">
            <v>PRESTACION DE SERVICIOS</v>
          </cell>
          <cell r="I23">
            <v>1920000</v>
          </cell>
          <cell r="O23" t="str">
            <v>FRAND ALEXANDER AMILCAR PINTO OJEDA</v>
          </cell>
          <cell r="P23" t="str">
            <v>PRESTAR SERVICIOS PROFESIONALES EN EL MARCO DEL CONVENIO ESPECÍFICO NO. 3051459 DE 2022, SUSCRITO ENTRE ECOPETROL S.A Y LA UNIVERSIDAD DEL MAGDALENA, PARA EL DESARROLLO DE LAS SIGUIENTES ACTIVIDADES: 1). DESARROLLAR EL MÓDULO FORMALIZACIÓN EMPRESARIAL EN EL DIPLOMADO FORMACIÓN Y ORGANIZACIÓN EMPRESARIAL GRUPO CABECERA Y CABO DE LA VELA</v>
          </cell>
          <cell r="AD23" t="str">
            <v>https://community.secop.gov.co/Public/Tendering/OpportunityDetail/Index?noticeUID=CO1.NTC.4451567&amp;isFromPublicArea=True&amp;isModal=False</v>
          </cell>
          <cell r="AE23" t="str">
            <v>SI</v>
          </cell>
        </row>
        <row r="24">
          <cell r="C24" t="str">
            <v>INVERSION</v>
          </cell>
          <cell r="E24" t="str">
            <v xml:space="preserve">OPSP-VEX-0598-2023 </v>
          </cell>
          <cell r="H24" t="str">
            <v>PRESTACION DE SERVICIOS</v>
          </cell>
          <cell r="I24">
            <v>2400000</v>
          </cell>
          <cell r="O24" t="str">
            <v>MARTHA JOHANA SANCHEZ GARCIA</v>
          </cell>
          <cell r="P24" t="str">
            <v xml:space="preserve">PRESTAR SERVICIOS PROFESIONALES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 GRUPO CABECERA. </v>
          </cell>
          <cell r="AD24" t="str">
            <v>https://community.secop.gov.co/Public/Tendering/OpportunityDetail/Index?noticeUID=CO1.NTC.4467298&amp;isFromPublicArea=True&amp;isModal=False</v>
          </cell>
          <cell r="AE24" t="str">
            <v>SI</v>
          </cell>
          <cell r="AF24" t="str">
            <v>SI</v>
          </cell>
        </row>
        <row r="25">
          <cell r="C25" t="str">
            <v>INVERSION</v>
          </cell>
          <cell r="E25" t="str">
            <v xml:space="preserve">OAG-VEX-0599-2023 </v>
          </cell>
          <cell r="H25" t="str">
            <v>PRESTACION DE SERVICIOS</v>
          </cell>
          <cell r="I25">
            <v>1920000</v>
          </cell>
          <cell r="O25" t="str">
            <v>GINA MARIA ARTEAGA DIAZ</v>
          </cell>
          <cell r="P25" t="str">
            <v xml:space="preserve">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CABO DE LA VELA. </v>
          </cell>
          <cell r="AD25" t="str">
            <v>https://community.secop.gov.co/Public/Tendering/OpportunityDetail/Index?noticeUID=CO1.NTC.4467962&amp;isFromPublicArea=True&amp;isModal=False</v>
          </cell>
        </row>
        <row r="26">
          <cell r="C26" t="str">
            <v>INVERSION</v>
          </cell>
          <cell r="E26" t="str">
            <v>OAG-VEX-0597-2023</v>
          </cell>
          <cell r="H26" t="str">
            <v>PRESTACION DE SERVICIOS</v>
          </cell>
          <cell r="I26">
            <v>1920000</v>
          </cell>
          <cell r="O26" t="str">
            <v>LUZANGELA BRITO CARRILLO</v>
          </cell>
          <cell r="P26" t="str">
            <v>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CABECERA</v>
          </cell>
          <cell r="AD26" t="str">
            <v>https://community.secop.gov.co/Public/Tendering/OpportunityDetail/Index?noticeUID=CO1.NTC.4467123&amp;isFromPublicArea=True&amp;isModal=False</v>
          </cell>
        </row>
        <row r="27">
          <cell r="C27" t="str">
            <v>INVERSION</v>
          </cell>
          <cell r="E27" t="str">
            <v xml:space="preserve">OPSP-VEX-0600-2023 </v>
          </cell>
          <cell r="H27" t="str">
            <v>PRESTACION DE SERVICIOS</v>
          </cell>
          <cell r="I27">
            <v>2880000</v>
          </cell>
          <cell r="O27" t="str">
            <v>RAFAEL HERNANDO TAPIA PEREZ</v>
          </cell>
          <cell r="P27" t="str">
            <v>PRESTAR SERVICIOS PROFESIONALES EN EL MARCO DEL CONVENIO ESPECÍFICO NO. 3051459 DE 2022, SUSCRITO ENTRE ECOPETROL S.A Y LA UNIVERSIDAD DEL MAGDALENA, PARA EL DESARROLLO DE LAS SIGUIENTES ACTIVIDADES: 1) DESARROLLAR LOS MÓDULOS: FORMALIZACIÓN EMPRESARIAL EN EL DIPLOMADO FORMACIÓN Y ORGANIZACIÓN EMPRESARIAL GRUPO CABO DE LA VELA 2 Y GESTIÓN DE RELACIONES ESTRATÉGICAS EN EL DIPLOMADO FORMACIÓN Y ORGANIZACIÓN EMPRESARIAL GRUPO CABO DE LA VELA.</v>
          </cell>
          <cell r="AD27" t="str">
            <v>https://community.secop.gov.co/Public/Tendering/OpportunityDetail/Index?noticeUID=CO1.NTC.4469363&amp;isFromPublicArea=True&amp;isModal=False</v>
          </cell>
          <cell r="AE27" t="str">
            <v>SI</v>
          </cell>
        </row>
        <row r="28">
          <cell r="C28" t="str">
            <v>INVERSION</v>
          </cell>
          <cell r="E28" t="str">
            <v xml:space="preserve">OPSP-VEX- 0608-2023   </v>
          </cell>
          <cell r="H28" t="str">
            <v>PRESTACION DE SERVICIOS</v>
          </cell>
          <cell r="I28">
            <v>3000000</v>
          </cell>
          <cell r="O28" t="str">
            <v>EDUARDO JOSE BARRENECHE AVILA</v>
          </cell>
          <cell r="P28" t="str">
            <v xml:space="preserve">PRESTAR SERVICIOS PROFESIONALES EN EL MARCO DEL CONTRATO NO. 013 DEL 23 DE SEPTIEMBRE DE 2021, SUSCRITO ENTRE INNOVANEX Y LA UNIVERSIDAD DEL MAGDALENA, PARA EL DESARROLLO DE LAS SIGUIENTES ACTIVIDADES: 1).HACER UN BALANCE DEL ESTADO DE CUMPLIMIENTO DE LA UNIVERSIDAD DEL MAGDALENA CON RELACIÓN A LOS ALCANCES Y ENTREGABLES DEL CONTRATO PRESTACIÓN DE SERVICIOS SUSCRITO UNIÓN TEMPORAL INNOVANEX EL 23 DE SEPTIEMBRE DE 2021 CON MIRAS A SU FINALIZACIÓN Y LIQUIDACIÓN. 2). REVISAR LOS ACTOS ADMINISTRATIVOS QUE SE EMITAN CON OCASIÓN DEL CONTRATO PRESTACIÓN DE SERVICIOS SUSCRITO CON LA UNIÓN TEMPORAL INNOVANEX DEL 23 DE SEPTIEMBRE DE 2021. </v>
          </cell>
          <cell r="AD28" t="str">
            <v xml:space="preserve">https://community.secop.gov.co/Public/Tendering/OpportunityDetail/Index?noticeUID=CO1.NTC.4478354&amp;isFromPublicArea=True&amp;isModal=False
</v>
          </cell>
          <cell r="AE28" t="str">
            <v>SI</v>
          </cell>
          <cell r="AF28" t="str">
            <v>SI</v>
          </cell>
        </row>
        <row r="29">
          <cell r="C29" t="str">
            <v>INVERSION</v>
          </cell>
          <cell r="E29" t="str">
            <v xml:space="preserve">OPSP-VEX-0614-2023 </v>
          </cell>
          <cell r="H29" t="str">
            <v>PRESTACION DE SERVICIOS</v>
          </cell>
          <cell r="I29">
            <v>5760000</v>
          </cell>
          <cell r="O29" t="str">
            <v>COLOMBIA SANDRA PATRICIA JARAMILLO BOTERO</v>
          </cell>
          <cell r="P29" t="str">
            <v>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CABO DE LA VELA-GRUPO 2 Y DESARROLLAR EL MÓDULO MERCADEO Y COMERCIALIZACIÓN EN EL DIPLOMADO DISEÑO Y COMERCIALIZACIÓN DE PRODUCTOS ARTESANALES – GRUPO PUERTO ESTRELLA Y CABO DE LA VELA.</v>
          </cell>
          <cell r="AD29" t="str">
            <v xml:space="preserve">https://community.secop.gov.co/Public/Tendering/OpportunityDetail/Index?noticeUID=CO1.NTC.4482350&amp;isFromPublicArea=True&amp;isModal=False
</v>
          </cell>
          <cell r="AE29" t="str">
            <v>SI</v>
          </cell>
        </row>
        <row r="30">
          <cell r="C30" t="str">
            <v>INVERSION</v>
          </cell>
          <cell r="E30" t="str">
            <v xml:space="preserve">OPSP-VEX-0611-2023  </v>
          </cell>
          <cell r="H30" t="str">
            <v>PRESTACION DE SERVICIOS</v>
          </cell>
          <cell r="I30">
            <v>3840000</v>
          </cell>
          <cell r="O30" t="str">
            <v>PEDRO LUIS NAVARRO HERNÁNDEZ</v>
          </cell>
          <cell r="P30" t="str">
            <v>PRESTAR SERVICIOS PROFESIONALES EN EL MARCO DEL CONVENIO ESPECÍFICO NO. 3051459 DE 2022, SUSCRITO ENTRE ECOPETROL S.A Y LA UNIVERSIDAD DEL MAGDALENA, PARA EL DESARROLLO DE LAS SIGUIENTES ACTIVIDADES:  1). DESARROLLAR EL MÓDULO MERCADEO Y COMERCIALIZACIÓN EN EL DIPLOMADO DISEÑO Y COMERCIALIZACIÓN DE PRODUCTOS ARTESANALES - GRUPO CABECERA Y DESARROLLO DEL MÓDULO E-COMMERCE EN EL DIPLOMADO DISEÑO Y COMERCIALIZACIÓN DE PRODUCTOS ARTESANALES - GRUPO PUERTO ESTRELLA</v>
          </cell>
          <cell r="AD30" t="str">
            <v>https://community.secop.gov.co/Public/Tendering/OpportunityDetail/Index?noticeUID=CO1.NTC.4482172&amp;isFromPublicArea=True&amp;isModal=False</v>
          </cell>
          <cell r="AE30" t="str">
            <v>SI</v>
          </cell>
          <cell r="AF30" t="str">
            <v>SI</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X"/>
      <sheetName val="OBSERVACIONES"/>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Austeridad en la Contratación"/>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NTRATACION 2023"/>
      <sheetName val="PRIMER SEMESTRE 2023"/>
      <sheetName val="NOVEDADES"/>
      <sheetName val="contratación regalias"/>
      <sheetName val="Con. VAD"/>
      <sheetName val="contratación entrevistas"/>
      <sheetName val="bienestar"/>
      <sheetName val="activación de usuarios"/>
      <sheetName val="Hoja3"/>
      <sheetName val="listado por supervisores"/>
    </sheetNames>
    <sheetDataSet>
      <sheetData sheetId="0" refreshError="1"/>
      <sheetData sheetId="1" refreshError="1"/>
      <sheetData sheetId="2" refreshError="1">
        <row r="20">
          <cell r="F20" t="str">
            <v>OPSP-VAD-0003-2023</v>
          </cell>
          <cell r="G20" t="str">
            <v>Oficina Asesora Jurídica-Grupo  de Contratación</v>
          </cell>
          <cell r="H20" t="str">
            <v>27 de marzo de 2023</v>
          </cell>
          <cell r="I20"/>
          <cell r="J20"/>
          <cell r="K20"/>
        </row>
        <row r="21">
          <cell r="F21" t="str">
            <v>OPSP-VAD-0547-2023</v>
          </cell>
          <cell r="G21" t="str">
            <v>Dirección de Comunicaciones</v>
          </cell>
          <cell r="H21" t="str">
            <v>23 de marzo de 2023</v>
          </cell>
          <cell r="I21"/>
          <cell r="J21"/>
          <cell r="K21">
            <v>395890</v>
          </cell>
        </row>
        <row r="22">
          <cell r="F22" t="str">
            <v>OAG-VAD-0548-2023</v>
          </cell>
          <cell r="G22" t="str">
            <v>Dirección de Comunicaciones-Emisora</v>
          </cell>
          <cell r="H22" t="str">
            <v>31 de marzo de 2023</v>
          </cell>
          <cell r="I22"/>
          <cell r="J22"/>
          <cell r="K22">
            <v>370370</v>
          </cell>
        </row>
        <row r="23">
          <cell r="F23" t="str">
            <v>OPSP-VAD-0549-2023</v>
          </cell>
          <cell r="G23" t="str">
            <v>Dirección de Comunicaciones</v>
          </cell>
          <cell r="H23" t="str">
            <v>31 de marzo de 2023</v>
          </cell>
          <cell r="I23"/>
          <cell r="J23"/>
          <cell r="K23">
            <v>376860</v>
          </cell>
        </row>
        <row r="24">
          <cell r="F24" t="str">
            <v>OPSP-VAD-0550-2023</v>
          </cell>
          <cell r="G24" t="str">
            <v>Dirección de Comunicaciones</v>
          </cell>
          <cell r="H24" t="str">
            <v>31 de marzo de 2023</v>
          </cell>
          <cell r="I24"/>
          <cell r="J24"/>
          <cell r="K24">
            <v>398970</v>
          </cell>
        </row>
        <row r="25">
          <cell r="F25" t="str">
            <v>OPSP-VAD-0551-2023</v>
          </cell>
          <cell r="G25" t="str">
            <v>Dirección de Comunicaciones</v>
          </cell>
          <cell r="H25" t="str">
            <v>31 de marzo de 2023</v>
          </cell>
          <cell r="I25"/>
          <cell r="J25"/>
          <cell r="K25">
            <v>370370</v>
          </cell>
        </row>
        <row r="26">
          <cell r="F26" t="str">
            <v>OPSP-VAD-0552-2023</v>
          </cell>
          <cell r="G26" t="str">
            <v>Dirección de Comunicaciones</v>
          </cell>
          <cell r="H26" t="str">
            <v>31 de marzo de 2023</v>
          </cell>
          <cell r="I26"/>
          <cell r="J26"/>
          <cell r="K26">
            <v>370370</v>
          </cell>
        </row>
        <row r="27">
          <cell r="F27" t="str">
            <v>OPSP-VAD-0553-2023</v>
          </cell>
          <cell r="G27" t="str">
            <v>Dirección de Comunicaciones-Emisora</v>
          </cell>
          <cell r="H27" t="str">
            <v>31 de marzo de 2023</v>
          </cell>
          <cell r="I27"/>
          <cell r="J27"/>
          <cell r="K27">
            <v>375430</v>
          </cell>
        </row>
        <row r="28">
          <cell r="F28" t="str">
            <v>OPSP-VAD-0554-2023</v>
          </cell>
          <cell r="G28" t="str">
            <v>Dirección de Comunicaciones</v>
          </cell>
          <cell r="H28" t="str">
            <v>31 de marzo de 2023</v>
          </cell>
          <cell r="I28"/>
          <cell r="J28"/>
          <cell r="K28">
            <v>378180</v>
          </cell>
        </row>
        <row r="29">
          <cell r="F29" t="str">
            <v>OPSP-VAD-0555-2023</v>
          </cell>
          <cell r="G29" t="str">
            <v>Dirección de Comunicaciones</v>
          </cell>
          <cell r="H29" t="str">
            <v>31 de marzo de 2023</v>
          </cell>
          <cell r="I29"/>
          <cell r="J29"/>
          <cell r="K29">
            <v>370370</v>
          </cell>
        </row>
        <row r="30">
          <cell r="F30" t="str">
            <v>OPSP-VAD-0556-2023</v>
          </cell>
          <cell r="G30" t="str">
            <v>Dirección de Comunicaciones</v>
          </cell>
          <cell r="H30" t="str">
            <v>31 de marzo de 2023</v>
          </cell>
          <cell r="I30"/>
          <cell r="J30"/>
          <cell r="K30">
            <v>377080</v>
          </cell>
        </row>
        <row r="31">
          <cell r="F31" t="str">
            <v>OAG-VAD-0557-2023</v>
          </cell>
          <cell r="G31" t="str">
            <v>Dirección de Comunicaciones</v>
          </cell>
          <cell r="H31" t="str">
            <v>31 de marzo de 2023</v>
          </cell>
          <cell r="I31"/>
          <cell r="J31"/>
          <cell r="K31">
            <v>370370</v>
          </cell>
        </row>
        <row r="32">
          <cell r="F32" t="str">
            <v>OPSP-VAD-0559-2023</v>
          </cell>
          <cell r="G32" t="str">
            <v>Dirección de Comunicaciones</v>
          </cell>
          <cell r="H32" t="str">
            <v>31 de marzo de 2023</v>
          </cell>
          <cell r="I32"/>
          <cell r="J32"/>
          <cell r="K32">
            <v>395890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os"/>
    </sheetNames>
    <sheetDataSet>
      <sheetData sheetId="0">
        <row r="2">
          <cell r="C2">
            <v>57463940</v>
          </cell>
          <cell r="D2">
            <v>2420000</v>
          </cell>
        </row>
        <row r="3">
          <cell r="C3">
            <v>1045726836</v>
          </cell>
          <cell r="D3">
            <v>3100000</v>
          </cell>
        </row>
        <row r="4">
          <cell r="C4">
            <v>84456169</v>
          </cell>
          <cell r="D4">
            <v>2333000</v>
          </cell>
        </row>
        <row r="5">
          <cell r="C5">
            <v>84454876</v>
          </cell>
          <cell r="D5">
            <v>2333000</v>
          </cell>
        </row>
        <row r="6">
          <cell r="C6">
            <v>1018493051</v>
          </cell>
          <cell r="D6">
            <v>2000000</v>
          </cell>
        </row>
        <row r="7">
          <cell r="C7">
            <v>1082909211</v>
          </cell>
          <cell r="D7">
            <v>3400000</v>
          </cell>
        </row>
        <row r="8">
          <cell r="C8">
            <v>72006198</v>
          </cell>
          <cell r="D8">
            <v>3400000</v>
          </cell>
        </row>
        <row r="9">
          <cell r="C9">
            <v>1083014411</v>
          </cell>
          <cell r="D9">
            <v>2875000</v>
          </cell>
        </row>
        <row r="10">
          <cell r="C10">
            <v>1082941708</v>
          </cell>
          <cell r="D10">
            <v>2875000</v>
          </cell>
        </row>
        <row r="11">
          <cell r="C11">
            <v>1082984896</v>
          </cell>
          <cell r="D11">
            <v>3500000</v>
          </cell>
        </row>
        <row r="12">
          <cell r="C12">
            <v>1052983008</v>
          </cell>
          <cell r="D12">
            <v>2500000</v>
          </cell>
        </row>
        <row r="13">
          <cell r="C13">
            <v>1082925230</v>
          </cell>
          <cell r="D13">
            <v>2500000</v>
          </cell>
        </row>
        <row r="14">
          <cell r="C14">
            <v>1143224044</v>
          </cell>
          <cell r="D14">
            <v>3500000</v>
          </cell>
        </row>
        <row r="15">
          <cell r="C15">
            <v>36719808</v>
          </cell>
          <cell r="D15">
            <v>2053000</v>
          </cell>
        </row>
        <row r="16">
          <cell r="C16">
            <v>57437742</v>
          </cell>
          <cell r="D16">
            <v>1773000</v>
          </cell>
        </row>
        <row r="17">
          <cell r="C17">
            <v>57443446</v>
          </cell>
          <cell r="D17">
            <v>1773000</v>
          </cell>
        </row>
        <row r="18">
          <cell r="C18">
            <v>1084742720</v>
          </cell>
          <cell r="D18">
            <v>2700000</v>
          </cell>
        </row>
        <row r="19">
          <cell r="C19">
            <v>1083021213</v>
          </cell>
          <cell r="D19">
            <v>2700000</v>
          </cell>
        </row>
        <row r="20">
          <cell r="C20">
            <v>1221976238</v>
          </cell>
          <cell r="D20">
            <v>2200000</v>
          </cell>
        </row>
        <row r="21">
          <cell r="C21">
            <v>85461666</v>
          </cell>
          <cell r="D21">
            <v>5200000</v>
          </cell>
        </row>
        <row r="22">
          <cell r="C22">
            <v>57297436</v>
          </cell>
          <cell r="D22">
            <v>4500000</v>
          </cell>
        </row>
        <row r="23">
          <cell r="C23">
            <v>84457585</v>
          </cell>
          <cell r="D23">
            <v>3500000</v>
          </cell>
        </row>
        <row r="24">
          <cell r="C24">
            <v>4979940</v>
          </cell>
          <cell r="D24">
            <v>2500000</v>
          </cell>
        </row>
        <row r="25">
          <cell r="C25">
            <v>33224219</v>
          </cell>
          <cell r="D25">
            <v>2400000</v>
          </cell>
        </row>
        <row r="26">
          <cell r="C26">
            <v>1083560113</v>
          </cell>
          <cell r="D26">
            <v>2893000</v>
          </cell>
        </row>
        <row r="27">
          <cell r="C27">
            <v>57432482</v>
          </cell>
          <cell r="D27">
            <v>1773000</v>
          </cell>
        </row>
        <row r="28">
          <cell r="C28">
            <v>36506829</v>
          </cell>
          <cell r="D28">
            <v>1773000</v>
          </cell>
        </row>
        <row r="29">
          <cell r="C29">
            <v>57440427</v>
          </cell>
          <cell r="D29">
            <v>3100000</v>
          </cell>
        </row>
        <row r="30">
          <cell r="C30">
            <v>1114816077</v>
          </cell>
          <cell r="D30">
            <v>2400000</v>
          </cell>
        </row>
        <row r="31">
          <cell r="C31">
            <v>1082944952</v>
          </cell>
          <cell r="D31">
            <v>1900000</v>
          </cell>
        </row>
        <row r="32">
          <cell r="C32">
            <v>80057321</v>
          </cell>
          <cell r="D32">
            <v>3900000</v>
          </cell>
        </row>
        <row r="33">
          <cell r="C33">
            <v>1015432527</v>
          </cell>
          <cell r="D33">
            <v>1600000</v>
          </cell>
        </row>
        <row r="34">
          <cell r="C34">
            <v>1082937823</v>
          </cell>
          <cell r="D34">
            <v>4000000</v>
          </cell>
        </row>
        <row r="35">
          <cell r="C35">
            <v>1082982258</v>
          </cell>
          <cell r="D35">
            <v>4500000</v>
          </cell>
        </row>
        <row r="36">
          <cell r="C36">
            <v>1004346785</v>
          </cell>
          <cell r="D36">
            <v>1900000</v>
          </cell>
        </row>
        <row r="37">
          <cell r="C37">
            <v>1083020916</v>
          </cell>
          <cell r="D37">
            <v>2600000</v>
          </cell>
        </row>
        <row r="38">
          <cell r="C38">
            <v>1083029737</v>
          </cell>
          <cell r="D38">
            <v>2600000</v>
          </cell>
        </row>
        <row r="39">
          <cell r="C39">
            <v>1082966872</v>
          </cell>
          <cell r="D39">
            <v>1900000</v>
          </cell>
        </row>
        <row r="40">
          <cell r="C40">
            <v>7144506</v>
          </cell>
          <cell r="D40">
            <v>3100000</v>
          </cell>
        </row>
        <row r="41">
          <cell r="C41">
            <v>1082981978</v>
          </cell>
          <cell r="D41">
            <v>2650000</v>
          </cell>
        </row>
        <row r="42">
          <cell r="C42">
            <v>1083002889</v>
          </cell>
          <cell r="D42">
            <v>3500000</v>
          </cell>
        </row>
        <row r="43">
          <cell r="C43">
            <v>1221977218</v>
          </cell>
          <cell r="D43">
            <v>2500000</v>
          </cell>
        </row>
        <row r="44">
          <cell r="C44">
            <v>7601477</v>
          </cell>
          <cell r="D44">
            <v>2700000</v>
          </cell>
        </row>
        <row r="45">
          <cell r="C45">
            <v>1082912086</v>
          </cell>
          <cell r="D45">
            <v>2700000</v>
          </cell>
        </row>
        <row r="46">
          <cell r="C46">
            <v>1082905987</v>
          </cell>
          <cell r="D46">
            <v>2700000</v>
          </cell>
        </row>
        <row r="47">
          <cell r="C47">
            <v>57293236</v>
          </cell>
          <cell r="D47">
            <v>3600000</v>
          </cell>
        </row>
        <row r="48">
          <cell r="C48">
            <v>84457372</v>
          </cell>
          <cell r="D48">
            <v>2700000</v>
          </cell>
        </row>
        <row r="49">
          <cell r="C49">
            <v>85155135</v>
          </cell>
          <cell r="D49">
            <v>3600000</v>
          </cell>
        </row>
        <row r="50">
          <cell r="C50">
            <v>40935960</v>
          </cell>
          <cell r="D50">
            <v>2700000</v>
          </cell>
        </row>
        <row r="51">
          <cell r="C51">
            <v>1083032147</v>
          </cell>
          <cell r="D51">
            <v>3600000</v>
          </cell>
        </row>
        <row r="52">
          <cell r="C52">
            <v>1082947495</v>
          </cell>
          <cell r="D52">
            <v>2700000</v>
          </cell>
        </row>
        <row r="53">
          <cell r="C53">
            <v>36669052</v>
          </cell>
          <cell r="D53">
            <v>3600000</v>
          </cell>
        </row>
        <row r="54">
          <cell r="C54">
            <v>1083567101</v>
          </cell>
          <cell r="D54">
            <v>3600000</v>
          </cell>
        </row>
        <row r="55">
          <cell r="C55">
            <v>57466769</v>
          </cell>
          <cell r="D55">
            <v>3600000</v>
          </cell>
        </row>
        <row r="56">
          <cell r="C56">
            <v>1143379940</v>
          </cell>
          <cell r="D56">
            <v>3800000</v>
          </cell>
        </row>
        <row r="57">
          <cell r="C57">
            <v>1103111491</v>
          </cell>
          <cell r="D57">
            <v>3800000</v>
          </cell>
        </row>
        <row r="58">
          <cell r="C58">
            <v>1082984559</v>
          </cell>
          <cell r="D58">
            <v>3800000</v>
          </cell>
        </row>
        <row r="59">
          <cell r="C59">
            <v>1082886955</v>
          </cell>
          <cell r="D59">
            <v>3800000</v>
          </cell>
        </row>
        <row r="60">
          <cell r="C60">
            <v>1081823159</v>
          </cell>
          <cell r="D60">
            <v>3500000</v>
          </cell>
        </row>
        <row r="61">
          <cell r="C61">
            <v>1082983016</v>
          </cell>
          <cell r="D61">
            <v>3500000</v>
          </cell>
        </row>
        <row r="62">
          <cell r="C62">
            <v>7602961</v>
          </cell>
          <cell r="D62">
            <v>3500000</v>
          </cell>
        </row>
        <row r="63">
          <cell r="C63">
            <v>1082889745</v>
          </cell>
          <cell r="D63">
            <v>3700000</v>
          </cell>
        </row>
        <row r="64">
          <cell r="C64">
            <v>1151184718</v>
          </cell>
          <cell r="D64">
            <v>3100000</v>
          </cell>
        </row>
        <row r="65">
          <cell r="C65">
            <v>57461973</v>
          </cell>
          <cell r="D65">
            <v>2800000</v>
          </cell>
        </row>
        <row r="66">
          <cell r="C66">
            <v>1143139441</v>
          </cell>
          <cell r="D66">
            <v>2800000</v>
          </cell>
        </row>
        <row r="67">
          <cell r="C67">
            <v>85154107</v>
          </cell>
          <cell r="D67">
            <v>3400000</v>
          </cell>
        </row>
        <row r="68">
          <cell r="C68">
            <v>85151294</v>
          </cell>
          <cell r="D68">
            <v>3600000</v>
          </cell>
        </row>
        <row r="69">
          <cell r="C69">
            <v>7634885</v>
          </cell>
          <cell r="D69">
            <v>4200000</v>
          </cell>
        </row>
        <row r="70">
          <cell r="C70">
            <v>1043020726</v>
          </cell>
          <cell r="D70">
            <v>2500000</v>
          </cell>
        </row>
        <row r="71">
          <cell r="C71">
            <v>49746297</v>
          </cell>
          <cell r="D71">
            <v>1900000</v>
          </cell>
        </row>
        <row r="72">
          <cell r="C72">
            <v>1083018313</v>
          </cell>
          <cell r="D72">
            <v>3400000</v>
          </cell>
        </row>
        <row r="73">
          <cell r="C73">
            <v>1082983493</v>
          </cell>
          <cell r="D73">
            <v>2800000</v>
          </cell>
        </row>
        <row r="74">
          <cell r="C74">
            <v>1082964829</v>
          </cell>
          <cell r="D74">
            <v>3400000</v>
          </cell>
        </row>
        <row r="75">
          <cell r="C75">
            <v>75035405</v>
          </cell>
          <cell r="D75">
            <v>3100000</v>
          </cell>
        </row>
        <row r="76">
          <cell r="C76">
            <v>39049050</v>
          </cell>
          <cell r="D76">
            <v>3400000</v>
          </cell>
        </row>
        <row r="77">
          <cell r="C77">
            <v>9091645</v>
          </cell>
          <cell r="D77">
            <v>2200000</v>
          </cell>
        </row>
        <row r="78">
          <cell r="C78">
            <v>57427768</v>
          </cell>
          <cell r="D78">
            <v>2800000</v>
          </cell>
        </row>
        <row r="79">
          <cell r="C79">
            <v>1064804291</v>
          </cell>
          <cell r="D79">
            <v>2800000</v>
          </cell>
        </row>
        <row r="80">
          <cell r="C80">
            <v>1082946247</v>
          </cell>
          <cell r="D80">
            <v>2800000</v>
          </cell>
        </row>
        <row r="81">
          <cell r="C81">
            <v>57427809</v>
          </cell>
          <cell r="D81">
            <v>2200000</v>
          </cell>
        </row>
        <row r="82">
          <cell r="C82">
            <v>1018414715</v>
          </cell>
          <cell r="D82">
            <v>3800000</v>
          </cell>
        </row>
        <row r="83">
          <cell r="C83">
            <v>1082857989</v>
          </cell>
          <cell r="D83">
            <v>3100000</v>
          </cell>
        </row>
        <row r="84">
          <cell r="C84">
            <v>1082954069</v>
          </cell>
          <cell r="D84">
            <v>2900000</v>
          </cell>
        </row>
        <row r="85">
          <cell r="C85">
            <v>36668619</v>
          </cell>
          <cell r="D85">
            <v>2800000</v>
          </cell>
        </row>
        <row r="86">
          <cell r="C86">
            <v>85468611</v>
          </cell>
          <cell r="D86">
            <v>3100000</v>
          </cell>
        </row>
        <row r="87">
          <cell r="C87">
            <v>51937854</v>
          </cell>
          <cell r="D87">
            <v>6700000</v>
          </cell>
        </row>
        <row r="88">
          <cell r="C88">
            <v>1083017229</v>
          </cell>
          <cell r="D88">
            <v>3100000</v>
          </cell>
        </row>
        <row r="89">
          <cell r="C89">
            <v>1082976463</v>
          </cell>
          <cell r="D89">
            <v>2800000</v>
          </cell>
        </row>
        <row r="90">
          <cell r="C90">
            <v>1020736975</v>
          </cell>
          <cell r="D90">
            <v>2800000</v>
          </cell>
        </row>
        <row r="91">
          <cell r="C91">
            <v>7600549</v>
          </cell>
          <cell r="D91">
            <v>3400000</v>
          </cell>
        </row>
        <row r="92">
          <cell r="C92">
            <v>7631214</v>
          </cell>
          <cell r="D92">
            <v>2800000</v>
          </cell>
        </row>
        <row r="93">
          <cell r="C93">
            <v>7143181</v>
          </cell>
          <cell r="D93">
            <v>3100000</v>
          </cell>
        </row>
        <row r="94">
          <cell r="C94">
            <v>1020750597</v>
          </cell>
          <cell r="D94">
            <v>2800000</v>
          </cell>
        </row>
        <row r="95">
          <cell r="C95">
            <v>1082949911</v>
          </cell>
          <cell r="D95">
            <v>2800000</v>
          </cell>
        </row>
        <row r="96">
          <cell r="C96">
            <v>1085045367</v>
          </cell>
          <cell r="D96">
            <v>2860000</v>
          </cell>
        </row>
        <row r="97">
          <cell r="C97">
            <v>1082990998</v>
          </cell>
          <cell r="D97">
            <v>3100000</v>
          </cell>
        </row>
        <row r="98">
          <cell r="C98">
            <v>1082887356</v>
          </cell>
          <cell r="D98">
            <v>1900000</v>
          </cell>
        </row>
        <row r="99">
          <cell r="C99">
            <v>85472349</v>
          </cell>
          <cell r="D99">
            <v>3100000</v>
          </cell>
        </row>
        <row r="100">
          <cell r="C100">
            <v>1082861716</v>
          </cell>
          <cell r="D100">
            <v>2200000</v>
          </cell>
        </row>
        <row r="101">
          <cell r="C101">
            <v>1082952176</v>
          </cell>
          <cell r="D101">
            <v>2800000</v>
          </cell>
        </row>
        <row r="102">
          <cell r="C102">
            <v>1082908421</v>
          </cell>
          <cell r="D102">
            <v>2800000</v>
          </cell>
        </row>
        <row r="103">
          <cell r="C103">
            <v>1082250050</v>
          </cell>
          <cell r="D103">
            <v>2500000</v>
          </cell>
        </row>
        <row r="104">
          <cell r="C104">
            <v>84458088</v>
          </cell>
          <cell r="D104">
            <v>7500000</v>
          </cell>
        </row>
        <row r="105">
          <cell r="C105">
            <v>57106762</v>
          </cell>
          <cell r="D105">
            <v>3700000</v>
          </cell>
        </row>
        <row r="106">
          <cell r="C106">
            <v>1148702081</v>
          </cell>
          <cell r="D106">
            <v>2500000</v>
          </cell>
        </row>
        <row r="107">
          <cell r="C107">
            <v>85472840</v>
          </cell>
          <cell r="D107">
            <v>3600000</v>
          </cell>
        </row>
        <row r="108">
          <cell r="C108">
            <v>1083000350</v>
          </cell>
          <cell r="D108">
            <v>4000000</v>
          </cell>
        </row>
        <row r="109">
          <cell r="C109">
            <v>1083553861</v>
          </cell>
          <cell r="D109">
            <v>3700000</v>
          </cell>
        </row>
        <row r="110">
          <cell r="C110">
            <v>26671795</v>
          </cell>
          <cell r="D110">
            <v>3100000</v>
          </cell>
        </row>
        <row r="111">
          <cell r="C111">
            <v>1083006157</v>
          </cell>
          <cell r="D111">
            <v>2500000</v>
          </cell>
        </row>
        <row r="112">
          <cell r="C112">
            <v>1081907898</v>
          </cell>
          <cell r="D112">
            <v>2800000</v>
          </cell>
        </row>
        <row r="113">
          <cell r="C113">
            <v>1085230612</v>
          </cell>
          <cell r="D113">
            <v>2800000</v>
          </cell>
        </row>
        <row r="114">
          <cell r="C114">
            <v>57444678</v>
          </cell>
          <cell r="D114">
            <v>2800000</v>
          </cell>
        </row>
        <row r="115">
          <cell r="C115">
            <v>1084789581</v>
          </cell>
          <cell r="D115">
            <v>2500000</v>
          </cell>
        </row>
        <row r="116">
          <cell r="C116">
            <v>1084789302</v>
          </cell>
          <cell r="D116">
            <v>2500000</v>
          </cell>
        </row>
        <row r="117">
          <cell r="C117">
            <v>1102880046</v>
          </cell>
          <cell r="D117">
            <v>2500000</v>
          </cell>
        </row>
        <row r="118">
          <cell r="C118">
            <v>1066000092</v>
          </cell>
          <cell r="D118">
            <v>3100000</v>
          </cell>
        </row>
        <row r="119">
          <cell r="C119">
            <v>1083025029</v>
          </cell>
          <cell r="D119">
            <v>2800000</v>
          </cell>
        </row>
        <row r="120">
          <cell r="C120">
            <v>1082915041</v>
          </cell>
          <cell r="D120">
            <v>1900000</v>
          </cell>
        </row>
        <row r="121">
          <cell r="C121">
            <v>1082880869</v>
          </cell>
          <cell r="D121">
            <v>2200000</v>
          </cell>
        </row>
        <row r="122">
          <cell r="C122">
            <v>57466567</v>
          </cell>
          <cell r="D122">
            <v>2500000</v>
          </cell>
        </row>
        <row r="123">
          <cell r="C123">
            <v>5492235</v>
          </cell>
          <cell r="D123">
            <v>1900000</v>
          </cell>
        </row>
        <row r="124">
          <cell r="C124">
            <v>1065883393</v>
          </cell>
          <cell r="D124">
            <v>3100000</v>
          </cell>
        </row>
        <row r="125">
          <cell r="C125">
            <v>7597867</v>
          </cell>
          <cell r="D125">
            <v>4800000</v>
          </cell>
        </row>
        <row r="126">
          <cell r="C126">
            <v>1082941397</v>
          </cell>
          <cell r="D126">
            <v>2500000</v>
          </cell>
        </row>
        <row r="127">
          <cell r="C127">
            <v>57428933</v>
          </cell>
          <cell r="D127">
            <v>2500000</v>
          </cell>
        </row>
        <row r="128">
          <cell r="C128">
            <v>7602221</v>
          </cell>
          <cell r="D128">
            <v>2800000</v>
          </cell>
        </row>
        <row r="129">
          <cell r="C129">
            <v>1082927274</v>
          </cell>
          <cell r="D129">
            <v>2800000</v>
          </cell>
        </row>
        <row r="130">
          <cell r="C130">
            <v>1082974742</v>
          </cell>
          <cell r="D130">
            <v>2200000</v>
          </cell>
        </row>
        <row r="131">
          <cell r="C131">
            <v>1082841112</v>
          </cell>
          <cell r="D131">
            <v>1900000</v>
          </cell>
        </row>
        <row r="132">
          <cell r="C132">
            <v>85150692</v>
          </cell>
          <cell r="D132">
            <v>2200000</v>
          </cell>
        </row>
        <row r="133">
          <cell r="C133">
            <v>85467592</v>
          </cell>
          <cell r="D133">
            <v>2200000</v>
          </cell>
        </row>
        <row r="134">
          <cell r="C134">
            <v>7144425</v>
          </cell>
          <cell r="D134">
            <v>2500000</v>
          </cell>
        </row>
        <row r="135">
          <cell r="C135">
            <v>1007934124</v>
          </cell>
          <cell r="D135">
            <v>1900000</v>
          </cell>
        </row>
        <row r="136">
          <cell r="C136">
            <v>12637472</v>
          </cell>
          <cell r="D136">
            <v>1900000</v>
          </cell>
        </row>
        <row r="137">
          <cell r="C137">
            <v>85465984</v>
          </cell>
          <cell r="D137">
            <v>1900000</v>
          </cell>
        </row>
        <row r="138">
          <cell r="C138">
            <v>84455698</v>
          </cell>
          <cell r="D138">
            <v>1900000</v>
          </cell>
        </row>
        <row r="139">
          <cell r="C139">
            <v>85153213</v>
          </cell>
          <cell r="D139">
            <v>1900000</v>
          </cell>
        </row>
        <row r="140">
          <cell r="C140">
            <v>7634651</v>
          </cell>
          <cell r="D140">
            <v>3100000</v>
          </cell>
        </row>
        <row r="141">
          <cell r="C141">
            <v>85466757</v>
          </cell>
          <cell r="D141">
            <v>1900000</v>
          </cell>
        </row>
        <row r="142">
          <cell r="C142">
            <v>7631755</v>
          </cell>
          <cell r="D142">
            <v>1900000</v>
          </cell>
        </row>
        <row r="143">
          <cell r="C143">
            <v>19617471</v>
          </cell>
          <cell r="D143">
            <v>1900000</v>
          </cell>
        </row>
        <row r="144">
          <cell r="C144">
            <v>19612853</v>
          </cell>
          <cell r="D144">
            <v>1900000</v>
          </cell>
        </row>
        <row r="145">
          <cell r="C145">
            <v>1079941098</v>
          </cell>
          <cell r="D145">
            <v>1900000</v>
          </cell>
        </row>
        <row r="146">
          <cell r="C146">
            <v>85476117</v>
          </cell>
          <cell r="D146">
            <v>1900000</v>
          </cell>
        </row>
        <row r="147">
          <cell r="C147">
            <v>84453261</v>
          </cell>
          <cell r="D147">
            <v>3100000</v>
          </cell>
        </row>
        <row r="148">
          <cell r="C148">
            <v>35117743</v>
          </cell>
          <cell r="D148">
            <v>2500000</v>
          </cell>
        </row>
        <row r="149">
          <cell r="C149">
            <v>19601307</v>
          </cell>
          <cell r="D149">
            <v>5600000</v>
          </cell>
        </row>
        <row r="150">
          <cell r="C150">
            <v>1083567834</v>
          </cell>
          <cell r="D150">
            <v>2800000</v>
          </cell>
        </row>
        <row r="151">
          <cell r="C151">
            <v>7634396</v>
          </cell>
          <cell r="D151">
            <v>3100000</v>
          </cell>
        </row>
        <row r="152">
          <cell r="C152">
            <v>1082941715</v>
          </cell>
          <cell r="D152">
            <v>3100000</v>
          </cell>
        </row>
        <row r="153">
          <cell r="C153">
            <v>1082972337</v>
          </cell>
          <cell r="D153">
            <v>2200000</v>
          </cell>
        </row>
        <row r="154">
          <cell r="C154">
            <v>1083554776</v>
          </cell>
          <cell r="D154">
            <v>3100000</v>
          </cell>
        </row>
        <row r="155">
          <cell r="C155">
            <v>1082872335</v>
          </cell>
          <cell r="D155">
            <v>2800000</v>
          </cell>
        </row>
        <row r="156">
          <cell r="C156">
            <v>57461875</v>
          </cell>
          <cell r="D156">
            <v>2200000</v>
          </cell>
        </row>
        <row r="157">
          <cell r="C157">
            <v>36667908</v>
          </cell>
          <cell r="D157">
            <v>2200000</v>
          </cell>
        </row>
        <row r="158">
          <cell r="C158">
            <v>85155288</v>
          </cell>
          <cell r="D158">
            <v>1900000</v>
          </cell>
        </row>
        <row r="159">
          <cell r="C159">
            <v>1082983512</v>
          </cell>
          <cell r="D159">
            <v>1900000</v>
          </cell>
        </row>
        <row r="160">
          <cell r="C160">
            <v>1024505118</v>
          </cell>
          <cell r="D160">
            <v>4000000</v>
          </cell>
        </row>
        <row r="161">
          <cell r="C161">
            <v>36668600</v>
          </cell>
          <cell r="D161">
            <v>1900000</v>
          </cell>
        </row>
        <row r="162">
          <cell r="C162">
            <v>1216968632</v>
          </cell>
          <cell r="D162">
            <v>3100000</v>
          </cell>
        </row>
        <row r="163">
          <cell r="C163">
            <v>36727735</v>
          </cell>
          <cell r="D163">
            <v>1900000</v>
          </cell>
        </row>
        <row r="164">
          <cell r="C164">
            <v>57298171</v>
          </cell>
          <cell r="D164">
            <v>1900000</v>
          </cell>
        </row>
        <row r="165">
          <cell r="C165">
            <v>39047351</v>
          </cell>
          <cell r="D165">
            <v>2200000</v>
          </cell>
        </row>
        <row r="166">
          <cell r="C166">
            <v>32801897</v>
          </cell>
          <cell r="D166">
            <v>2200000</v>
          </cell>
        </row>
        <row r="167">
          <cell r="C167">
            <v>1083465166</v>
          </cell>
          <cell r="D167">
            <v>2800000</v>
          </cell>
        </row>
        <row r="168">
          <cell r="C168">
            <v>36729451</v>
          </cell>
          <cell r="D168">
            <v>2200000</v>
          </cell>
        </row>
        <row r="169">
          <cell r="C169">
            <v>84455851</v>
          </cell>
          <cell r="D169">
            <v>2200000</v>
          </cell>
        </row>
        <row r="170">
          <cell r="C170">
            <v>1082900551</v>
          </cell>
          <cell r="D170">
            <v>1900000</v>
          </cell>
        </row>
        <row r="171">
          <cell r="C171">
            <v>39049110</v>
          </cell>
          <cell r="D171">
            <v>1900000</v>
          </cell>
        </row>
        <row r="172">
          <cell r="C172">
            <v>1119816783</v>
          </cell>
          <cell r="D172">
            <v>1900000</v>
          </cell>
        </row>
        <row r="173">
          <cell r="C173">
            <v>1082963378</v>
          </cell>
          <cell r="D173">
            <v>1900000</v>
          </cell>
        </row>
        <row r="174">
          <cell r="C174">
            <v>43760150</v>
          </cell>
          <cell r="D174">
            <v>3400000</v>
          </cell>
        </row>
        <row r="175">
          <cell r="C175">
            <v>1042457246</v>
          </cell>
          <cell r="D175">
            <v>2200000</v>
          </cell>
        </row>
        <row r="176">
          <cell r="C176">
            <v>1083023147</v>
          </cell>
          <cell r="D176">
            <v>1900000</v>
          </cell>
        </row>
        <row r="177">
          <cell r="C177">
            <v>1082920567</v>
          </cell>
          <cell r="D177">
            <v>3400000</v>
          </cell>
        </row>
        <row r="178">
          <cell r="C178">
            <v>52769336</v>
          </cell>
          <cell r="D178">
            <v>2500000</v>
          </cell>
        </row>
        <row r="179">
          <cell r="C179">
            <v>1082931831</v>
          </cell>
          <cell r="D179">
            <v>3100000</v>
          </cell>
        </row>
        <row r="180">
          <cell r="C180">
            <v>57461182</v>
          </cell>
          <cell r="D180">
            <v>2800000</v>
          </cell>
        </row>
        <row r="181">
          <cell r="C181">
            <v>57295586</v>
          </cell>
          <cell r="D181">
            <v>3400000</v>
          </cell>
        </row>
        <row r="182">
          <cell r="C182">
            <v>1082841776</v>
          </cell>
          <cell r="D182">
            <v>5000000</v>
          </cell>
        </row>
        <row r="183">
          <cell r="C183">
            <v>1083009761</v>
          </cell>
          <cell r="D183">
            <v>3400000</v>
          </cell>
        </row>
        <row r="184">
          <cell r="C184">
            <v>1082961349</v>
          </cell>
          <cell r="D184">
            <v>4000000</v>
          </cell>
        </row>
        <row r="185">
          <cell r="C185">
            <v>1082882287</v>
          </cell>
          <cell r="D185">
            <v>3850000</v>
          </cell>
        </row>
        <row r="186">
          <cell r="C186">
            <v>36724902</v>
          </cell>
          <cell r="D186">
            <v>6100000</v>
          </cell>
        </row>
        <row r="187">
          <cell r="C187">
            <v>41612964</v>
          </cell>
          <cell r="D187">
            <v>5400000</v>
          </cell>
        </row>
        <row r="188">
          <cell r="C188">
            <v>7603745</v>
          </cell>
          <cell r="D188">
            <v>6100000</v>
          </cell>
        </row>
        <row r="189">
          <cell r="C189">
            <v>85460949</v>
          </cell>
          <cell r="D189">
            <v>4000000</v>
          </cell>
        </row>
        <row r="190">
          <cell r="C190">
            <v>85472799</v>
          </cell>
          <cell r="D190">
            <v>3100000</v>
          </cell>
        </row>
        <row r="191">
          <cell r="C191">
            <v>1082968283</v>
          </cell>
          <cell r="D191">
            <v>3400000</v>
          </cell>
        </row>
        <row r="192">
          <cell r="C192">
            <v>1082941024</v>
          </cell>
          <cell r="D192">
            <v>2500000</v>
          </cell>
        </row>
        <row r="193">
          <cell r="C193">
            <v>1083019267</v>
          </cell>
          <cell r="D193">
            <v>3500000</v>
          </cell>
        </row>
        <row r="194">
          <cell r="C194">
            <v>1082911157</v>
          </cell>
          <cell r="D194">
            <v>3100000</v>
          </cell>
        </row>
        <row r="195">
          <cell r="C195">
            <v>1083021976</v>
          </cell>
          <cell r="D195">
            <v>3400000</v>
          </cell>
        </row>
        <row r="196">
          <cell r="C196">
            <v>7601915</v>
          </cell>
          <cell r="D196">
            <v>3100000</v>
          </cell>
        </row>
        <row r="197">
          <cell r="C197">
            <v>7602309</v>
          </cell>
          <cell r="D197">
            <v>3100000</v>
          </cell>
        </row>
        <row r="198">
          <cell r="C198">
            <v>26671855</v>
          </cell>
          <cell r="D198">
            <v>3100000</v>
          </cell>
        </row>
        <row r="199">
          <cell r="C199">
            <v>1116800838</v>
          </cell>
          <cell r="D199">
            <v>3900000</v>
          </cell>
        </row>
        <row r="200">
          <cell r="C200">
            <v>1083017290</v>
          </cell>
          <cell r="D200">
            <v>3400000</v>
          </cell>
        </row>
        <row r="201">
          <cell r="C201">
            <v>1082977841</v>
          </cell>
          <cell r="D201">
            <v>3400000</v>
          </cell>
        </row>
        <row r="202">
          <cell r="C202">
            <v>1004370372</v>
          </cell>
          <cell r="D202">
            <v>3400000</v>
          </cell>
        </row>
        <row r="203">
          <cell r="C203">
            <v>1082958221</v>
          </cell>
          <cell r="D203">
            <v>2200000</v>
          </cell>
        </row>
        <row r="204">
          <cell r="C204">
            <v>57465032</v>
          </cell>
          <cell r="D204">
            <v>2970000</v>
          </cell>
        </row>
        <row r="205">
          <cell r="C205">
            <v>36548123</v>
          </cell>
          <cell r="D205">
            <v>1900000</v>
          </cell>
        </row>
        <row r="206">
          <cell r="C206">
            <v>57444371</v>
          </cell>
          <cell r="D206">
            <v>2200000</v>
          </cell>
        </row>
        <row r="207">
          <cell r="C207">
            <v>57441673</v>
          </cell>
          <cell r="D207">
            <v>2800000</v>
          </cell>
        </row>
        <row r="208">
          <cell r="C208">
            <v>1082984161</v>
          </cell>
          <cell r="D208">
            <v>2800000</v>
          </cell>
        </row>
        <row r="209">
          <cell r="C209">
            <v>85468614</v>
          </cell>
          <cell r="D209">
            <v>7800000</v>
          </cell>
        </row>
        <row r="210">
          <cell r="C210">
            <v>57291189</v>
          </cell>
          <cell r="D210">
            <v>3500000</v>
          </cell>
        </row>
        <row r="211">
          <cell r="C211">
            <v>1140877757</v>
          </cell>
          <cell r="D211">
            <v>3400000</v>
          </cell>
        </row>
        <row r="212">
          <cell r="C212">
            <v>1082941227</v>
          </cell>
          <cell r="D212">
            <v>3100000</v>
          </cell>
        </row>
        <row r="213">
          <cell r="C213">
            <v>1020757367</v>
          </cell>
          <cell r="D213">
            <v>2800000</v>
          </cell>
        </row>
        <row r="214">
          <cell r="C214">
            <v>1082909660</v>
          </cell>
          <cell r="D214">
            <v>3500000</v>
          </cell>
        </row>
        <row r="215">
          <cell r="C215">
            <v>80865227</v>
          </cell>
          <cell r="D215">
            <v>3700000</v>
          </cell>
        </row>
        <row r="216">
          <cell r="C216">
            <v>57170631</v>
          </cell>
          <cell r="D216">
            <v>3700000</v>
          </cell>
        </row>
        <row r="217">
          <cell r="C217">
            <v>57434888</v>
          </cell>
          <cell r="D217">
            <v>2200000</v>
          </cell>
        </row>
        <row r="218">
          <cell r="C218">
            <v>1004369176</v>
          </cell>
          <cell r="D218">
            <v>3100000</v>
          </cell>
        </row>
        <row r="219">
          <cell r="C219">
            <v>1098731749</v>
          </cell>
          <cell r="D219">
            <v>3500000</v>
          </cell>
        </row>
        <row r="220">
          <cell r="C220">
            <v>1083038004</v>
          </cell>
          <cell r="D220">
            <v>2800000</v>
          </cell>
        </row>
        <row r="221">
          <cell r="C221">
            <v>18491956</v>
          </cell>
          <cell r="D221">
            <v>4300000</v>
          </cell>
        </row>
        <row r="222">
          <cell r="C222">
            <v>12564024</v>
          </cell>
          <cell r="D222">
            <v>6100000</v>
          </cell>
        </row>
        <row r="223">
          <cell r="C223">
            <v>1082926372</v>
          </cell>
          <cell r="D223">
            <v>3400000</v>
          </cell>
        </row>
        <row r="224">
          <cell r="C224">
            <v>1082939683</v>
          </cell>
          <cell r="D224">
            <v>5000000</v>
          </cell>
        </row>
        <row r="225">
          <cell r="C225">
            <v>1128127123</v>
          </cell>
          <cell r="D225">
            <v>3600000</v>
          </cell>
        </row>
        <row r="226">
          <cell r="C226">
            <v>1221963203</v>
          </cell>
          <cell r="D226">
            <v>2700000</v>
          </cell>
        </row>
        <row r="227">
          <cell r="C227">
            <v>1082908015</v>
          </cell>
          <cell r="D227">
            <v>2267000</v>
          </cell>
        </row>
        <row r="228">
          <cell r="C228">
            <v>85474255</v>
          </cell>
          <cell r="D228">
            <v>4000000</v>
          </cell>
        </row>
        <row r="229">
          <cell r="C229">
            <v>1104871354</v>
          </cell>
          <cell r="D229">
            <v>1240000</v>
          </cell>
        </row>
        <row r="230">
          <cell r="C230">
            <v>36669007</v>
          </cell>
          <cell r="D230">
            <v>1250000</v>
          </cell>
        </row>
        <row r="231">
          <cell r="C231">
            <v>57442105</v>
          </cell>
          <cell r="D231">
            <v>1850000</v>
          </cell>
        </row>
        <row r="232">
          <cell r="C232">
            <v>84455243</v>
          </cell>
          <cell r="D232">
            <v>1600000</v>
          </cell>
        </row>
        <row r="233">
          <cell r="C233">
            <v>57443718</v>
          </cell>
          <cell r="D233">
            <v>1850000</v>
          </cell>
        </row>
        <row r="234">
          <cell r="C234">
            <v>1082947568</v>
          </cell>
          <cell r="D234">
            <v>1400000</v>
          </cell>
        </row>
        <row r="235">
          <cell r="C235">
            <v>1082997554</v>
          </cell>
          <cell r="D235">
            <v>1250000</v>
          </cell>
        </row>
        <row r="236">
          <cell r="C236">
            <v>36720698</v>
          </cell>
          <cell r="D236">
            <v>1400000</v>
          </cell>
        </row>
        <row r="237">
          <cell r="C237">
            <v>1082902525</v>
          </cell>
          <cell r="D237">
            <v>1100000</v>
          </cell>
        </row>
        <row r="238">
          <cell r="C238">
            <v>85449538</v>
          </cell>
          <cell r="D238">
            <v>1250000</v>
          </cell>
        </row>
        <row r="239">
          <cell r="C239">
            <v>36667921</v>
          </cell>
          <cell r="D239">
            <v>1100000</v>
          </cell>
        </row>
        <row r="240">
          <cell r="C240">
            <v>1083024033</v>
          </cell>
          <cell r="D240">
            <v>1400000</v>
          </cell>
        </row>
        <row r="241">
          <cell r="C241">
            <v>1083554638</v>
          </cell>
          <cell r="D241">
            <v>1100000</v>
          </cell>
        </row>
        <row r="242">
          <cell r="C242">
            <v>1082881245</v>
          </cell>
          <cell r="D242">
            <v>1400000</v>
          </cell>
        </row>
        <row r="243">
          <cell r="C243">
            <v>1007642968</v>
          </cell>
          <cell r="D243">
            <v>1100000</v>
          </cell>
        </row>
        <row r="244">
          <cell r="C244">
            <v>1193225456</v>
          </cell>
          <cell r="D244">
            <v>1400000</v>
          </cell>
        </row>
        <row r="245">
          <cell r="C245">
            <v>1098748884</v>
          </cell>
          <cell r="D245">
            <v>1400000</v>
          </cell>
        </row>
        <row r="246">
          <cell r="C246">
            <v>57466453</v>
          </cell>
          <cell r="D246">
            <v>1400000</v>
          </cell>
        </row>
        <row r="247">
          <cell r="C247">
            <v>1095701829</v>
          </cell>
          <cell r="D247">
            <v>1400000</v>
          </cell>
        </row>
        <row r="248">
          <cell r="C248">
            <v>1082949505</v>
          </cell>
          <cell r="D248">
            <v>1100000</v>
          </cell>
        </row>
        <row r="249">
          <cell r="C249">
            <v>1050461549</v>
          </cell>
          <cell r="D249">
            <v>1400000</v>
          </cell>
        </row>
        <row r="250">
          <cell r="C250">
            <v>1103122639</v>
          </cell>
          <cell r="D250">
            <v>1400000</v>
          </cell>
        </row>
        <row r="251">
          <cell r="C251">
            <v>1083008431</v>
          </cell>
          <cell r="D251">
            <v>1400000</v>
          </cell>
        </row>
        <row r="252">
          <cell r="C252">
            <v>1082961721</v>
          </cell>
          <cell r="D252">
            <v>1400000</v>
          </cell>
        </row>
        <row r="253">
          <cell r="C253">
            <v>57414091</v>
          </cell>
          <cell r="D253">
            <v>1400000</v>
          </cell>
        </row>
        <row r="254">
          <cell r="C254">
            <v>12560564</v>
          </cell>
          <cell r="D254">
            <v>1400000</v>
          </cell>
        </row>
        <row r="255">
          <cell r="C255">
            <v>1082925821</v>
          </cell>
          <cell r="D255">
            <v>1550000</v>
          </cell>
        </row>
        <row r="256">
          <cell r="C256">
            <v>1082921709</v>
          </cell>
          <cell r="D256">
            <v>1400000</v>
          </cell>
        </row>
        <row r="257">
          <cell r="C257">
            <v>1082985398</v>
          </cell>
          <cell r="D257">
            <v>1550000</v>
          </cell>
        </row>
        <row r="258">
          <cell r="C258">
            <v>1082949085</v>
          </cell>
          <cell r="D258">
            <v>1400000</v>
          </cell>
        </row>
        <row r="259">
          <cell r="C259">
            <v>85373098</v>
          </cell>
          <cell r="D259">
            <v>1400000</v>
          </cell>
        </row>
        <row r="260">
          <cell r="C260">
            <v>1067900773</v>
          </cell>
          <cell r="D260">
            <v>1550000</v>
          </cell>
        </row>
        <row r="261">
          <cell r="C261">
            <v>1082934684</v>
          </cell>
          <cell r="D261">
            <v>1550000</v>
          </cell>
        </row>
        <row r="262">
          <cell r="C262">
            <v>1082996963</v>
          </cell>
          <cell r="D262">
            <v>1250000</v>
          </cell>
        </row>
        <row r="263">
          <cell r="C263">
            <v>57434959</v>
          </cell>
          <cell r="D263">
            <v>1100000</v>
          </cell>
        </row>
        <row r="264">
          <cell r="C264">
            <v>84450965</v>
          </cell>
          <cell r="D264">
            <v>1550000</v>
          </cell>
        </row>
        <row r="265">
          <cell r="C265">
            <v>1079916249</v>
          </cell>
          <cell r="D265">
            <v>950000</v>
          </cell>
        </row>
        <row r="266">
          <cell r="C266">
            <v>57462117</v>
          </cell>
          <cell r="D266">
            <v>1250000</v>
          </cell>
        </row>
        <row r="267">
          <cell r="C267">
            <v>1082886956</v>
          </cell>
          <cell r="D267">
            <v>1700000</v>
          </cell>
        </row>
        <row r="268">
          <cell r="C268">
            <v>1065612272</v>
          </cell>
          <cell r="D268">
            <v>1400000</v>
          </cell>
        </row>
        <row r="269">
          <cell r="C269">
            <v>1083553499</v>
          </cell>
          <cell r="D269">
            <v>1400000</v>
          </cell>
        </row>
        <row r="270">
          <cell r="C270">
            <v>1082996348</v>
          </cell>
          <cell r="D270">
            <v>1550000</v>
          </cell>
        </row>
        <row r="271">
          <cell r="C271">
            <v>85462989</v>
          </cell>
          <cell r="D271">
            <v>1250000</v>
          </cell>
        </row>
        <row r="272">
          <cell r="C272">
            <v>1081925361</v>
          </cell>
          <cell r="D272">
            <v>950000</v>
          </cell>
        </row>
        <row r="273">
          <cell r="C273">
            <v>1082946321</v>
          </cell>
          <cell r="D273">
            <v>950000</v>
          </cell>
        </row>
        <row r="274">
          <cell r="C274">
            <v>57435172</v>
          </cell>
          <cell r="D274">
            <v>950000</v>
          </cell>
        </row>
        <row r="275">
          <cell r="C275">
            <v>1082977230</v>
          </cell>
          <cell r="D275">
            <v>950000</v>
          </cell>
        </row>
        <row r="276">
          <cell r="C276">
            <v>39055352</v>
          </cell>
          <cell r="D276">
            <v>950000</v>
          </cell>
        </row>
        <row r="277">
          <cell r="C277">
            <v>57466963</v>
          </cell>
          <cell r="D277">
            <v>950000</v>
          </cell>
        </row>
        <row r="278">
          <cell r="C278">
            <v>1083028723</v>
          </cell>
          <cell r="D278">
            <v>950000</v>
          </cell>
        </row>
        <row r="279">
          <cell r="C279">
            <v>1148701328</v>
          </cell>
          <cell r="D279">
            <v>950000</v>
          </cell>
        </row>
        <row r="280">
          <cell r="C280">
            <v>57438355</v>
          </cell>
          <cell r="D280">
            <v>1100000</v>
          </cell>
        </row>
        <row r="281">
          <cell r="C281">
            <v>36724927</v>
          </cell>
          <cell r="D281">
            <v>1250000</v>
          </cell>
        </row>
        <row r="282">
          <cell r="C282">
            <v>1082925612</v>
          </cell>
          <cell r="D282">
            <v>1250000</v>
          </cell>
        </row>
        <row r="283">
          <cell r="C283">
            <v>65742222</v>
          </cell>
          <cell r="D283">
            <v>2150000</v>
          </cell>
        </row>
        <row r="284">
          <cell r="C284">
            <v>1082951480</v>
          </cell>
          <cell r="D284">
            <v>1700000</v>
          </cell>
        </row>
        <row r="285">
          <cell r="C285">
            <v>1122812358</v>
          </cell>
          <cell r="D285">
            <v>1400000</v>
          </cell>
        </row>
        <row r="286">
          <cell r="C286">
            <v>79488380</v>
          </cell>
          <cell r="D286">
            <v>3550000</v>
          </cell>
        </row>
        <row r="287">
          <cell r="C287">
            <v>85450384</v>
          </cell>
          <cell r="D287">
            <v>3050000</v>
          </cell>
        </row>
        <row r="288">
          <cell r="C288">
            <v>1083455954</v>
          </cell>
          <cell r="D288">
            <v>1550000</v>
          </cell>
        </row>
        <row r="289">
          <cell r="C289">
            <v>57466190</v>
          </cell>
          <cell r="D289">
            <v>2150000</v>
          </cell>
        </row>
        <row r="290">
          <cell r="C290">
            <v>36535996</v>
          </cell>
          <cell r="D290">
            <v>2000000</v>
          </cell>
        </row>
        <row r="291">
          <cell r="C291">
            <v>1082892888</v>
          </cell>
          <cell r="D291">
            <v>1550000</v>
          </cell>
        </row>
        <row r="292">
          <cell r="C292">
            <v>1004360507</v>
          </cell>
          <cell r="D292">
            <v>1550000</v>
          </cell>
        </row>
        <row r="293">
          <cell r="C293">
            <v>1082935721</v>
          </cell>
          <cell r="D293">
            <v>2150000</v>
          </cell>
        </row>
        <row r="294">
          <cell r="C294">
            <v>1083024578</v>
          </cell>
          <cell r="D294">
            <v>1700000</v>
          </cell>
        </row>
        <row r="295">
          <cell r="C295">
            <v>1082977003</v>
          </cell>
          <cell r="D295">
            <v>1750000</v>
          </cell>
        </row>
        <row r="296">
          <cell r="C296">
            <v>36719605</v>
          </cell>
          <cell r="D296">
            <v>1400000</v>
          </cell>
        </row>
        <row r="297">
          <cell r="C297">
            <v>1216966715</v>
          </cell>
          <cell r="D297">
            <v>1550000</v>
          </cell>
        </row>
        <row r="298">
          <cell r="C298">
            <v>1082840247</v>
          </cell>
          <cell r="D298">
            <v>1100000</v>
          </cell>
        </row>
        <row r="299">
          <cell r="C299">
            <v>1018413783</v>
          </cell>
          <cell r="D299">
            <v>2750000</v>
          </cell>
        </row>
        <row r="300">
          <cell r="C300">
            <v>1082902423</v>
          </cell>
          <cell r="D300">
            <v>1550000</v>
          </cell>
        </row>
        <row r="301">
          <cell r="C301">
            <v>1065836973</v>
          </cell>
          <cell r="D301">
            <v>1400000</v>
          </cell>
        </row>
        <row r="302">
          <cell r="C302">
            <v>1082924263</v>
          </cell>
          <cell r="D302">
            <v>2250000</v>
          </cell>
        </row>
        <row r="303">
          <cell r="C303">
            <v>22854984</v>
          </cell>
          <cell r="D303">
            <v>1700000</v>
          </cell>
        </row>
        <row r="304">
          <cell r="C304">
            <v>57434436</v>
          </cell>
          <cell r="D304">
            <v>1700000</v>
          </cell>
        </row>
        <row r="305">
          <cell r="C305">
            <v>12541041</v>
          </cell>
          <cell r="D305">
            <v>1400000</v>
          </cell>
        </row>
        <row r="306">
          <cell r="C306">
            <v>7601673</v>
          </cell>
          <cell r="D306">
            <v>1400000</v>
          </cell>
        </row>
        <row r="307">
          <cell r="C307">
            <v>3743095</v>
          </cell>
          <cell r="D307">
            <v>1550000</v>
          </cell>
        </row>
        <row r="308">
          <cell r="C308">
            <v>39143698</v>
          </cell>
          <cell r="D308">
            <v>1400000</v>
          </cell>
        </row>
        <row r="309">
          <cell r="C309">
            <v>84452171</v>
          </cell>
          <cell r="D309">
            <v>1400000</v>
          </cell>
        </row>
        <row r="310">
          <cell r="C310">
            <v>57427903</v>
          </cell>
          <cell r="D310">
            <v>1750000</v>
          </cell>
        </row>
        <row r="311">
          <cell r="C311">
            <v>36726629</v>
          </cell>
          <cell r="D311">
            <v>950000</v>
          </cell>
        </row>
        <row r="312">
          <cell r="C312">
            <v>1128149649</v>
          </cell>
          <cell r="D312">
            <v>1250000</v>
          </cell>
        </row>
        <row r="313">
          <cell r="C313">
            <v>49758019</v>
          </cell>
          <cell r="D313">
            <v>1250000</v>
          </cell>
        </row>
        <row r="314">
          <cell r="C314">
            <v>36724297</v>
          </cell>
          <cell r="D314">
            <v>1100000</v>
          </cell>
        </row>
        <row r="315">
          <cell r="C315">
            <v>85152680</v>
          </cell>
          <cell r="D315">
            <v>1700000</v>
          </cell>
        </row>
        <row r="316">
          <cell r="C316">
            <v>36729283</v>
          </cell>
          <cell r="D316">
            <v>950000</v>
          </cell>
        </row>
        <row r="317">
          <cell r="C317">
            <v>1083040669</v>
          </cell>
          <cell r="D317">
            <v>950000</v>
          </cell>
        </row>
        <row r="318">
          <cell r="C318">
            <v>1082992753</v>
          </cell>
          <cell r="D318">
            <v>1400000</v>
          </cell>
        </row>
        <row r="319">
          <cell r="C319">
            <v>1081928917</v>
          </cell>
          <cell r="D319">
            <v>1400000</v>
          </cell>
        </row>
        <row r="320">
          <cell r="C320">
            <v>1082969436</v>
          </cell>
          <cell r="D320">
            <v>1250000</v>
          </cell>
        </row>
        <row r="321">
          <cell r="C321">
            <v>36555376</v>
          </cell>
          <cell r="D321">
            <v>950000</v>
          </cell>
        </row>
        <row r="322">
          <cell r="C322">
            <v>1083007469</v>
          </cell>
          <cell r="D322">
            <v>1550000</v>
          </cell>
        </row>
        <row r="323">
          <cell r="C323">
            <v>85465875</v>
          </cell>
          <cell r="D323">
            <v>1550000</v>
          </cell>
        </row>
        <row r="324">
          <cell r="C324">
            <v>12563787</v>
          </cell>
          <cell r="D324">
            <v>1550000</v>
          </cell>
        </row>
        <row r="325">
          <cell r="C325">
            <v>19517646</v>
          </cell>
          <cell r="D325">
            <v>950000</v>
          </cell>
        </row>
        <row r="326">
          <cell r="C326">
            <v>39057134</v>
          </cell>
          <cell r="D326">
            <v>2000000</v>
          </cell>
        </row>
        <row r="327">
          <cell r="C327">
            <v>13542773</v>
          </cell>
          <cell r="D327">
            <v>2500000</v>
          </cell>
        </row>
        <row r="328">
          <cell r="C328">
            <v>1083041500</v>
          </cell>
          <cell r="D328">
            <v>880000</v>
          </cell>
        </row>
        <row r="329">
          <cell r="C329">
            <v>1004278346</v>
          </cell>
          <cell r="D329">
            <v>1240000</v>
          </cell>
        </row>
        <row r="330">
          <cell r="C330">
            <v>1083045649</v>
          </cell>
          <cell r="D330">
            <v>1120000</v>
          </cell>
        </row>
        <row r="331">
          <cell r="C331">
            <v>1082957435</v>
          </cell>
          <cell r="D331">
            <v>1240000</v>
          </cell>
        </row>
        <row r="332">
          <cell r="C332">
            <v>1082842812</v>
          </cell>
          <cell r="D332">
            <v>514000</v>
          </cell>
        </row>
        <row r="333">
          <cell r="C333">
            <v>1082842092</v>
          </cell>
          <cell r="D333">
            <v>514000</v>
          </cell>
        </row>
        <row r="334">
          <cell r="C334">
            <v>1083033311</v>
          </cell>
          <cell r="D334">
            <v>514000</v>
          </cell>
        </row>
        <row r="335">
          <cell r="C335">
            <v>1083026685</v>
          </cell>
          <cell r="D335">
            <v>514000</v>
          </cell>
        </row>
        <row r="336">
          <cell r="C336">
            <v>1082992511</v>
          </cell>
          <cell r="D336">
            <v>514000</v>
          </cell>
        </row>
        <row r="337">
          <cell r="C337">
            <v>1083039210</v>
          </cell>
          <cell r="D337">
            <v>1400000</v>
          </cell>
        </row>
        <row r="338">
          <cell r="C338">
            <v>57464899</v>
          </cell>
          <cell r="D338">
            <v>580000</v>
          </cell>
        </row>
        <row r="339">
          <cell r="C339">
            <v>1082981011</v>
          </cell>
          <cell r="D339">
            <v>1160000</v>
          </cell>
        </row>
        <row r="340">
          <cell r="C340">
            <v>1082904561</v>
          </cell>
          <cell r="D340">
            <v>1400000</v>
          </cell>
        </row>
        <row r="341">
          <cell r="C341">
            <v>26670062</v>
          </cell>
          <cell r="D341">
            <v>2800000</v>
          </cell>
        </row>
        <row r="342">
          <cell r="C342">
            <v>1082915040</v>
          </cell>
          <cell r="D342">
            <v>1250000</v>
          </cell>
        </row>
        <row r="343">
          <cell r="C343">
            <v>1083038270</v>
          </cell>
          <cell r="D343">
            <v>950000</v>
          </cell>
        </row>
        <row r="344">
          <cell r="C344">
            <v>57463967</v>
          </cell>
          <cell r="D344">
            <v>1550000</v>
          </cell>
        </row>
        <row r="345">
          <cell r="C345">
            <v>9738364</v>
          </cell>
          <cell r="D345">
            <v>950000</v>
          </cell>
        </row>
        <row r="346">
          <cell r="C346">
            <v>1082915137</v>
          </cell>
          <cell r="D346">
            <v>1550000</v>
          </cell>
        </row>
        <row r="347">
          <cell r="C347">
            <v>1004188433</v>
          </cell>
          <cell r="D347">
            <v>1550000</v>
          </cell>
        </row>
        <row r="348">
          <cell r="C348">
            <v>1083020695</v>
          </cell>
          <cell r="D348">
            <v>2000000</v>
          </cell>
        </row>
        <row r="349">
          <cell r="C349">
            <v>42155216</v>
          </cell>
          <cell r="D349">
            <v>1250000</v>
          </cell>
        </row>
        <row r="350">
          <cell r="C350">
            <v>57303000</v>
          </cell>
          <cell r="D350">
            <v>1250000</v>
          </cell>
        </row>
        <row r="351">
          <cell r="C351">
            <v>1082999140</v>
          </cell>
          <cell r="D351">
            <v>1120000</v>
          </cell>
        </row>
        <row r="352">
          <cell r="C352">
            <v>1082934147</v>
          </cell>
          <cell r="D352">
            <v>1700000</v>
          </cell>
        </row>
        <row r="353">
          <cell r="C353">
            <v>84451148</v>
          </cell>
          <cell r="D353">
            <v>917000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90674&amp;isFromPublicArea=True&amp;isModal=False" TargetMode="External"/><Relationship Id="rId13" Type="http://schemas.openxmlformats.org/officeDocument/2006/relationships/hyperlink" Target="https://community.secop.gov.co/Public/Tendering/ContractNoticePhases/View?PPI=CO1.PPI.23676365&amp;isFromPublicArea=True&amp;isModal=False" TargetMode="External"/><Relationship Id="rId18" Type="http://schemas.openxmlformats.org/officeDocument/2006/relationships/hyperlink" Target="https://community.secop.gov.co/Public/Tendering/ContractNoticePhases/View?PPI=CO1.PPI.24741119&amp;isFromPublicArea=True&amp;isModal=False" TargetMode="External"/><Relationship Id="rId26"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3871971&amp;isFromPublicArea=True&amp;isModal=False" TargetMode="External"/><Relationship Id="rId21" Type="http://schemas.openxmlformats.org/officeDocument/2006/relationships/hyperlink" Target="https://community.secop.gov.co/Public/Tendering/ContractNoticePhases/View?PPI=CO1.PPI.25467582&amp;isFromPublicArea=True&amp;isModal=False" TargetMode="External"/><Relationship Id="rId7" Type="http://schemas.openxmlformats.org/officeDocument/2006/relationships/hyperlink" Target="https://community.secop.gov.co/Public/Tendering/OpportunityDetail/Index?noticeUID=CO1.NTC.3973910&amp;isFromPublicArea=True&amp;isModal=False" TargetMode="External"/><Relationship Id="rId12" Type="http://schemas.openxmlformats.org/officeDocument/2006/relationships/hyperlink" Target="https://community.secop.gov.co/Public/Tendering/ContractNoticePhases/View?PPI=CO1.PPI.23676132&amp;isFromPublicArea=True&amp;isModal=False" TargetMode="External"/><Relationship Id="rId17" Type="http://schemas.openxmlformats.org/officeDocument/2006/relationships/hyperlink" Target="https://community.secop.gov.co/Public/Tendering/ContractNoticePhases/View?PPI=CO1.PPI.24740920&amp;isFromPublicArea=True&amp;isModal=False" TargetMode="External"/><Relationship Id="rId25" Type="http://schemas.openxmlformats.org/officeDocument/2006/relationships/hyperlink" Target="https://community.secop.gov.co/Public/Tendering/ContractNoticePhases/View?PPI=CO1.PPI.26178052&amp;isFromPublicArea=True&amp;isModal=False" TargetMode="External"/><Relationship Id="rId2" Type="http://schemas.openxmlformats.org/officeDocument/2006/relationships/hyperlink" Target="https://community.secop.gov.co/Public/Tendering/OpportunityDetail/Index?noticeUID=CO1.NTC.3869678&amp;isFromPublicArea=True&amp;isModal=False" TargetMode="External"/><Relationship Id="rId16" Type="http://schemas.openxmlformats.org/officeDocument/2006/relationships/hyperlink" Target="https://community.secop.gov.co/Public/Tendering/ContractNoticePhases/View?PPI=CO1.PPI.24740347&amp;isFromPublicArea=True&amp;isModal=False" TargetMode="External"/><Relationship Id="rId20" Type="http://schemas.openxmlformats.org/officeDocument/2006/relationships/hyperlink" Target="https://community.secop.gov.co/Public/Tendering/ContractNoticePhases/View?PPI=CO1.PPI.25192592&amp;isFromPublicArea=True&amp;isModal=False" TargetMode="External"/><Relationship Id="rId1" Type="http://schemas.openxmlformats.org/officeDocument/2006/relationships/hyperlink" Target="https://community.secop.gov.co/Public/Tendering/OpportunityDetail/Index?noticeUID=CO1.NTC.3869667&amp;isFromPublicArea=True&amp;isModal=False" TargetMode="External"/><Relationship Id="rId6" Type="http://schemas.openxmlformats.org/officeDocument/2006/relationships/hyperlink" Target="https://community.secop.gov.co/Public/Tendering/OpportunityDetail/Index?noticeUID=CO1.NTC.3886025&amp;isFromPublicArea=True&amp;isModal=False" TargetMode="External"/><Relationship Id="rId11" Type="http://schemas.openxmlformats.org/officeDocument/2006/relationships/hyperlink" Target="https://community.secop.gov.co/Public/Tendering/ContractNoticePhases/View?PPI=CO1.PPI.23545174&amp;isFromPublicArea=True&amp;isModal=False" TargetMode="External"/><Relationship Id="rId24" Type="http://schemas.openxmlformats.org/officeDocument/2006/relationships/hyperlink" Target="https://community.secop.gov.co/Public/Tendering/ContractNoticePhases/View?PPI=CO1.PPI.25643215&amp;isFromPublicArea=True&amp;isModal=False" TargetMode="External"/><Relationship Id="rId5" Type="http://schemas.openxmlformats.org/officeDocument/2006/relationships/hyperlink" Target="https://community.secop.gov.co/Public/Tendering/OpportunityDetail/Index?noticeUID=CO1.NTC.3885910&amp;isFromPublicArea=True&amp;isModal=False" TargetMode="External"/><Relationship Id="rId15" Type="http://schemas.openxmlformats.org/officeDocument/2006/relationships/hyperlink" Target="https://community.secop.gov.co/Public/Tendering/ContractNoticePhases/View?PPI=CO1.PPI.24737489&amp;isFromPublicArea=True&amp;isModal=False" TargetMode="External"/><Relationship Id="rId23" Type="http://schemas.openxmlformats.org/officeDocument/2006/relationships/hyperlink" Target="https://community.secop.gov.co/Public/Tendering/ContractNoticePhases/View?PPI=CO1.PPI.25635328&amp;isFromPublicArea=True&amp;isModal=False" TargetMode="External"/><Relationship Id="rId10" Type="http://schemas.openxmlformats.org/officeDocument/2006/relationships/hyperlink" Target="https://community.secop.gov.co/Public/Tendering/OpportunityDetail/Index?noticeUID=CO1.NTC.3871983&amp;isFromPublicArea=True&amp;isModal=False" TargetMode="External"/><Relationship Id="rId19" Type="http://schemas.openxmlformats.org/officeDocument/2006/relationships/hyperlink" Target="https://community.secop.gov.co/Public/Tendering/ContractNoticePhases/View?PPI=CO1.PPI.24846908&amp;isFromPublicArea=True&amp;isModal=False" TargetMode="External"/><Relationship Id="rId4" Type="http://schemas.openxmlformats.org/officeDocument/2006/relationships/hyperlink" Target="https://community.secop.gov.co/Public/Tendering/OpportunityDetail/Index?noticeUID=CO1.NTC.3885910&amp;isFromPublicArea=True&amp;isModal=False" TargetMode="External"/><Relationship Id="rId9" Type="http://schemas.openxmlformats.org/officeDocument/2006/relationships/hyperlink" Target="https://community.secop.gov.co/Public/Tendering/OpportunityDetail/Index?noticeUID=CO1.NTC.3872022&amp;isFromPublicArea=True&amp;isModal=Fals" TargetMode="External"/><Relationship Id="rId14" Type="http://schemas.openxmlformats.org/officeDocument/2006/relationships/hyperlink" Target="https://community.secop.gov.co/Public/Tendering/ContractNoticePhases/View?PPI=CO1.PPI.23872000&amp;isFromPublicArea=True&amp;isModal=False" TargetMode="External"/><Relationship Id="rId22" Type="http://schemas.openxmlformats.org/officeDocument/2006/relationships/hyperlink" Target="https://community.secop.gov.co/Public/Tendering/ContractNoticePhases/View?PPI=CO1.PPI.25509224&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community.secop.gov.co/Public/Tendering/OpportunityDetail/Index?noticeUID=CO1.NTC.4403510&amp;isFromPublicArea=True&amp;isModal=False" TargetMode="External"/><Relationship Id="rId1" Type="http://schemas.openxmlformats.org/officeDocument/2006/relationships/hyperlink" Target="https://community.secop.gov.co/Public/Tendering/OpportunityDetail/Index?noticeUID=CO1.NTC.4481349&amp;isFromPublicArea=True&amp;isModal=Fals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ommunity.secop.gov.co/Public/Tendering/ContractNoticePhases/View?PPI=CO1.PPI.24151486&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681610&amp;isFromPublicArea=True&amp;isModal=False" TargetMode="External"/><Relationship Id="rId13" Type="http://schemas.openxmlformats.org/officeDocument/2006/relationships/hyperlink" Target="https://community.secop.gov.co/Public/Tendering/OpportunityDetail/Index?noticeUID=CO1.NTC.4681565&amp;isFromPublicArea=True&amp;isModal=False" TargetMode="External"/><Relationship Id="rId18" Type="http://schemas.openxmlformats.org/officeDocument/2006/relationships/hyperlink" Target="https://community.secop.gov.co/Public/Tendering/OpportunityDetail/Index?noticeUID=CO1.NTC.4730991&amp;isFromPublicArea=True&amp;isModal=False" TargetMode="External"/><Relationship Id="rId3" Type="http://schemas.openxmlformats.org/officeDocument/2006/relationships/hyperlink" Target="https://community.secop.gov.co/Public/Tendering/OpportunityDetail/Index?noticeUID=CO1.NTC.4550259&amp;isFromPublicArea=True&amp;isModal=False" TargetMode="External"/><Relationship Id="rId7" Type="http://schemas.openxmlformats.org/officeDocument/2006/relationships/hyperlink" Target="https://community.secop.gov.co/Public/Tendering/OpportunityDetail/Index?noticeUID=CO1.NTC.4681529&amp;isFromPublicArea=True&amp;isModal=False" TargetMode="External"/><Relationship Id="rId12" Type="http://schemas.openxmlformats.org/officeDocument/2006/relationships/hyperlink" Target="https://community.secop.gov.co/Public/Tendering/OpportunityDetail/Index?noticeUID=CO1.NTC.4681461&amp;isFromPublicArea=True&amp;isModal=False" TargetMode="External"/><Relationship Id="rId17" Type="http://schemas.openxmlformats.org/officeDocument/2006/relationships/hyperlink" Target="https://community.secop.gov.co/Public/Tendering/OpportunityDetail/Index?noticeUID=CO1.NTC.4730967&amp;isFromPublicArea=True&amp;isModal=False" TargetMode="External"/><Relationship Id="rId2" Type="http://schemas.openxmlformats.org/officeDocument/2006/relationships/hyperlink" Target="https://community.secop.gov.co/Public/Tendering/OpportunityDetail/Index?noticeUID=CO1.NTC.4550323&amp;isFromPublicArea=True&amp;isModal=False" TargetMode="External"/><Relationship Id="rId16" Type="http://schemas.openxmlformats.org/officeDocument/2006/relationships/hyperlink" Target="https://community.secop.gov.co/Public/Tendering/OpportunityDetail/Index?noticeUID=CO1.NTC.4730620&amp;isFromPublicArea=True&amp;isModal=False" TargetMode="External"/><Relationship Id="rId1" Type="http://schemas.openxmlformats.org/officeDocument/2006/relationships/hyperlink" Target="https://community.secop.gov.co/Public/Tendering/OpportunityDetail/Index?noticeUID=CO1.NTC.4550026&amp;isFromPublicArea=True&amp;isModal=False" TargetMode="External"/><Relationship Id="rId6" Type="http://schemas.openxmlformats.org/officeDocument/2006/relationships/hyperlink" Target="https://community.secop.gov.co/Public/Tendering/OpportunityDetail/Index?noticeUID=CO1.NTC.4681285&amp;isFromPublicArea=True&amp;isModal=False" TargetMode="External"/><Relationship Id="rId11" Type="http://schemas.openxmlformats.org/officeDocument/2006/relationships/hyperlink" Target="https://community.secop.gov.co/Public/Tendering/OpportunityDetail/Index?noticeUID=CO1.NTC.4681446&amp;isFromPublicArea=True&amp;isModal=False" TargetMode="External"/><Relationship Id="rId5" Type="http://schemas.openxmlformats.org/officeDocument/2006/relationships/hyperlink" Target="https://community.secop.gov.co/Public/Tendering/OpportunityDetail/Index?noticeUID=CO1.NTC.4681269&amp;isFromPublicArea=True&amp;isModal=False" TargetMode="External"/><Relationship Id="rId15" Type="http://schemas.openxmlformats.org/officeDocument/2006/relationships/hyperlink" Target="https://community.secop.gov.co/Public/Tendering/OpportunityDetail/Index?noticeUID=CO1.NTC.4681807&amp;isFromPublicArea=True&amp;isModal=False" TargetMode="External"/><Relationship Id="rId10" Type="http://schemas.openxmlformats.org/officeDocument/2006/relationships/hyperlink" Target="https://community.secop.gov.co/Public/Tendering/OpportunityDetail/Index?noticeUID=CO1.NTC.4681620&amp;isFromPublicArea=True&amp;isModal=False" TargetMode="External"/><Relationship Id="rId19" Type="http://schemas.openxmlformats.org/officeDocument/2006/relationships/printerSettings" Target="../printerSettings/printerSettings13.bin"/><Relationship Id="rId4" Type="http://schemas.openxmlformats.org/officeDocument/2006/relationships/hyperlink" Target="https://community.secop.gov.co/Public/Tendering/OpportunityDetail/Index?noticeUID=CO1.NTC.4681409&amp;isFromPublicArea=True&amp;isModal=False" TargetMode="External"/><Relationship Id="rId9" Type="http://schemas.openxmlformats.org/officeDocument/2006/relationships/hyperlink" Target="https://community.secop.gov.co/Public/Tendering/OpportunityDetail/Index?noticeUID=CO1.NTC.4681602&amp;isFromPublicArea=True&amp;isModal=False" TargetMode="External"/><Relationship Id="rId14" Type="http://schemas.openxmlformats.org/officeDocument/2006/relationships/hyperlink" Target="https://community.secop.gov.co/Public/Tendering/OpportunityDetail/Index?noticeUID=CO1.NTC.4681805&amp;isFromPublicArea=True&amp;isModal=Fals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4202127" TargetMode="External"/><Relationship Id="rId13" Type="http://schemas.openxmlformats.org/officeDocument/2006/relationships/hyperlink" Target="https://www.secop.gov.co/CO1BusinessLine/Tendering/BuyerWorkArea/Index?DocUniqueIdentifier=CO1.BDOS.4228402" TargetMode="External"/><Relationship Id="rId18" Type="http://schemas.openxmlformats.org/officeDocument/2006/relationships/hyperlink" Target="https://www.secop.gov.co/CO1BusinessLine/Tendering/BuyerWorkArea/Index?DocUniqueIdentifier=CO1.BDOS.4213900" TargetMode="External"/><Relationship Id="rId3" Type="http://schemas.openxmlformats.org/officeDocument/2006/relationships/hyperlink" Target="https://www.secop.gov.co/CO1BusinessLine/Tendering/BuyerWorkArea/Index?DocUniqueIdentifier=CO1.BDOS.4213565" TargetMode="External"/><Relationship Id="rId21" Type="http://schemas.openxmlformats.org/officeDocument/2006/relationships/hyperlink" Target="https://community.secop.gov.co/Public/Tendering/OpportunityDetail/Index?noticeUID=CO1.NTC.4450572&amp;isFromPublicArea=True&amp;isModal=False" TargetMode="External"/><Relationship Id="rId7" Type="http://schemas.openxmlformats.org/officeDocument/2006/relationships/hyperlink" Target="https://www.secop.gov.co/CO1BusinessLine/Tendering/BuyerWorkArea/Index?DocUniqueIdentifier=CO1.BDOS.4202354" TargetMode="External"/><Relationship Id="rId12" Type="http://schemas.openxmlformats.org/officeDocument/2006/relationships/hyperlink" Target="https://www.secop.gov.co/CO1BusinessLine/Tendering/BuyerWorkArea/Index?DocUniqueIdentifier=CO1.BDOS.4223293" TargetMode="External"/><Relationship Id="rId17" Type="http://schemas.openxmlformats.org/officeDocument/2006/relationships/hyperlink" Target="https://www.secop.gov.co/CO1BusinessLine/Tendering/BuyerWorkArea/Index?DocUniqueIdentifier=CO1.BDOS.4195294" TargetMode="External"/><Relationship Id="rId25" Type="http://schemas.openxmlformats.org/officeDocument/2006/relationships/drawing" Target="../drawings/drawing3.xml"/><Relationship Id="rId2" Type="http://schemas.openxmlformats.org/officeDocument/2006/relationships/hyperlink" Target="https://www.secop.gov.co/CO1BusinessLine/Tendering/BuyerWorkArea/Index?DocUniqueIdentifier=CO1.BDOS.4213596" TargetMode="External"/><Relationship Id="rId16" Type="http://schemas.openxmlformats.org/officeDocument/2006/relationships/hyperlink" Target="https://www.secop.gov.co/CO1BusinessLine/Tendering/BuyerWorkArea/Index?DocUniqueIdentifier=CO1.BDOS.4223702" TargetMode="External"/><Relationship Id="rId20" Type="http://schemas.openxmlformats.org/officeDocument/2006/relationships/hyperlink" Target="https://community.secop.gov.co/Public/Tendering/OpportunityDetail/Index?noticeUID=CO1.NTC.4450372&amp;isFromPublicArea=True&amp;isModal=False" TargetMode="External"/><Relationship Id="rId1" Type="http://schemas.openxmlformats.org/officeDocument/2006/relationships/hyperlink" Target="https://community.secop.gov.co/Public/Tendering/OpportunityDetail/Index?noticeUID=CO1.NTC.3855728&amp;isFromPublicArea=True&amp;isModal=true&amp;asPopupView=true" TargetMode="External"/><Relationship Id="rId6" Type="http://schemas.openxmlformats.org/officeDocument/2006/relationships/hyperlink" Target="https://www.secop.gov.co/CO1BusinessLine/Tendering/BuyerWorkArea/Index?DocUniqueIdentifier=CO1.BDOS.4207300" TargetMode="External"/><Relationship Id="rId11" Type="http://schemas.openxmlformats.org/officeDocument/2006/relationships/hyperlink" Target="https://www.secop.gov.co/CO1BusinessLine/Tendering/BuyerWorkArea/Index?DocUniqueIdentifier=CO1.BDOS.4222232" TargetMode="External"/><Relationship Id="rId24" Type="http://schemas.openxmlformats.org/officeDocument/2006/relationships/printerSettings" Target="../printerSettings/printerSettings14.bin"/><Relationship Id="rId5" Type="http://schemas.openxmlformats.org/officeDocument/2006/relationships/hyperlink" Target="https://www.secop.gov.co/CO1BusinessLine/Tendering/BuyerWorkArea/Index?DocUniqueIdentifier=CO1.BDOS.4211963" TargetMode="External"/><Relationship Id="rId15" Type="http://schemas.openxmlformats.org/officeDocument/2006/relationships/hyperlink" Target="https://www.secop.gov.co/CO1BusinessLine/Tendering/BuyerWorkArea/Index?DocUniqueIdentifier=CO1.BDOS.4196380" TargetMode="External"/><Relationship Id="rId23" Type="http://schemas.openxmlformats.org/officeDocument/2006/relationships/hyperlink" Target="https://community.secop.gov.co/Public/Tendering/OpportunityDetail/Index?noticeUID=CO1.NTC.4770307&amp;isFromPublicArea=True&amp;isModal=False" TargetMode="External"/><Relationship Id="rId10" Type="http://schemas.openxmlformats.org/officeDocument/2006/relationships/hyperlink" Target="https://www.secop.gov.co/CO1BusinessLine/Tendering/BuyerWorkArea/Index?DocUniqueIdentifier=CO1.BDOS.4195017" TargetMode="External"/><Relationship Id="rId19" Type="http://schemas.openxmlformats.org/officeDocument/2006/relationships/hyperlink" Target="https://www.secop.gov.co/CO1BusinessLine/Tendering/BuyerWorkArea/Index?DocUniqueIdentifier=CO1.BDOS.4234178" TargetMode="External"/><Relationship Id="rId4" Type="http://schemas.openxmlformats.org/officeDocument/2006/relationships/hyperlink" Target="https://www.secop.gov.co/CO1BusinessLine/Tendering/BuyerWorkArea/Index?DocUniqueIdentifier=CO1.BDOS.4211963" TargetMode="External"/><Relationship Id="rId9" Type="http://schemas.openxmlformats.org/officeDocument/2006/relationships/hyperlink" Target="https://www.secop.gov.co/CO1BusinessLine/Tendering/BuyerWorkArea/Index?DocUniqueIdentifier=CO1.BDOS.4195321" TargetMode="External"/><Relationship Id="rId14" Type="http://schemas.openxmlformats.org/officeDocument/2006/relationships/hyperlink" Target="https://www.secop.gov.co/CO1BusinessLine/Tendering/BuyerWorkArea/Index?DocUniqueIdentifier=CO1.BDOS.4234141" TargetMode="External"/><Relationship Id="rId22" Type="http://schemas.openxmlformats.org/officeDocument/2006/relationships/hyperlink" Target="https://community.secop.gov.co/Public/Tendering/OpportunityDetail/Index?noticeUID=CO1.NTC.4739869&amp;isFromPublicArea=True&amp;isModal=Fal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3434212&amp;isFromPublicArea=True&amp;isModal=False" TargetMode="External"/><Relationship Id="rId117" Type="http://schemas.openxmlformats.org/officeDocument/2006/relationships/hyperlink" Target="https://community.secop.gov.co/Public/Tendering/ContractNoticePhases/View?PPI=CO1.PPI.24198949&amp;isFromPublicArea=True&amp;isModal=False" TargetMode="External"/><Relationship Id="rId21" Type="http://schemas.openxmlformats.org/officeDocument/2006/relationships/hyperlink" Target="https://community.secop.gov.co/Public/Tendering/ContractNoticePhases/View?PPI=CO1.PPI.23475365&amp;isFromPublicArea=True&amp;isModal=False" TargetMode="External"/><Relationship Id="rId42" Type="http://schemas.openxmlformats.org/officeDocument/2006/relationships/hyperlink" Target="https://community.secop.gov.co/Public/Tendering/ContractNoticePhases/View?PPI=CO1.PPI.23723116&amp;isFromPublicArea=True&amp;isModal=False" TargetMode="External"/><Relationship Id="rId47" Type="http://schemas.openxmlformats.org/officeDocument/2006/relationships/hyperlink" Target="https://community.secop.gov.co/Public/Tendering/ContractNoticePhases/View?PPI=CO1.PPI.23797988&amp;isFromPublicArea=True&amp;isModal=False" TargetMode="External"/><Relationship Id="rId63" Type="http://schemas.openxmlformats.org/officeDocument/2006/relationships/hyperlink" Target="https://community.secop.gov.co/Public/Tendering/ContractNoticePhases/View?PPI=CO1.PPI.24058113&amp;isFromPublicArea=True&amp;isModal=False" TargetMode="External"/><Relationship Id="rId68" Type="http://schemas.openxmlformats.org/officeDocument/2006/relationships/hyperlink" Target="https://community.secop.gov.co/Public/Tendering/ContractNoticePhases/View?PPI=CO1.PPI.24103992&amp;isFromPublicArea=True&amp;isModal=False" TargetMode="External"/><Relationship Id="rId84" Type="http://schemas.openxmlformats.org/officeDocument/2006/relationships/hyperlink" Target="https://community.secop.gov.co/Public/Tendering/ContractNoticePhases/View?PPI=CO1.PPI.23932072&amp;isFromPublicArea=True&amp;isModal=False" TargetMode="External"/><Relationship Id="rId89" Type="http://schemas.openxmlformats.org/officeDocument/2006/relationships/hyperlink" Target="https://community.secop.gov.co/Public/Tendering/ContractNoticePhases/View?PPI=CO1.PPI.24132153&amp;isFromPublicArea=True&amp;isModal=False" TargetMode="External"/><Relationship Id="rId112" Type="http://schemas.openxmlformats.org/officeDocument/2006/relationships/hyperlink" Target="https://community.secop.gov.co/Public/Tendering/ContractNoticePhases/View?PPI=CO1.PPI.24523651&amp;isFromPublicArea=True&amp;isModal=False" TargetMode="External"/><Relationship Id="rId16" Type="http://schemas.openxmlformats.org/officeDocument/2006/relationships/hyperlink" Target="https://community.secop.gov.co/Public/Tendering/ContractNoticePhases/View?PPI=CO1.PPI.23219469&amp;isFromPublicArea=True&amp;isModal=False" TargetMode="External"/><Relationship Id="rId107" Type="http://schemas.openxmlformats.org/officeDocument/2006/relationships/hyperlink" Target="https://community.secop.gov.co/Public/Tendering/ContractNoticePhases/View?PPI=CO1.PPI.24328057&amp;isFromPublicArea=True&amp;isModal=False" TargetMode="External"/><Relationship Id="rId11" Type="http://schemas.openxmlformats.org/officeDocument/2006/relationships/hyperlink" Target="https://community.secop.gov.co/Public/Tendering/ContractNoticePhases/View?PPI=CO1.PPI.23259388&amp;isFromPublicArea=True&amp;isModal=False" TargetMode="External"/><Relationship Id="rId32" Type="http://schemas.openxmlformats.org/officeDocument/2006/relationships/hyperlink" Target="https://community.secop.gov.co/Public/Tendering/ContractNoticePhases/View?PPI=CO1.PPI.23631245&amp;isFromPublicArea=True&amp;isModal=False" TargetMode="External"/><Relationship Id="rId37" Type="http://schemas.openxmlformats.org/officeDocument/2006/relationships/hyperlink" Target="https://community.secop.gov.co/Public/Tendering/ContractNoticePhases/View?PPI=CO1.PPI.23670704&amp;isFromPublicArea=True&amp;isModal=False" TargetMode="External"/><Relationship Id="rId53" Type="http://schemas.openxmlformats.org/officeDocument/2006/relationships/hyperlink" Target="https://community.secop.gov.co/Public/Tendering/ContractNoticePhases/View?PPI=CO1.PPI.23849836&amp;isFromPublicArea=True&amp;isModal=False" TargetMode="External"/><Relationship Id="rId58" Type="http://schemas.openxmlformats.org/officeDocument/2006/relationships/hyperlink" Target="https://community.secop.gov.co/Public/Tendering/ContractNoticePhases/View?PPI=CO1.PPI.23939954&amp;isFromPublicArea=True&amp;isModal=False" TargetMode="External"/><Relationship Id="rId74" Type="http://schemas.openxmlformats.org/officeDocument/2006/relationships/hyperlink" Target="https://community.secop.gov.co/Public/Tendering/ContractNoticePhases/View?PPI=CO1.PPI.23721184&amp;isFromPublicArea=True&amp;isModal=False" TargetMode="External"/><Relationship Id="rId79" Type="http://schemas.openxmlformats.org/officeDocument/2006/relationships/hyperlink" Target="https://community.secop.gov.co/Public/Tendering/ContractNoticePhases/View?PPI=CO1.PPI.23986878&amp;isFromPublicArea=True&amp;isModal=False" TargetMode="External"/><Relationship Id="rId102" Type="http://schemas.openxmlformats.org/officeDocument/2006/relationships/hyperlink" Target="https://community.secop.gov.co/Public/Tendering/ContractNoticePhases/View?PPI=CO1.PPI.24444136&amp;isFromPublicArea=True&amp;isModal=False" TargetMode="External"/><Relationship Id="rId123" Type="http://schemas.openxmlformats.org/officeDocument/2006/relationships/hyperlink" Target="https://community.secop.gov.co/Public/Tendering/ContractNoticePhases/View?PPI=CO1.PPI.23074259&amp;isFromPublicArea=True&amp;isModal=False" TargetMode="External"/><Relationship Id="rId5" Type="http://schemas.openxmlformats.org/officeDocument/2006/relationships/hyperlink" Target="https://community.secop.gov.co/Public/Tendering/ContractNoticePhases/View?PPI=CO1.PPI.23299788&amp;isFromPublicArea=True&amp;isModal=False" TargetMode="External"/><Relationship Id="rId61" Type="http://schemas.openxmlformats.org/officeDocument/2006/relationships/hyperlink" Target="https://community.secop.gov.co/Public/Tendering/ContractNoticePhases/View?PPI=CO1.PPI.23987594&amp;isFromPublicArea=True&amp;isModal=False" TargetMode="External"/><Relationship Id="rId82" Type="http://schemas.openxmlformats.org/officeDocument/2006/relationships/hyperlink" Target="https://community.secop.gov.co/Public/Tendering/ContractNoticePhases/View?PPI=CO1.PPI.24104666&amp;isFromPublicArea=True&amp;isModal=False" TargetMode="External"/><Relationship Id="rId90" Type="http://schemas.openxmlformats.org/officeDocument/2006/relationships/hyperlink" Target="https://community.secop.gov.co/Public/Tendering/ContractNoticePhases/View?PPI=CO1.PPI.24046464&amp;isFromPublicArea=True&amp;isModal=False" TargetMode="External"/><Relationship Id="rId95" Type="http://schemas.openxmlformats.org/officeDocument/2006/relationships/hyperlink" Target="https://community.secop.gov.co/Public/Tendering/ContractNoticePhases/View?PPI=CO1.PPI.24454342&amp;isFromPublicArea=True&amp;isModal=False" TargetMode="External"/><Relationship Id="rId19" Type="http://schemas.openxmlformats.org/officeDocument/2006/relationships/hyperlink" Target="https://community.secop.gov.co/Public/Tendering/ContractNoticePhases/View?PPI=CO1.PPI.23487381&amp;isFromPublicArea=True&amp;isModal=False" TargetMode="External"/><Relationship Id="rId14" Type="http://schemas.openxmlformats.org/officeDocument/2006/relationships/hyperlink" Target="https://community.secop.gov.co/Public/Tendering/ContractNoticePhases/View?PPI=CO1.PPI.23162619&amp;isFromPublicArea=True&amp;isModal=False" TargetMode="External"/><Relationship Id="rId22" Type="http://schemas.openxmlformats.org/officeDocument/2006/relationships/hyperlink" Target="https://community.secop.gov.co/Public/Tendering/ContractNoticePhases/View?PPI=CO1.PPI.23541002&amp;isFromPublicArea=True&amp;isModal=False" TargetMode="External"/><Relationship Id="rId27" Type="http://schemas.openxmlformats.org/officeDocument/2006/relationships/hyperlink" Target="https://community.secop.gov.co/Public/Tendering/ContractNoticePhases/View?PPI=CO1.PPI.23482605&amp;isFromPublicArea=True&amp;isModal=False" TargetMode="External"/><Relationship Id="rId30" Type="http://schemas.openxmlformats.org/officeDocument/2006/relationships/hyperlink" Target="https://community.secop.gov.co/Public/Tendering/ContractNoticePhases/View?PPI=CO1.PPI.23487353&amp;isFromPublicArea=True&amp;isModal=False" TargetMode="External"/><Relationship Id="rId35" Type="http://schemas.openxmlformats.org/officeDocument/2006/relationships/hyperlink" Target="https://community.secop.gov.co/Public/Tendering/ContractNoticePhases/View?PPI=CO1.PPI.23668072&amp;isFromPublicArea=True&amp;isModal=False" TargetMode="External"/><Relationship Id="rId43" Type="http://schemas.openxmlformats.org/officeDocument/2006/relationships/hyperlink" Target="https://community.secop.gov.co/Public/Tendering/ContractNoticePhases/View?PPI=CO1.PPI.23746627&amp;isFromPublicArea=True&amp;isModal=False" TargetMode="External"/><Relationship Id="rId48" Type="http://schemas.openxmlformats.org/officeDocument/2006/relationships/hyperlink" Target="https://community.secop.gov.co/Public/Tendering/ContractNoticePhases/View?PPI=CO1.PPI.23805816&amp;isFromPublicArea=True&amp;isModal=False" TargetMode="External"/><Relationship Id="rId56" Type="http://schemas.openxmlformats.org/officeDocument/2006/relationships/hyperlink" Target="https://community.secop.gov.co/Public/Tendering/ContractNoticePhases/View?PPI=CO1.PPI.23925584&amp;isFromPublicArea=True&amp;isModal=False" TargetMode="External"/><Relationship Id="rId64" Type="http://schemas.openxmlformats.org/officeDocument/2006/relationships/hyperlink" Target="https://community.secop.gov.co/Public/Tendering/ContractNoticePhases/View?PPI=CO1.PPI.24094061&amp;isFromPublicArea=True&amp;isModal=False" TargetMode="External"/><Relationship Id="rId69" Type="http://schemas.openxmlformats.org/officeDocument/2006/relationships/hyperlink" Target="https://community.secop.gov.co/Public/Tendering/ContractNoticePhases/View?PPI=CO1.PPI.24108014&amp;isFromPublicArea=True&amp;isModal=False" TargetMode="External"/><Relationship Id="rId77" Type="http://schemas.openxmlformats.org/officeDocument/2006/relationships/hyperlink" Target="https://community.secop.gov.co/Public/Tendering/ContractNoticePhases/View?PPI=CO1.PPI.23941122&amp;isFromPublicArea=True&amp;isModal=False" TargetMode="External"/><Relationship Id="rId100" Type="http://schemas.openxmlformats.org/officeDocument/2006/relationships/hyperlink" Target="https://community.secop.gov.co/Public/Tendering/ContractNoticePhases/View?PPI=CO1.PPI.24304904&amp;isFromPublicArea=True&amp;isModal=False" TargetMode="External"/><Relationship Id="rId105" Type="http://schemas.openxmlformats.org/officeDocument/2006/relationships/hyperlink" Target="https://community.secop.gov.co/Public/Tendering/ContractNoticePhases/View?PPI=CO1.PPI.24314796&amp;isFromPublicArea=True&amp;isModal=False" TargetMode="External"/><Relationship Id="rId113" Type="http://schemas.openxmlformats.org/officeDocument/2006/relationships/hyperlink" Target="https://community.secop.gov.co/Public/Tendering/ContractNoticePhases/View?PPI=CO1.PPI.24568373&amp;isFromPublicArea=True&amp;isModal=False" TargetMode="External"/><Relationship Id="rId118" Type="http://schemas.openxmlformats.org/officeDocument/2006/relationships/hyperlink" Target="https://community.secop.gov.co/Public/Tendering/ContractNoticePhases/View?PPI=CO1.PPI.24570750&amp;isFromPublicArea=True&amp;isModal=False" TargetMode="External"/><Relationship Id="rId8" Type="http://schemas.openxmlformats.org/officeDocument/2006/relationships/hyperlink" Target="https://community.secop.gov.co/Public/Tendering/ContractNoticePhases/View?PPI=CO1.PPI.23117396&amp;isFromPublicArea=True&amp;isModal=False" TargetMode="External"/><Relationship Id="rId51" Type="http://schemas.openxmlformats.org/officeDocument/2006/relationships/hyperlink" Target="https://community.secop.gov.co/Public/Tendering/ContractNoticePhases/View?PPI=CO1.PPI.23835316&amp;isFromPublicArea=True&amp;isModal=False" TargetMode="External"/><Relationship Id="rId72" Type="http://schemas.openxmlformats.org/officeDocument/2006/relationships/hyperlink" Target="https://community.secop.gov.co/Public/Tendering/ContractNoticePhases/View?PPI=CO1.PPI.24136127&amp;isFromPublicArea=True&amp;isModal=False" TargetMode="External"/><Relationship Id="rId80" Type="http://schemas.openxmlformats.org/officeDocument/2006/relationships/hyperlink" Target="https://community.secop.gov.co/Public/Tendering/ContractNoticePhases/View?PPI=CO1.PPI.24052032&amp;isFromPublicArea=True&amp;isModal=False" TargetMode="External"/><Relationship Id="rId85" Type="http://schemas.openxmlformats.org/officeDocument/2006/relationships/hyperlink" Target="https://community.secop.gov.co/Public/Tendering/ContractNoticePhases/View?PPI=CO1.PPI.23940636&amp;isFromPublicArea=True&amp;isModal=False" TargetMode="External"/><Relationship Id="rId93" Type="http://schemas.openxmlformats.org/officeDocument/2006/relationships/hyperlink" Target="https://community.secop.gov.co/Public/Tendering/ContractNoticePhases/View?PPI=CO1.PPI.24565922&amp;isFromPublicArea=True&amp;isModal=False" TargetMode="External"/><Relationship Id="rId98" Type="http://schemas.openxmlformats.org/officeDocument/2006/relationships/hyperlink" Target="https://community.secop.gov.co/Public/Tendering/ContractNoticePhases/View?PPI=CO1.PPI.24511098&amp;isFromPublicArea=True&amp;isModal=False" TargetMode="External"/><Relationship Id="rId121" Type="http://schemas.openxmlformats.org/officeDocument/2006/relationships/hyperlink" Target="https://community.secop.gov.co/Public/Tendering/ContractNoticePhases/View?PPI=CO1.PPI.26246042&amp;isFromPublicArea=True&amp;isModal=False" TargetMode="External"/><Relationship Id="rId3" Type="http://schemas.openxmlformats.org/officeDocument/2006/relationships/hyperlink" Target="https://community.secop.gov.co/Public/Tendering/ContractNoticePhases/View?PPI=CO1.PPI.23241947&amp;isFromPublicArea=True&amp;isModal=False" TargetMode="External"/><Relationship Id="rId12" Type="http://schemas.openxmlformats.org/officeDocument/2006/relationships/hyperlink" Target="https://community.secop.gov.co/Public/Tendering/ContractNoticePhases/View?PPI=CO1.PPI.23104929&amp;isFromPublicArea=True&amp;isModal=False" TargetMode="External"/><Relationship Id="rId17" Type="http://schemas.openxmlformats.org/officeDocument/2006/relationships/hyperlink" Target="https://community.secop.gov.co/Public/Tendering/ContractNoticePhases/View?PPI=CO1.PPI.23232868&amp;isFromPublicArea=True&amp;isModal=False" TargetMode="External"/><Relationship Id="rId25" Type="http://schemas.openxmlformats.org/officeDocument/2006/relationships/hyperlink" Target="https://community.secop.gov.co/Public/Tendering/ContractNoticePhases/View?PPI=CO1.PPI.23320200&amp;isFromPublicArea=True&amp;isModal=False" TargetMode="External"/><Relationship Id="rId33" Type="http://schemas.openxmlformats.org/officeDocument/2006/relationships/hyperlink" Target="https://community.secop.gov.co/Public/Tendering/ContractNoticePhases/View?PPI=CO1.PPI.23655910&amp;isFromPublicArea=True&amp;isModal=False" TargetMode="External"/><Relationship Id="rId38" Type="http://schemas.openxmlformats.org/officeDocument/2006/relationships/hyperlink" Target="https://community.secop.gov.co/Public/Tendering/ContractNoticePhases/View?PPI=CO1.PPI.23696754&amp;isFromPublicArea=True&amp;isModal=False" TargetMode="External"/><Relationship Id="rId46" Type="http://schemas.openxmlformats.org/officeDocument/2006/relationships/hyperlink" Target="https://community.secop.gov.co/Public/Tendering/ContractNoticePhases/View?PPI=CO1.PPI.23794803&amp;isFromPublicArea=True&amp;isModal=False" TargetMode="External"/><Relationship Id="rId59" Type="http://schemas.openxmlformats.org/officeDocument/2006/relationships/hyperlink" Target="https://community.secop.gov.co/Public/Tendering/ContractNoticePhases/View?PPI=CO1.PPI.23984294&amp;isFromPublicArea=True&amp;isModal=False" TargetMode="External"/><Relationship Id="rId67" Type="http://schemas.openxmlformats.org/officeDocument/2006/relationships/hyperlink" Target="https://community.secop.gov.co/Public/Tendering/ContractNoticePhases/View?PPI=CO1.PPI.23654669&amp;isFromPublicArea=True&amp;isModal=False" TargetMode="External"/><Relationship Id="rId103" Type="http://schemas.openxmlformats.org/officeDocument/2006/relationships/hyperlink" Target="https://community.secop.gov.co/Public/Tendering/ContractNoticePhases/View?PPI=CO1.PPI.24470209&amp;isFromPublicArea=True&amp;isModal=False" TargetMode="External"/><Relationship Id="rId108" Type="http://schemas.openxmlformats.org/officeDocument/2006/relationships/hyperlink" Target="https://community.secop.gov.co/Public/Tendering/ContractNoticePhases/View?PPI=CO1.PPI.24330009&amp;isFromPublicArea=True&amp;isModal=False" TargetMode="External"/><Relationship Id="rId116" Type="http://schemas.openxmlformats.org/officeDocument/2006/relationships/hyperlink" Target="https://community.secop.gov.co/Public/Tendering/ContractNoticePhases/View?PPI=CO1.PPI.24569169&amp;isFromPublicArea=True&amp;isModal=False" TargetMode="External"/><Relationship Id="rId124" Type="http://schemas.openxmlformats.org/officeDocument/2006/relationships/printerSettings" Target="../printerSettings/printerSettings3.bin"/><Relationship Id="rId20" Type="http://schemas.openxmlformats.org/officeDocument/2006/relationships/hyperlink" Target="https://community.secop.gov.co/Public/Tendering/ContractNoticePhases/View?PPI=CO1.PPI.23551800&amp;isFromPublicArea=True&amp;isModal=False" TargetMode="External"/><Relationship Id="rId41" Type="http://schemas.openxmlformats.org/officeDocument/2006/relationships/hyperlink" Target="https://community.secop.gov.co/Public/Tendering/ContractNoticePhases/View?PPI=CO1.PPI.23700083&amp;isFromPublicArea=True&amp;isModal=False" TargetMode="External"/><Relationship Id="rId54" Type="http://schemas.openxmlformats.org/officeDocument/2006/relationships/hyperlink" Target="https://community.secop.gov.co/Public/Tendering/ContractNoticePhases/View?PPI=CO1.PPI.23878704&amp;isFromPublicArea=True&amp;isModal=False" TargetMode="External"/><Relationship Id="rId62" Type="http://schemas.openxmlformats.org/officeDocument/2006/relationships/hyperlink" Target="https://community.secop.gov.co/Public/Tendering/ContractNoticePhases/View?PPI=CO1.PPI.24041827&amp;isFromPublicArea=True&amp;isModal=False" TargetMode="External"/><Relationship Id="rId70" Type="http://schemas.openxmlformats.org/officeDocument/2006/relationships/hyperlink" Target="https://community.secop.gov.co/Public/Tendering/ContractNoticePhases/View?PPI=CO1.PPI.24135916&amp;isFromPublicArea=True&amp;isModal=False" TargetMode="External"/><Relationship Id="rId75" Type="http://schemas.openxmlformats.org/officeDocument/2006/relationships/hyperlink" Target="https://community.secop.gov.co/Public/Tendering/ContractNoticePhases/View?PPI=CO1.PPI.23830750&amp;isFromPublicArea=True&amp;isModal=False" TargetMode="External"/><Relationship Id="rId83" Type="http://schemas.openxmlformats.org/officeDocument/2006/relationships/hyperlink" Target="https://community.secop.gov.co/Public/Tendering/ContractNoticePhases/View?PPI=CO1.PPI.23894794&amp;isFromPublicArea=True&amp;isModal=False" TargetMode="External"/><Relationship Id="rId88" Type="http://schemas.openxmlformats.org/officeDocument/2006/relationships/hyperlink" Target="https://community.secop.gov.co/Public/Tendering/ContractNoticePhases/View?PPI=CO1.PPI.24130881&amp;isFromPublicArea=True&amp;isModal=False" TargetMode="External"/><Relationship Id="rId91" Type="http://schemas.openxmlformats.org/officeDocument/2006/relationships/hyperlink" Target="https://community.secop.gov.co/Public/Tendering/ContractNoticePhases/View?PPI=CO1.PPI.23820294&amp;isFromPublicArea=True&amp;isModal=False" TargetMode="External"/><Relationship Id="rId96" Type="http://schemas.openxmlformats.org/officeDocument/2006/relationships/hyperlink" Target="https://community.secop.gov.co/Public/Tendering/ContractNoticePhases/View?PPI=CO1.PPI.24455775&amp;isFromPublicArea=True&amp;isModal=False" TargetMode="External"/><Relationship Id="rId111" Type="http://schemas.openxmlformats.org/officeDocument/2006/relationships/hyperlink" Target="https://community.secop.gov.co/Public/Tendering/ContractNoticePhases/View?PPI=CO1.PPI.24523651&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 Id="rId6" Type="http://schemas.openxmlformats.org/officeDocument/2006/relationships/hyperlink" Target="https://community.secop.gov.co/Public/Tendering/ContractNoticePhases/View?PPI=CO1.PPI.23318036&amp;isFromPublicArea=True&amp;isModal=False" TargetMode="External"/><Relationship Id="rId15" Type="http://schemas.openxmlformats.org/officeDocument/2006/relationships/hyperlink" Target="https://community.secop.gov.co/Public/Tendering/ContractNoticePhases/View?PPI=CO1.PPI.23205381&amp;isFromPublicArea=True&amp;isModal=False" TargetMode="External"/><Relationship Id="rId23" Type="http://schemas.openxmlformats.org/officeDocument/2006/relationships/hyperlink" Target="https://community.secop.gov.co/Public/Tendering/ContractNoticePhases/View?PPI=CO1.PPI.23553474&amp;isFromPublicArea=True&amp;isModal=False" TargetMode="External"/><Relationship Id="rId28" Type="http://schemas.openxmlformats.org/officeDocument/2006/relationships/hyperlink" Target="https://community.secop.gov.co/Public/Tendering/ContractNoticePhases/View?PPI=CO1.PPI.23486029&amp;isFromPublicArea=True&amp;isModal=False" TargetMode="External"/><Relationship Id="rId36" Type="http://schemas.openxmlformats.org/officeDocument/2006/relationships/hyperlink" Target="https://community.secop.gov.co/Public/Tendering/ContractNoticePhases/View?PPI=CO1.PPI.23669096&amp;isFromPublicArea=True&amp;isModal=False" TargetMode="External"/><Relationship Id="rId49" Type="http://schemas.openxmlformats.org/officeDocument/2006/relationships/hyperlink" Target="https://community.secop.gov.co/Public/Tendering/ContractNoticePhases/View?PPI=CO1.PPI.23832567&amp;isFromPublicArea=True&amp;isModal=False" TargetMode="External"/><Relationship Id="rId57" Type="http://schemas.openxmlformats.org/officeDocument/2006/relationships/hyperlink" Target="https://community.secop.gov.co/Public/Tendering/ContractNoticePhases/View?PPI=CO1.PPI.23939586&amp;isFromPublicArea=True&amp;isModal=False" TargetMode="External"/><Relationship Id="rId106" Type="http://schemas.openxmlformats.org/officeDocument/2006/relationships/hyperlink" Target="https://community.secop.gov.co/Public/Tendering/ContractNoticePhases/View?PPI=CO1.PPI.24270866&amp;isFromPublicArea=True&amp;isModal=False" TargetMode="External"/><Relationship Id="rId114" Type="http://schemas.openxmlformats.org/officeDocument/2006/relationships/hyperlink" Target="https://community.secop.gov.co/Public/Tendering/ContractNoticePhases/View?PPI=CO1.PPI.24407685&amp;isFromPublicArea=True&amp;isModal=False" TargetMode="External"/><Relationship Id="rId119" Type="http://schemas.openxmlformats.org/officeDocument/2006/relationships/hyperlink" Target="https://community.secop.gov.co/Public/Tendering/ContractNoticePhases/View?PPI=CO1.PPI.24467439&amp;isFromPublicArea=True&amp;isModal=False" TargetMode="External"/><Relationship Id="rId10" Type="http://schemas.openxmlformats.org/officeDocument/2006/relationships/hyperlink" Target="https://community.secop.gov.co/Public/Tendering/ContractNoticePhases/View?PPI=CO1.PPI.23429520&amp;isFromPublicArea=True&amp;isModal=False" TargetMode="External"/><Relationship Id="rId31" Type="http://schemas.openxmlformats.org/officeDocument/2006/relationships/hyperlink" Target="https://community.secop.gov.co/Public/Tendering/ContractNoticePhases/View?PPI=CO1.PPI.23631039&amp;isFromPublicArea=True&amp;isModal=False" TargetMode="External"/><Relationship Id="rId44" Type="http://schemas.openxmlformats.org/officeDocument/2006/relationships/hyperlink" Target="https://community.secop.gov.co/Public/Tendering/ContractNoticePhases/View?PPI=CO1.PPI.23747414&amp;isFromPublicArea=True&amp;isModal=False" TargetMode="External"/><Relationship Id="rId52" Type="http://schemas.openxmlformats.org/officeDocument/2006/relationships/hyperlink" Target="https://community.secop.gov.co/Public/Tendering/ContractNoticePhases/View?PPI=CO1.PPI.23859687&amp;isFromPublicArea=True&amp;isModal=False" TargetMode="External"/><Relationship Id="rId60" Type="http://schemas.openxmlformats.org/officeDocument/2006/relationships/hyperlink" Target="https://community.secop.gov.co/Public/Tendering/ContractNoticePhases/View?PPI=CO1.PPI.23984938&amp;isFromPublicArea=True&amp;isModal=False" TargetMode="External"/><Relationship Id="rId65" Type="http://schemas.openxmlformats.org/officeDocument/2006/relationships/hyperlink" Target="https://community.secop.gov.co/Public/Tendering/ContractNoticePhases/View?PPI=CO1.PPI.24093152&amp;isFromPublicArea=True&amp;isModal=False" TargetMode="External"/><Relationship Id="rId73" Type="http://schemas.openxmlformats.org/officeDocument/2006/relationships/hyperlink" Target="https://community.secop.gov.co/Public/Tendering/ContractNoticePhases/View?PPI=CO1.PPI.23719464&amp;isFromPublicArea=True&amp;isModal=False" TargetMode="External"/><Relationship Id="rId78" Type="http://schemas.openxmlformats.org/officeDocument/2006/relationships/hyperlink" Target="https://community.secop.gov.co/Public/Tendering/ContractNoticePhases/View?PPI=CO1.PPI.23980526&amp;isFromPublicArea=True&amp;isModal=False" TargetMode="External"/><Relationship Id="rId81" Type="http://schemas.openxmlformats.org/officeDocument/2006/relationships/hyperlink" Target="https://community.secop.gov.co/Public/Tendering/ContractNoticePhases/View?PPI=CO1.PPI.24058185&amp;isFromPublicArea=True&amp;isModal=False" TargetMode="External"/><Relationship Id="rId86" Type="http://schemas.openxmlformats.org/officeDocument/2006/relationships/hyperlink" Target="https://community.secop.gov.co/Public/Tendering/ContractNoticePhases/View?PPI=CO1.PPI.24043062&amp;isFromPublicArea=True&amp;isModal=False" TargetMode="External"/><Relationship Id="rId94" Type="http://schemas.openxmlformats.org/officeDocument/2006/relationships/hyperlink" Target="https://community.secop.gov.co/Public/Tendering/ContractNoticePhases/View?PPI=CO1.PPI.24403567&amp;isFromPublicArea=True&amp;isModal=False" TargetMode="External"/><Relationship Id="rId99" Type="http://schemas.openxmlformats.org/officeDocument/2006/relationships/hyperlink" Target="https://community.secop.gov.co/Public/Tendering/ContractNoticePhases/View?PPI=CO1.PPI.24301702&amp;isFromPublicArea=True&amp;isModal=False" TargetMode="External"/><Relationship Id="rId101" Type="http://schemas.openxmlformats.org/officeDocument/2006/relationships/hyperlink" Target="https://community.secop.gov.co/Public/Tendering/ContractNoticePhases/View?PPI=CO1.PPI.24388814&amp;isFromPublicArea=True&amp;isModal=False" TargetMode="External"/><Relationship Id="rId122" Type="http://schemas.openxmlformats.org/officeDocument/2006/relationships/hyperlink" Target="https://community.secop.gov.co/Public/Tendering/ContractNoticePhases/View?PPI=CO1.PPI.26286052&amp;isFromPublicArea=True&amp;isModal=False" TargetMode="External"/><Relationship Id="rId4" Type="http://schemas.openxmlformats.org/officeDocument/2006/relationships/hyperlink" Target="https://community.secop.gov.co/Public/Tendering/ContractNoticePhases/View?PPI=CO1.PPI.23290133&amp;isFromPublicArea=True&amp;isModal=False" TargetMode="External"/><Relationship Id="rId9" Type="http://schemas.openxmlformats.org/officeDocument/2006/relationships/hyperlink" Target="https://community.secop.gov.co/Public/Tendering/ContractNoticePhases/View?PPI=CO1.PPI.23308294&amp;isFromPublicArea=True&amp;isModal=False" TargetMode="External"/><Relationship Id="rId13" Type="http://schemas.openxmlformats.org/officeDocument/2006/relationships/hyperlink" Target="https://community.secop.gov.co/Public/Tendering/ContractNoticePhases/View?PPI=CO1.PPI.23132207&amp;isFromPublicArea=True&amp;isModal=False" TargetMode="External"/><Relationship Id="rId18" Type="http://schemas.openxmlformats.org/officeDocument/2006/relationships/hyperlink" Target="https://community.secop.gov.co/Public/Tendering/ContractNoticePhases/View?PPI=CO1.PPI.23303011&amp;isFromPublicArea=True&amp;isModal=False" TargetMode="External"/><Relationship Id="rId39" Type="http://schemas.openxmlformats.org/officeDocument/2006/relationships/hyperlink" Target="https://community.secop.gov.co/Public/Tendering/ContractNoticePhases/View?PPI=CO1.PPI.23699881&amp;isFromPublicArea=True&amp;isModal=False" TargetMode="External"/><Relationship Id="rId109" Type="http://schemas.openxmlformats.org/officeDocument/2006/relationships/hyperlink" Target="https://community.secop.gov.co/Public/Tendering/ContractNoticePhases/View?PPI=CO1.PPI.24394838&amp;isFromPublicArea=True&amp;isModal=False" TargetMode="External"/><Relationship Id="rId34" Type="http://schemas.openxmlformats.org/officeDocument/2006/relationships/hyperlink" Target="https://community.secop.gov.co/Public/Tendering/ContractNoticePhases/View?PPI=CO1.PPI.23662762&amp;isFromPublicArea=True&amp;isModal=False" TargetMode="External"/><Relationship Id="rId50" Type="http://schemas.openxmlformats.org/officeDocument/2006/relationships/hyperlink" Target="https://community.secop.gov.co/Public/Tendering/ContractNoticePhases/View?PPI=CO1.PPI.23834703&amp;isFromPublicArea=True&amp;isModal=False" TargetMode="External"/><Relationship Id="rId55" Type="http://schemas.openxmlformats.org/officeDocument/2006/relationships/hyperlink" Target="https://community.secop.gov.co/Public/Tendering/ContractNoticePhases/View?PPI=CO1.PPI.23878793&amp;isFromPublicArea=True&amp;isModal=False" TargetMode="External"/><Relationship Id="rId76" Type="http://schemas.openxmlformats.org/officeDocument/2006/relationships/hyperlink" Target="https://community.secop.gov.co/Public/Tendering/ContractNoticePhases/View?PPI=CO1.PPI.23978060&amp;isFromPublicArea=True&amp;isModal=False" TargetMode="External"/><Relationship Id="rId97" Type="http://schemas.openxmlformats.org/officeDocument/2006/relationships/hyperlink" Target="https://community.secop.gov.co/Public/Tendering/ContractNoticePhases/View?PPI=CO1.PPI.24456374&amp;isFromPublicArea=True&amp;isModal=False" TargetMode="External"/><Relationship Id="rId104" Type="http://schemas.openxmlformats.org/officeDocument/2006/relationships/hyperlink" Target="https://community.secop.gov.co/Public/Tendering/ContractNoticePhases/View?PPI=CO1.PPI.24202579&amp;isFromPublicArea=True&amp;isModal=False" TargetMode="External"/><Relationship Id="rId120" Type="http://schemas.openxmlformats.org/officeDocument/2006/relationships/hyperlink" Target="https://community.secop.gov.co/Public/Tendering/ContractNoticePhases/View?PPI=CO1.PPI.25234679&amp;isFromPublicArea=True&amp;isModal=False" TargetMode="External"/><Relationship Id="rId7" Type="http://schemas.openxmlformats.org/officeDocument/2006/relationships/hyperlink" Target="https://community.secop.gov.co/Public/Tendering/ContractNoticePhases/View?PPI=CO1.PPI.23417374&amp;isFromPublicArea=True&amp;isModal=False" TargetMode="External"/><Relationship Id="rId71" Type="http://schemas.openxmlformats.org/officeDocument/2006/relationships/hyperlink" Target="https://community.secop.gov.co/Public/Tendering/ContractNoticePhases/View?PPI=CO1.PPI.24136111&amp;isFromPublicArea=True&amp;isModal=False" TargetMode="External"/><Relationship Id="rId92" Type="http://schemas.openxmlformats.org/officeDocument/2006/relationships/hyperlink" Target="https://community.secop.gov.co/Public/Tendering/ContractNoticePhases/View?PPI=CO1.PPI.24280136&amp;isFromPublicArea=True&amp;isModal=False" TargetMode="External"/><Relationship Id="rId2" Type="http://schemas.openxmlformats.org/officeDocument/2006/relationships/hyperlink" Target="https://community.secop.gov.co/Public/Tendering/ContractNoticePhases/View?PPI=CO1.PPI.22899277&amp;isFromPublicArea=True&amp;isModal=False" TargetMode="External"/><Relationship Id="rId29" Type="http://schemas.openxmlformats.org/officeDocument/2006/relationships/hyperlink" Target="https://community.secop.gov.co/Public/Tendering/ContractNoticePhases/View?PPI=CO1.PPI.23308243&amp;isFromPublicArea=True&amp;isModal=False" TargetMode="External"/><Relationship Id="rId24" Type="http://schemas.openxmlformats.org/officeDocument/2006/relationships/hyperlink" Target="https://community.secop.gov.co/Public/Tendering/ContractNoticePhases/View?PPI=CO1.PPI.23296734&amp;isFromPublicArea=True&amp;isModal=False" TargetMode="External"/><Relationship Id="rId40" Type="http://schemas.openxmlformats.org/officeDocument/2006/relationships/hyperlink" Target="https://community.secop.gov.co/Public/Tendering/ContractNoticePhases/View?PPI=CO1.PPI.23700197&amp;isFromPublicArea=True&amp;isModal=False" TargetMode="External"/><Relationship Id="rId45" Type="http://schemas.openxmlformats.org/officeDocument/2006/relationships/hyperlink" Target="https://community.secop.gov.co/Public/Tendering/ContractNoticePhases/View?PPI=CO1.PPI.23769606&amp;isFromPublicArea=True&amp;isModal=False" TargetMode="External"/><Relationship Id="rId66" Type="http://schemas.openxmlformats.org/officeDocument/2006/relationships/hyperlink" Target="https://community.secop.gov.co/Public/Tendering/ContractNoticePhases/View?PPI=CO1.PPI.24094378&amp;isFromPublicArea=True&amp;isModal=False" TargetMode="External"/><Relationship Id="rId87" Type="http://schemas.openxmlformats.org/officeDocument/2006/relationships/hyperlink" Target="https://community.secop.gov.co/Public/Tendering/ContractNoticePhases/View?PPI=CO1.PPI.24105744&amp;isFromPublicArea=True&amp;isModal=False" TargetMode="External"/><Relationship Id="rId110" Type="http://schemas.openxmlformats.org/officeDocument/2006/relationships/hyperlink" Target="https://community.secop.gov.co/Public/Tendering/ContractNoticePhases/View?PPI=CO1.PPI.24417007&amp;isFromPublicArea=True&amp;isModal=False" TargetMode="External"/><Relationship Id="rId115" Type="http://schemas.openxmlformats.org/officeDocument/2006/relationships/hyperlink" Target="https://community.secop.gov.co/Public/Tendering/ContractNoticePhases/View?PPI=CO1.PPI.24456808&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3867790&amp;isFromPublicArea=True&amp;isModal=true&amp;asPopupView=tru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5555552&amp;isFromPublicArea=True&amp;isModal=False" TargetMode="External"/><Relationship Id="rId2" Type="http://schemas.openxmlformats.org/officeDocument/2006/relationships/hyperlink" Target="https://community.secop.gov.co/Public/Tendering/OpportunityDetail/Index?noticeUID=CO1.NTC.4414759&amp;isFromPublicArea=True&amp;isModal=true&amp;asPopupView=true" TargetMode="External"/><Relationship Id="rId1" Type="http://schemas.openxmlformats.org/officeDocument/2006/relationships/hyperlink" Target="https://community.secop.gov.co/Public/Tendering/OpportunityDetail/Index?noticeUID=CO1.NTC.3971412&amp;isFromPublicArea=True&amp;isModal=true&amp;asPopupView=tru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4710888&amp;isFromPublicArea=True&amp;isModal=true&amp;asPopupView=true,704242254" TargetMode="External"/><Relationship Id="rId2" Type="http://schemas.openxmlformats.org/officeDocument/2006/relationships/hyperlink" Target="https://community.secop.gov.co/Public/Tendering/OpportunityDetail/Index?noticeUID=CO1.NTC.4711029&amp;isFromPublicArea=True&amp;isModal=true&amp;asPopupView=true,704242254" TargetMode="External"/><Relationship Id="rId1" Type="http://schemas.openxmlformats.org/officeDocument/2006/relationships/hyperlink" Target="https://community.secop.gov.co/Public/Tendering/OpportunityDetail/Index?noticeUID=CO1.NTC.4321896&amp;isFromPublicArea=True&amp;isModal=true&amp;asPopupView=true" TargetMode="Externa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004005&amp;isFromPublicArea=True&amp;isModal=False" TargetMode="External"/><Relationship Id="rId13" Type="http://schemas.openxmlformats.org/officeDocument/2006/relationships/hyperlink" Target="https://community.secop.gov.co/Public/Tendering/OpportunityDetail/Index?noticeUID=CO1.NTC.3994424&amp;isFromPublicArea=True&amp;isModal=False" TargetMode="External"/><Relationship Id="rId18" Type="http://schemas.openxmlformats.org/officeDocument/2006/relationships/hyperlink" Target="https://community.secop.gov.co/Public/Tendering/OpportunityDetail/Index?noticeUID=CO1.NTC.4760404&amp;isFromPublicArea=True&amp;isModal=False" TargetMode="External"/><Relationship Id="rId3" Type="http://schemas.openxmlformats.org/officeDocument/2006/relationships/hyperlink" Target="https://community.secop.gov.co/Public/Tendering/OpportunityDetail/Index?noticeUID=CO1.NTC.3972340&amp;isFromPublicArea=True&amp;isModal=False" TargetMode="External"/><Relationship Id="rId21" Type="http://schemas.openxmlformats.org/officeDocument/2006/relationships/printerSettings" Target="../printerSettings/printerSettings7.bin"/><Relationship Id="rId7" Type="http://schemas.openxmlformats.org/officeDocument/2006/relationships/hyperlink" Target="https://community.secop.gov.co/Public/Tendering/OpportunityDetail/Index?noticeUID=CO1.NTC.4003801&amp;isFromPublicArea=True&amp;isModal=False" TargetMode="External"/><Relationship Id="rId12" Type="http://schemas.openxmlformats.org/officeDocument/2006/relationships/hyperlink" Target="https://community.secop.gov.co/Public/Tendering/OpportunityDetail/Index?noticeUID=CO1.NTC.3976960&amp;isFromPublicArea=True&amp;isModal=False" TargetMode="External"/><Relationship Id="rId17" Type="http://schemas.openxmlformats.org/officeDocument/2006/relationships/hyperlink" Target="https://community.secop.gov.co/Public/Tendering/OpportunityDetail/Index?noticeUID=CO1.NTC.4759765&amp;isFromPublicArea=True&amp;isModal=False" TargetMode="External"/><Relationship Id="rId2" Type="http://schemas.openxmlformats.org/officeDocument/2006/relationships/hyperlink" Target="https://community.secop.gov.co/Public/Tendering/OpportunityDetail/Index?noticeUID=CO1.NTC.3928333&amp;isFromPublicArea=True&amp;isModal=False" TargetMode="External"/><Relationship Id="rId16" Type="http://schemas.openxmlformats.org/officeDocument/2006/relationships/hyperlink" Target="https://community.secop.gov.co/Public/Tendering/OpportunityDetail/Index?noticeUID=CO1.NTC.4759664&amp;isFromPublicArea=True&amp;isModal=False" TargetMode="External"/><Relationship Id="rId20" Type="http://schemas.openxmlformats.org/officeDocument/2006/relationships/hyperlink" Target="https://community.secop.gov.co/Public/Tendering/OpportunityDetail/Index?noticeUID=CO1.NTC.4770921&amp;isFromPublicArea=True&amp;isModal=False" TargetMode="External"/><Relationship Id="rId1" Type="http://schemas.openxmlformats.org/officeDocument/2006/relationships/hyperlink" Target="https://community.secop.gov.co/Public/Tendering/OpportunityDetail/Index?noticeUID=CO1.NTC.3909544&amp;isFromPublicArea=True&amp;isModal=False" TargetMode="External"/><Relationship Id="rId6" Type="http://schemas.openxmlformats.org/officeDocument/2006/relationships/hyperlink" Target="https://community.secop.gov.co/Public/Tendering/OpportunityDetail/Index?noticeUID=CO1.NTC.3994373&amp;isFromPublicArea=True&amp;isModal=False" TargetMode="External"/><Relationship Id="rId11" Type="http://schemas.openxmlformats.org/officeDocument/2006/relationships/hyperlink" Target="https://community.secop.gov.co/Public/Tendering/OpportunityDetail/Index?noticeUID=CO1.NTC.4068358&amp;isFromPublicArea=True&amp;isModal=False" TargetMode="External"/><Relationship Id="rId5" Type="http://schemas.openxmlformats.org/officeDocument/2006/relationships/hyperlink" Target="https://community.secop.gov.co/Public/Tendering/OpportunityDetail/Index?noticeUID=CO1.NTC.3976242&amp;isFromPublicArea=True&amp;isModal=False" TargetMode="External"/><Relationship Id="rId15" Type="http://schemas.openxmlformats.org/officeDocument/2006/relationships/hyperlink" Target="https://community.secop.gov.co/Public/Tendering/OpportunityDetail/Index?noticeUID=CO1.NTC.4757521&amp;isFromPublicArea=True&amp;isModal=False" TargetMode="External"/><Relationship Id="rId10" Type="http://schemas.openxmlformats.org/officeDocument/2006/relationships/hyperlink" Target="https://community.secop.gov.co/Public/Tendering/OpportunityDetail/Index?noticeUID=CO1.NTC.4052612&amp;isFromPublicArea=True&amp;isModal=False" TargetMode="External"/><Relationship Id="rId19" Type="http://schemas.openxmlformats.org/officeDocument/2006/relationships/hyperlink" Target="https://community.secop.gov.co/Public/Tendering/OpportunityDetail/Index?noticeUID=CO1.NTC.4770866&amp;isFromPublicArea=True&amp;isModal=False" TargetMode="External"/><Relationship Id="rId4" Type="http://schemas.openxmlformats.org/officeDocument/2006/relationships/hyperlink" Target="https://community.secop.gov.co/Public/Tendering/OpportunityDetail/Index?noticeUID=CO1.NTC.3971491&amp;isFromPublicArea=True&amp;isModal=False" TargetMode="External"/><Relationship Id="rId9" Type="http://schemas.openxmlformats.org/officeDocument/2006/relationships/hyperlink" Target="https://community.secop.gov.co/Public/Tendering/OpportunityDetail/Index?noticeUID=CO1.NTC.4003779&amp;isFromPublicArea=True&amp;isModal=False" TargetMode="External"/><Relationship Id="rId14" Type="http://schemas.openxmlformats.org/officeDocument/2006/relationships/hyperlink" Target="https://community.secop.gov.co/Public/Tendering/OpportunityDetail/Index?noticeUID=CO1.NTC.4075863&amp;isFromPublicArea=True&amp;isModal=Fals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52818&amp;isFromPublicArea=True&amp;isModal=False" TargetMode="External"/><Relationship Id="rId13" Type="http://schemas.openxmlformats.org/officeDocument/2006/relationships/hyperlink" Target="https://community.secop.gov.co/Public/Tendering/OpportunityDetail/Index?noticeUID=CO1.NTC.4584994&amp;isFromPublicArea=True&amp;isModal=False" TargetMode="External"/><Relationship Id="rId3" Type="http://schemas.openxmlformats.org/officeDocument/2006/relationships/hyperlink" Target="https://community.secop.gov.co/Public/Tendering/OpportunityDetail/Index?noticeUID=CO1.NTC.3951150&amp;isFromPublicArea=True&amp;isModal=False" TargetMode="External"/><Relationship Id="rId7" Type="http://schemas.openxmlformats.org/officeDocument/2006/relationships/hyperlink" Target="https://community.secop.gov.co/Public/Tendering/OpportunityDetail/Index?noticeUID=CO1.NTC.3952398&amp;isFromPublicArea=True&amp;isModal=False" TargetMode="External"/><Relationship Id="rId12" Type="http://schemas.openxmlformats.org/officeDocument/2006/relationships/hyperlink" Target="https://community.secop.gov.co/Public/Tendering/OpportunityDetail/Index?noticeUID=CO1.NTC.4401021&amp;isFromPublicArea=True&amp;isModal=False" TargetMode="External"/><Relationship Id="rId17"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3950648&amp;isFromPublicArea=True&amp;isModal=False" TargetMode="External"/><Relationship Id="rId16" Type="http://schemas.openxmlformats.org/officeDocument/2006/relationships/hyperlink" Target="https://community.secop.gov.co/Public/Tendering/OpportunityDetail/Index?noticeUID=CO1.NTC.4739203&amp;isFromPublicArea=True&amp;isModal=False" TargetMode="External"/><Relationship Id="rId1" Type="http://schemas.openxmlformats.org/officeDocument/2006/relationships/hyperlink" Target="https://community.secop.gov.co/Public/Tendering/OpportunityDetail/Index?noticeUID=CO1.NTC.3950331&amp;isFromPublicArea=True&amp;isModal=False" TargetMode="External"/><Relationship Id="rId6" Type="http://schemas.openxmlformats.org/officeDocument/2006/relationships/hyperlink" Target="https://community.secop.gov.co/Public/Tendering/OpportunityDetail/Index?noticeUID=CO1.NTC.4011709&amp;isFromPublicArea=True&amp;isModal=False" TargetMode="External"/><Relationship Id="rId11" Type="http://schemas.openxmlformats.org/officeDocument/2006/relationships/hyperlink" Target="https://community.secop.gov.co/Public/Tendering/OpportunityDetail/Index?noticeUID=CO1.NTC.4209788&amp;isFromPublicArea=True&amp;isModal=False" TargetMode="External"/><Relationship Id="rId5" Type="http://schemas.openxmlformats.org/officeDocument/2006/relationships/hyperlink" Target="https://community.secop.gov.co/Public/Tendering/OpportunityDetail/Index?noticeUID=CO1.NTC.3955937&amp;isFromPublicArea=True&amp;isModal=False" TargetMode="External"/><Relationship Id="rId15" Type="http://schemas.openxmlformats.org/officeDocument/2006/relationships/hyperlink" Target="https://community.secop.gov.co/Public/Tendering/OpportunityDetail/Index?noticeUID=CO1.NTC.4738791&amp;isFromPublicArea=True&amp;isModal=False" TargetMode="External"/><Relationship Id="rId10" Type="http://schemas.openxmlformats.org/officeDocument/2006/relationships/hyperlink" Target="https://community.secop.gov.co/Public/Tendering/OpportunityDetail/Index?noticeUID=CO1.NTC.3953990&amp;isFromPublicArea=True&amp;isModal=False" TargetMode="External"/><Relationship Id="rId4" Type="http://schemas.openxmlformats.org/officeDocument/2006/relationships/hyperlink" Target="https://community.secop.gov.co/Public/Tendering/OpportunityDetail/Index?noticeUID=CO1.NTC.3951990&amp;isFromPublicArea=True&amp;isModal=False" TargetMode="External"/><Relationship Id="rId9" Type="http://schemas.openxmlformats.org/officeDocument/2006/relationships/hyperlink" Target="https://community.secop.gov.co/Public/Tendering/OpportunityDetail/Index?noticeUID=CO1.NTC.3952774&amp;isFromPublicArea=True&amp;isModal=False" TargetMode="External"/><Relationship Id="rId14" Type="http://schemas.openxmlformats.org/officeDocument/2006/relationships/hyperlink" Target="https://community.secop.gov.co/Public/Tendering/OpportunityDetail/Index?noticeUID=CO1.NTC.4728557&amp;isFromPublicArea=True&amp;isModal=Fals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23913&amp;isFromPublicArea=True&amp;isModal=False" TargetMode="External"/><Relationship Id="rId13" Type="http://schemas.openxmlformats.org/officeDocument/2006/relationships/hyperlink" Target="https://community.secop.gov.co/Public/Tendering/ContractNoticePhases/View?PPI=CO1.PPI.23442909&amp;isFromPublicArea=True&amp;isModal=False" TargetMode="External"/><Relationship Id="rId3" Type="http://schemas.openxmlformats.org/officeDocument/2006/relationships/hyperlink" Target="https://community.secop.gov.co/Public/Tendering/ContractNoticePhases/View?PPI=CO1.PPI.23002711&amp;isFromPublicArea=True&amp;isModal=False" TargetMode="External"/><Relationship Id="rId7" Type="http://schemas.openxmlformats.org/officeDocument/2006/relationships/hyperlink" Target="https://community.secop.gov.co/Public/Tendering/ContractNoticePhases/View?PPI=CO1.PPI.23022740&amp;isFromPublicArea=True&amp;isModal=False" TargetMode="External"/><Relationship Id="rId12" Type="http://schemas.openxmlformats.org/officeDocument/2006/relationships/hyperlink" Target="https://community.secop.gov.co/Public/Tendering/ContractNoticePhases/View?PPI=CO1.PPI.23182169&amp;isFromPublicArea=True&amp;isModal=False" TargetMode="External"/><Relationship Id="rId17" Type="http://schemas.openxmlformats.org/officeDocument/2006/relationships/printerSettings" Target="../printerSettings/printerSettings9.bin"/><Relationship Id="rId2" Type="http://schemas.openxmlformats.org/officeDocument/2006/relationships/hyperlink" Target="https://community.secop.gov.co/Public/Tendering/ContractNoticePhases/View?PPI=CO1.PPI.23001759&amp;isFromPublicArea=True&amp;isModal=False" TargetMode="External"/><Relationship Id="rId16" Type="http://schemas.openxmlformats.org/officeDocument/2006/relationships/hyperlink" Target="https://community.secop.gov.co/Public/Tendering/ContractNoticePhases/View?PPI=CO1.PPI.25388530&amp;isFromPublicArea=True&amp;isModal=False" TargetMode="External"/><Relationship Id="rId1" Type="http://schemas.openxmlformats.org/officeDocument/2006/relationships/hyperlink" Target="https://community.secop.gov.co/Public/Tendering/ContractNoticePhases/View?PPI=CO1.PPI.23000608&amp;isFromPublicArea=True&amp;isModal=False" TargetMode="External"/><Relationship Id="rId6" Type="http://schemas.openxmlformats.org/officeDocument/2006/relationships/hyperlink" Target="https://community.secop.gov.co/Public/Tendering/ContractNoticePhases/View?PPI=CO1.PPI.23021608&amp;isFromPublicArea=True&amp;isModal=False" TargetMode="External"/><Relationship Id="rId11" Type="http://schemas.openxmlformats.org/officeDocument/2006/relationships/hyperlink" Target="https://community.secop.gov.co/Public/Tendering/ContractNoticePhases/View?PPI=CO1.PPI.23181813&amp;isFromPublicArea=True&amp;isModal=False" TargetMode="External"/><Relationship Id="rId5" Type="http://schemas.openxmlformats.org/officeDocument/2006/relationships/hyperlink" Target="https://community.secop.gov.co/Public/Tendering/ContractNoticePhases/View?PPI=CO1.PPI.23002772&amp;isFromPublicArea=True&amp;isModal=False" TargetMode="External"/><Relationship Id="rId15" Type="http://schemas.openxmlformats.org/officeDocument/2006/relationships/hyperlink" Target="https://community.secop.gov.co/Public/Tendering/ContractNoticePhases/View?PPI=CO1.PPI.25389644&amp;isFromPublicArea=True&amp;isModal=False" TargetMode="External"/><Relationship Id="rId10" Type="http://schemas.openxmlformats.org/officeDocument/2006/relationships/hyperlink" Target="https://community.secop.gov.co/Public/Tendering/ContractNoticePhases/View?PPI=CO1.PPI.23025579&amp;isFromPublicArea=True&amp;isModal=False" TargetMode="External"/><Relationship Id="rId4" Type="http://schemas.openxmlformats.org/officeDocument/2006/relationships/hyperlink" Target="https://community.secop.gov.co/Public/Tendering/ContractNoticePhases/View?PPI=CO1.PPI.23002728&amp;isFromPublicArea=True&amp;isModal=False" TargetMode="External"/><Relationship Id="rId9" Type="http://schemas.openxmlformats.org/officeDocument/2006/relationships/hyperlink" Target="https://community.secop.gov.co/Public/Tendering/ContractNoticePhases/View?PPI=CO1.PPI.23024775&amp;isFromPublicArea=True&amp;isModal=False" TargetMode="External"/><Relationship Id="rId14" Type="http://schemas.openxmlformats.org/officeDocument/2006/relationships/hyperlink" Target="https://community.secop.gov.co/Public/Tendering/ContractNoticePhases/View?PPI=CO1.PPI.2347207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D10B-E6A6-4C4F-967C-2C764733EAA0}">
  <sheetPr>
    <tabColor theme="8" tint="0.59999389629810485"/>
  </sheetPr>
  <dimension ref="A1:AI55"/>
  <sheetViews>
    <sheetView tabSelected="1" zoomScaleNormal="100" zoomScaleSheetLayoutView="100" workbookViewId="0">
      <selection activeCell="I1" sqref="I1"/>
    </sheetView>
  </sheetViews>
  <sheetFormatPr baseColWidth="10" defaultRowHeight="15" x14ac:dyDescent="0.25"/>
  <cols>
    <col min="1" max="1" width="10" customWidth="1"/>
    <col min="2" max="2" width="10.5703125" customWidth="1"/>
    <col min="3" max="3" width="17.28515625" customWidth="1"/>
    <col min="4" max="4" width="10" customWidth="1"/>
    <col min="5" max="5" width="12.140625" customWidth="1"/>
    <col min="6" max="6" width="13.140625" customWidth="1"/>
    <col min="7" max="7" width="14.7109375" customWidth="1"/>
    <col min="8" max="8" width="18.5703125" customWidth="1"/>
    <col min="9" max="9" width="18.140625" style="8" customWidth="1"/>
    <col min="10" max="10" width="16.140625" customWidth="1"/>
    <col min="12" max="12" width="12.28515625" customWidth="1"/>
    <col min="13" max="13" width="16.28515625" customWidth="1"/>
    <col min="15" max="15" width="25.42578125" customWidth="1"/>
    <col min="17" max="17" width="15.5703125" customWidth="1"/>
    <col min="18" max="18" width="14.42578125" customWidth="1"/>
    <col min="19" max="22" width="12.5703125" customWidth="1"/>
    <col min="23" max="23" width="20.5703125" customWidth="1"/>
    <col min="24" max="24" width="18.140625" customWidth="1"/>
    <col min="25" max="25" width="16.7109375" customWidth="1"/>
    <col min="26" max="26" width="11.85546875" style="32" customWidth="1"/>
    <col min="27" max="27" width="14.42578125" customWidth="1"/>
    <col min="28" max="28" width="17.85546875" customWidth="1"/>
    <col min="31" max="31" width="14.85546875" customWidth="1"/>
    <col min="32" max="32" width="27.7109375" customWidth="1"/>
    <col min="33" max="33" width="8.42578125" customWidth="1"/>
    <col min="34" max="34" width="16.28515625" customWidth="1"/>
    <col min="35" max="35" width="20.42578125"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29</v>
      </c>
      <c r="E2" s="336"/>
      <c r="F2" s="336"/>
      <c r="G2" s="337" t="s">
        <v>99</v>
      </c>
      <c r="H2" s="337"/>
      <c r="I2" s="21">
        <v>42</v>
      </c>
      <c r="J2" s="22" t="s">
        <v>85</v>
      </c>
      <c r="K2" s="339" t="s">
        <v>88</v>
      </c>
      <c r="L2" s="339"/>
      <c r="M2" s="339"/>
      <c r="N2" s="339"/>
      <c r="O2" s="339"/>
      <c r="P2" s="339"/>
    </row>
    <row r="3" spans="1:34" ht="15.75" customHeight="1" x14ac:dyDescent="0.25">
      <c r="G3" s="338"/>
      <c r="H3" s="338"/>
      <c r="I3" s="21">
        <f>I2*I1</f>
        <v>48720000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164" t="s">
        <v>114</v>
      </c>
      <c r="U4" s="165" t="s">
        <v>112</v>
      </c>
      <c r="V4" s="165"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176" customFormat="1" ht="12" x14ac:dyDescent="0.2">
      <c r="A5" s="166">
        <v>891780111</v>
      </c>
      <c r="B5" s="166" t="s">
        <v>54</v>
      </c>
      <c r="C5" s="42" t="s">
        <v>56</v>
      </c>
      <c r="D5" s="166" t="s">
        <v>60</v>
      </c>
      <c r="E5" s="167" t="s">
        <v>1992</v>
      </c>
      <c r="F5" s="166" t="s">
        <v>61</v>
      </c>
      <c r="G5" s="42" t="s">
        <v>61</v>
      </c>
      <c r="H5" s="42" t="s">
        <v>73</v>
      </c>
      <c r="I5" s="320">
        <v>9000000</v>
      </c>
      <c r="J5" s="323"/>
      <c r="K5" s="168"/>
      <c r="L5" s="168"/>
      <c r="M5" s="40">
        <f>I5+K5-L5</f>
        <v>9000000</v>
      </c>
      <c r="N5" s="169">
        <v>1082845810</v>
      </c>
      <c r="O5" s="169" t="s">
        <v>1993</v>
      </c>
      <c r="P5" s="169" t="s">
        <v>1994</v>
      </c>
      <c r="Q5" s="170">
        <v>44952</v>
      </c>
      <c r="R5" s="170">
        <v>44958</v>
      </c>
      <c r="S5" s="170">
        <v>45009</v>
      </c>
      <c r="T5" s="171"/>
      <c r="U5" s="171"/>
      <c r="V5" s="171"/>
      <c r="W5" s="171"/>
      <c r="X5" s="172">
        <v>9000000</v>
      </c>
      <c r="Y5" s="68">
        <f t="shared" ref="Y5:Y54" si="0">M5-X5</f>
        <v>0</v>
      </c>
      <c r="Z5" s="65">
        <f t="shared" ref="Z5:Z54" si="1">+(X5/M5)</f>
        <v>1</v>
      </c>
      <c r="AA5" s="173">
        <v>57426458</v>
      </c>
      <c r="AB5" s="174" t="s">
        <v>1995</v>
      </c>
      <c r="AC5" s="42" t="s">
        <v>196</v>
      </c>
      <c r="AD5" s="42" t="s">
        <v>196</v>
      </c>
      <c r="AE5" s="171"/>
      <c r="AF5" s="175" t="s">
        <v>1996</v>
      </c>
      <c r="AG5" s="42" t="s">
        <v>192</v>
      </c>
      <c r="AH5" s="42" t="s">
        <v>192</v>
      </c>
    </row>
    <row r="6" spans="1:34" s="181" customFormat="1" ht="12" x14ac:dyDescent="0.2">
      <c r="A6" s="177">
        <v>891780111</v>
      </c>
      <c r="B6" s="177" t="s">
        <v>54</v>
      </c>
      <c r="C6" s="42" t="s">
        <v>56</v>
      </c>
      <c r="D6" s="177" t="s">
        <v>60</v>
      </c>
      <c r="E6" s="167" t="s">
        <v>1997</v>
      </c>
      <c r="F6" s="177" t="s">
        <v>61</v>
      </c>
      <c r="G6" s="42" t="s">
        <v>61</v>
      </c>
      <c r="H6" s="42" t="s">
        <v>73</v>
      </c>
      <c r="I6" s="320">
        <v>9250000</v>
      </c>
      <c r="J6" s="324"/>
      <c r="K6" s="178"/>
      <c r="L6" s="178"/>
      <c r="M6" s="30">
        <f>I6+K6-L6</f>
        <v>9250000</v>
      </c>
      <c r="N6" s="169">
        <v>57442105</v>
      </c>
      <c r="O6" s="169" t="s">
        <v>1998</v>
      </c>
      <c r="P6" s="169" t="s">
        <v>1999</v>
      </c>
      <c r="Q6" s="170">
        <v>44952</v>
      </c>
      <c r="R6" s="170">
        <v>44958</v>
      </c>
      <c r="S6" s="170">
        <v>45015</v>
      </c>
      <c r="T6" s="179"/>
      <c r="U6" s="180"/>
      <c r="V6" s="180"/>
      <c r="W6" s="180"/>
      <c r="X6" s="172">
        <v>9250000</v>
      </c>
      <c r="Y6" s="60">
        <f t="shared" si="0"/>
        <v>0</v>
      </c>
      <c r="Z6" s="67">
        <f t="shared" si="1"/>
        <v>1</v>
      </c>
      <c r="AA6" s="173">
        <v>57426458</v>
      </c>
      <c r="AB6" s="174" t="s">
        <v>1995</v>
      </c>
      <c r="AC6" s="42" t="s">
        <v>196</v>
      </c>
      <c r="AD6" s="42" t="s">
        <v>196</v>
      </c>
      <c r="AE6" s="180"/>
      <c r="AF6" s="175" t="s">
        <v>2000</v>
      </c>
      <c r="AG6" s="42" t="s">
        <v>192</v>
      </c>
      <c r="AH6" s="42" t="s">
        <v>192</v>
      </c>
    </row>
    <row r="7" spans="1:34" s="181" customFormat="1" ht="12" x14ac:dyDescent="0.2">
      <c r="A7" s="177">
        <v>891780111</v>
      </c>
      <c r="B7" s="177" t="s">
        <v>54</v>
      </c>
      <c r="C7" s="42" t="s">
        <v>56</v>
      </c>
      <c r="D7" s="177" t="s">
        <v>60</v>
      </c>
      <c r="E7" s="167" t="s">
        <v>2001</v>
      </c>
      <c r="F7" s="177" t="s">
        <v>61</v>
      </c>
      <c r="G7" s="42" t="s">
        <v>61</v>
      </c>
      <c r="H7" s="42" t="s">
        <v>73</v>
      </c>
      <c r="I7" s="320">
        <v>7700000</v>
      </c>
      <c r="J7" s="324"/>
      <c r="K7" s="178"/>
      <c r="L7" s="178"/>
      <c r="M7" s="30">
        <f t="shared" ref="M7:M54" si="2">I7+K7-L7</f>
        <v>7700000</v>
      </c>
      <c r="N7" s="169">
        <v>36549178</v>
      </c>
      <c r="O7" s="169" t="s">
        <v>2002</v>
      </c>
      <c r="P7" s="169" t="s">
        <v>2003</v>
      </c>
      <c r="Q7" s="170">
        <v>44952</v>
      </c>
      <c r="R7" s="170">
        <v>44958</v>
      </c>
      <c r="S7" s="170">
        <v>45046</v>
      </c>
      <c r="T7" s="179"/>
      <c r="U7" s="180"/>
      <c r="V7" s="180"/>
      <c r="W7" s="180"/>
      <c r="X7" s="172">
        <v>7700000</v>
      </c>
      <c r="Y7" s="60">
        <f t="shared" si="0"/>
        <v>0</v>
      </c>
      <c r="Z7" s="67">
        <f t="shared" si="1"/>
        <v>1</v>
      </c>
      <c r="AA7" s="173">
        <v>57426458</v>
      </c>
      <c r="AB7" s="174" t="s">
        <v>1995</v>
      </c>
      <c r="AC7" s="42" t="s">
        <v>196</v>
      </c>
      <c r="AD7" s="42" t="s">
        <v>196</v>
      </c>
      <c r="AE7" s="180"/>
      <c r="AF7" s="175" t="s">
        <v>2004</v>
      </c>
      <c r="AG7" s="42" t="s">
        <v>192</v>
      </c>
      <c r="AH7" s="42" t="s">
        <v>192</v>
      </c>
    </row>
    <row r="8" spans="1:34" s="181" customFormat="1" ht="12" x14ac:dyDescent="0.2">
      <c r="A8" s="177">
        <v>891780111</v>
      </c>
      <c r="B8" s="177" t="s">
        <v>54</v>
      </c>
      <c r="C8" s="42" t="s">
        <v>56</v>
      </c>
      <c r="D8" s="177" t="s">
        <v>60</v>
      </c>
      <c r="E8" s="167" t="s">
        <v>2005</v>
      </c>
      <c r="F8" s="177" t="s">
        <v>61</v>
      </c>
      <c r="G8" s="42" t="s">
        <v>61</v>
      </c>
      <c r="H8" s="42" t="s">
        <v>73</v>
      </c>
      <c r="I8" s="320">
        <v>7700000</v>
      </c>
      <c r="J8" s="324">
        <v>1</v>
      </c>
      <c r="K8" s="178"/>
      <c r="L8" s="178"/>
      <c r="M8" s="30">
        <f t="shared" si="2"/>
        <v>7700000</v>
      </c>
      <c r="N8" s="169">
        <v>36669007</v>
      </c>
      <c r="O8" s="169" t="s">
        <v>2006</v>
      </c>
      <c r="P8" s="169" t="s">
        <v>2007</v>
      </c>
      <c r="Q8" s="170">
        <v>44952</v>
      </c>
      <c r="R8" s="170">
        <v>44958</v>
      </c>
      <c r="S8" s="170">
        <v>45046</v>
      </c>
      <c r="T8" s="179"/>
      <c r="U8" s="180"/>
      <c r="V8" s="180"/>
      <c r="W8" s="180"/>
      <c r="X8" s="172">
        <v>7700000</v>
      </c>
      <c r="Y8" s="60">
        <f t="shared" si="0"/>
        <v>0</v>
      </c>
      <c r="Z8" s="67">
        <f t="shared" si="1"/>
        <v>1</v>
      </c>
      <c r="AA8" s="173">
        <v>57426458</v>
      </c>
      <c r="AB8" s="174" t="s">
        <v>1995</v>
      </c>
      <c r="AC8" s="42" t="s">
        <v>196</v>
      </c>
      <c r="AD8" s="42" t="s">
        <v>196</v>
      </c>
      <c r="AE8" s="180"/>
      <c r="AF8" s="175" t="s">
        <v>2008</v>
      </c>
      <c r="AG8" s="42" t="s">
        <v>192</v>
      </c>
      <c r="AH8" s="42" t="s">
        <v>192</v>
      </c>
    </row>
    <row r="9" spans="1:34" s="181" customFormat="1" ht="12" x14ac:dyDescent="0.2">
      <c r="A9" s="177">
        <v>891780111</v>
      </c>
      <c r="B9" s="177" t="s">
        <v>54</v>
      </c>
      <c r="C9" s="42" t="s">
        <v>56</v>
      </c>
      <c r="D9" s="177" t="s">
        <v>60</v>
      </c>
      <c r="E9" s="167" t="s">
        <v>2009</v>
      </c>
      <c r="F9" s="177" t="s">
        <v>61</v>
      </c>
      <c r="G9" s="42" t="s">
        <v>61</v>
      </c>
      <c r="H9" s="42" t="s">
        <v>73</v>
      </c>
      <c r="I9" s="320">
        <v>9250000</v>
      </c>
      <c r="J9" s="324"/>
      <c r="K9" s="178"/>
      <c r="L9" s="178"/>
      <c r="M9" s="30">
        <f t="shared" si="2"/>
        <v>9250000</v>
      </c>
      <c r="N9" s="169">
        <v>80865227</v>
      </c>
      <c r="O9" s="169" t="s">
        <v>2010</v>
      </c>
      <c r="P9" s="169" t="s">
        <v>2011</v>
      </c>
      <c r="Q9" s="170">
        <v>44952</v>
      </c>
      <c r="R9" s="170">
        <v>44958</v>
      </c>
      <c r="S9" s="170">
        <v>45015</v>
      </c>
      <c r="T9" s="179"/>
      <c r="U9" s="180"/>
      <c r="V9" s="180"/>
      <c r="W9" s="180"/>
      <c r="X9" s="172">
        <v>9250000</v>
      </c>
      <c r="Y9" s="60">
        <f t="shared" si="0"/>
        <v>0</v>
      </c>
      <c r="Z9" s="67">
        <f t="shared" si="1"/>
        <v>1</v>
      </c>
      <c r="AA9" s="173">
        <v>57426458</v>
      </c>
      <c r="AB9" s="174" t="s">
        <v>1995</v>
      </c>
      <c r="AC9" s="42" t="s">
        <v>196</v>
      </c>
      <c r="AD9" s="42" t="s">
        <v>196</v>
      </c>
      <c r="AE9" s="180"/>
      <c r="AF9" s="175" t="s">
        <v>2012</v>
      </c>
      <c r="AG9" s="42" t="s">
        <v>192</v>
      </c>
      <c r="AH9" s="42" t="s">
        <v>192</v>
      </c>
    </row>
    <row r="10" spans="1:34" s="181" customFormat="1" ht="12" x14ac:dyDescent="0.2">
      <c r="A10" s="177">
        <v>891780111</v>
      </c>
      <c r="B10" s="177" t="s">
        <v>54</v>
      </c>
      <c r="C10" s="42" t="s">
        <v>56</v>
      </c>
      <c r="D10" s="177" t="s">
        <v>60</v>
      </c>
      <c r="E10" s="167" t="s">
        <v>2013</v>
      </c>
      <c r="F10" s="177" t="s">
        <v>61</v>
      </c>
      <c r="G10" s="42" t="s">
        <v>61</v>
      </c>
      <c r="H10" s="42" t="s">
        <v>73</v>
      </c>
      <c r="I10" s="320">
        <v>8000000</v>
      </c>
      <c r="J10" s="324"/>
      <c r="K10" s="178"/>
      <c r="L10" s="178"/>
      <c r="M10" s="30">
        <f t="shared" si="2"/>
        <v>8000000</v>
      </c>
      <c r="N10" s="169">
        <v>84454604</v>
      </c>
      <c r="O10" s="169" t="s">
        <v>325</v>
      </c>
      <c r="P10" s="169" t="s">
        <v>2014</v>
      </c>
      <c r="Q10" s="170">
        <v>44953</v>
      </c>
      <c r="R10" s="170">
        <v>44958</v>
      </c>
      <c r="S10" s="170">
        <v>45015</v>
      </c>
      <c r="T10" s="179"/>
      <c r="U10" s="180"/>
      <c r="V10" s="180"/>
      <c r="W10" s="180"/>
      <c r="X10" s="172">
        <v>8000000</v>
      </c>
      <c r="Y10" s="60">
        <f t="shared" si="0"/>
        <v>0</v>
      </c>
      <c r="Z10" s="67">
        <f t="shared" si="1"/>
        <v>1</v>
      </c>
      <c r="AA10" s="173">
        <v>57426458</v>
      </c>
      <c r="AB10" s="174" t="s">
        <v>1995</v>
      </c>
      <c r="AC10" s="42" t="s">
        <v>196</v>
      </c>
      <c r="AD10" s="42" t="s">
        <v>196</v>
      </c>
      <c r="AE10" s="180"/>
      <c r="AF10" s="175" t="s">
        <v>2015</v>
      </c>
      <c r="AG10" s="42" t="s">
        <v>192</v>
      </c>
      <c r="AH10" s="42" t="s">
        <v>192</v>
      </c>
    </row>
    <row r="11" spans="1:34" s="176" customFormat="1" ht="12" x14ac:dyDescent="0.2">
      <c r="A11" s="166">
        <v>891780111</v>
      </c>
      <c r="B11" s="166" t="s">
        <v>54</v>
      </c>
      <c r="C11" s="42" t="s">
        <v>56</v>
      </c>
      <c r="D11" s="166" t="s">
        <v>60</v>
      </c>
      <c r="E11" s="167" t="s">
        <v>2016</v>
      </c>
      <c r="F11" s="166" t="s">
        <v>61</v>
      </c>
      <c r="G11" s="42" t="s">
        <v>61</v>
      </c>
      <c r="H11" s="42" t="s">
        <v>73</v>
      </c>
      <c r="I11" s="320">
        <v>12800000</v>
      </c>
      <c r="J11" s="323"/>
      <c r="K11" s="168"/>
      <c r="L11" s="168"/>
      <c r="M11" s="40">
        <f t="shared" si="2"/>
        <v>12800000</v>
      </c>
      <c r="N11" s="169">
        <v>1082961155</v>
      </c>
      <c r="O11" s="169" t="s">
        <v>301</v>
      </c>
      <c r="P11" s="169" t="s">
        <v>2017</v>
      </c>
      <c r="Q11" s="170">
        <v>44956</v>
      </c>
      <c r="R11" s="170">
        <v>44958</v>
      </c>
      <c r="S11" s="170">
        <v>45076</v>
      </c>
      <c r="T11" s="171"/>
      <c r="U11" s="171"/>
      <c r="V11" s="171"/>
      <c r="W11" s="171"/>
      <c r="X11" s="172">
        <v>12800000</v>
      </c>
      <c r="Y11" s="68">
        <f t="shared" si="0"/>
        <v>0</v>
      </c>
      <c r="Z11" s="65">
        <f t="shared" si="1"/>
        <v>1</v>
      </c>
      <c r="AA11" s="173">
        <v>57290542</v>
      </c>
      <c r="AB11" s="174" t="s">
        <v>2018</v>
      </c>
      <c r="AC11" s="42" t="s">
        <v>196</v>
      </c>
      <c r="AD11" s="42" t="s">
        <v>196</v>
      </c>
      <c r="AE11" s="171"/>
      <c r="AF11" s="175" t="s">
        <v>2019</v>
      </c>
      <c r="AG11" s="42" t="s">
        <v>192</v>
      </c>
      <c r="AH11" s="42" t="s">
        <v>192</v>
      </c>
    </row>
    <row r="12" spans="1:34" s="176" customFormat="1" ht="12" x14ac:dyDescent="0.2">
      <c r="A12" s="166">
        <v>891780111</v>
      </c>
      <c r="B12" s="166" t="s">
        <v>54</v>
      </c>
      <c r="C12" s="42" t="s">
        <v>56</v>
      </c>
      <c r="D12" s="166" t="s">
        <v>60</v>
      </c>
      <c r="E12" s="167" t="s">
        <v>2020</v>
      </c>
      <c r="F12" s="166" t="s">
        <v>61</v>
      </c>
      <c r="G12" s="42" t="s">
        <v>61</v>
      </c>
      <c r="H12" s="42" t="s">
        <v>73</v>
      </c>
      <c r="I12" s="320">
        <v>14400000</v>
      </c>
      <c r="J12" s="323"/>
      <c r="K12" s="168"/>
      <c r="L12" s="168"/>
      <c r="M12" s="40">
        <f t="shared" si="2"/>
        <v>14400000</v>
      </c>
      <c r="N12" s="169">
        <v>1082867858</v>
      </c>
      <c r="O12" s="169" t="s">
        <v>2021</v>
      </c>
      <c r="P12" s="169" t="s">
        <v>2022</v>
      </c>
      <c r="Q12" s="170">
        <v>44953</v>
      </c>
      <c r="R12" s="170">
        <v>44958</v>
      </c>
      <c r="S12" s="170">
        <v>45076</v>
      </c>
      <c r="T12" s="171"/>
      <c r="U12" s="171"/>
      <c r="V12" s="171"/>
      <c r="W12" s="171"/>
      <c r="X12" s="172">
        <v>14400000</v>
      </c>
      <c r="Y12" s="68">
        <f t="shared" si="0"/>
        <v>0</v>
      </c>
      <c r="Z12" s="65">
        <f t="shared" si="1"/>
        <v>1</v>
      </c>
      <c r="AA12" s="173">
        <v>41947381</v>
      </c>
      <c r="AB12" s="174" t="s">
        <v>2023</v>
      </c>
      <c r="AC12" s="42" t="s">
        <v>196</v>
      </c>
      <c r="AD12" s="42" t="s">
        <v>196</v>
      </c>
      <c r="AE12" s="171"/>
      <c r="AF12" s="175" t="s">
        <v>2019</v>
      </c>
      <c r="AG12" s="42" t="s">
        <v>192</v>
      </c>
      <c r="AH12" s="42" t="s">
        <v>192</v>
      </c>
    </row>
    <row r="13" spans="1:34" s="176" customFormat="1" ht="11.25" customHeight="1" x14ac:dyDescent="0.2">
      <c r="A13" s="166">
        <v>891780111</v>
      </c>
      <c r="B13" s="166" t="s">
        <v>54</v>
      </c>
      <c r="C13" s="42" t="s">
        <v>56</v>
      </c>
      <c r="D13" s="166" t="s">
        <v>60</v>
      </c>
      <c r="E13" s="167" t="s">
        <v>2024</v>
      </c>
      <c r="F13" s="166" t="s">
        <v>61</v>
      </c>
      <c r="G13" s="42" t="s">
        <v>61</v>
      </c>
      <c r="H13" s="42" t="s">
        <v>73</v>
      </c>
      <c r="I13" s="320">
        <v>7700000</v>
      </c>
      <c r="J13" s="323"/>
      <c r="K13" s="168"/>
      <c r="L13" s="168"/>
      <c r="M13" s="40">
        <f t="shared" si="2"/>
        <v>7700000</v>
      </c>
      <c r="N13" s="169">
        <v>57434888</v>
      </c>
      <c r="O13" s="182" t="s">
        <v>2025</v>
      </c>
      <c r="P13" s="169" t="s">
        <v>2026</v>
      </c>
      <c r="Q13" s="170">
        <v>44953</v>
      </c>
      <c r="R13" s="170">
        <v>44958</v>
      </c>
      <c r="S13" s="170">
        <v>45046</v>
      </c>
      <c r="T13" s="171"/>
      <c r="U13" s="171"/>
      <c r="V13" s="171"/>
      <c r="W13" s="171"/>
      <c r="X13" s="172">
        <v>7700000</v>
      </c>
      <c r="Y13" s="68">
        <f t="shared" si="0"/>
        <v>0</v>
      </c>
      <c r="Z13" s="65">
        <f t="shared" si="1"/>
        <v>1</v>
      </c>
      <c r="AA13" s="173">
        <v>57426458</v>
      </c>
      <c r="AB13" s="174" t="s">
        <v>1995</v>
      </c>
      <c r="AC13" s="42" t="s">
        <v>196</v>
      </c>
      <c r="AD13" s="42" t="s">
        <v>196</v>
      </c>
      <c r="AE13" s="171"/>
      <c r="AF13" s="175" t="s">
        <v>2027</v>
      </c>
      <c r="AG13" s="42" t="s">
        <v>192</v>
      </c>
      <c r="AH13" s="42" t="s">
        <v>192</v>
      </c>
    </row>
    <row r="14" spans="1:34" s="176" customFormat="1" ht="12.75" customHeight="1" x14ac:dyDescent="0.2">
      <c r="A14" s="166">
        <v>891780111</v>
      </c>
      <c r="B14" s="166" t="s">
        <v>54</v>
      </c>
      <c r="C14" s="42" t="s">
        <v>56</v>
      </c>
      <c r="D14" s="166" t="s">
        <v>60</v>
      </c>
      <c r="E14" s="167" t="s">
        <v>2028</v>
      </c>
      <c r="F14" s="166" t="s">
        <v>61</v>
      </c>
      <c r="G14" s="42" t="s">
        <v>61</v>
      </c>
      <c r="H14" s="42" t="s">
        <v>73</v>
      </c>
      <c r="I14" s="320">
        <v>5600000</v>
      </c>
      <c r="J14" s="323"/>
      <c r="K14" s="168"/>
      <c r="L14" s="168"/>
      <c r="M14" s="40">
        <f t="shared" si="2"/>
        <v>5600000</v>
      </c>
      <c r="N14" s="183">
        <v>57441136</v>
      </c>
      <c r="O14" s="182" t="s">
        <v>2029</v>
      </c>
      <c r="P14" s="169" t="s">
        <v>2030</v>
      </c>
      <c r="Q14" s="170">
        <v>44953</v>
      </c>
      <c r="R14" s="170">
        <v>44958</v>
      </c>
      <c r="S14" s="170">
        <v>45015</v>
      </c>
      <c r="T14" s="171"/>
      <c r="U14" s="171"/>
      <c r="V14" s="171"/>
      <c r="W14" s="171"/>
      <c r="X14" s="172">
        <v>5600000</v>
      </c>
      <c r="Y14" s="68">
        <f t="shared" si="0"/>
        <v>0</v>
      </c>
      <c r="Z14" s="65">
        <f t="shared" si="1"/>
        <v>1</v>
      </c>
      <c r="AA14" s="173">
        <v>12539351</v>
      </c>
      <c r="AB14" s="174" t="s">
        <v>2031</v>
      </c>
      <c r="AC14" s="42" t="s">
        <v>196</v>
      </c>
      <c r="AD14" s="42" t="s">
        <v>196</v>
      </c>
      <c r="AE14" s="171"/>
      <c r="AF14" s="175" t="s">
        <v>2032</v>
      </c>
      <c r="AG14" s="42" t="s">
        <v>192</v>
      </c>
      <c r="AH14" s="42" t="s">
        <v>192</v>
      </c>
    </row>
    <row r="15" spans="1:34" s="176" customFormat="1" ht="12" x14ac:dyDescent="0.2">
      <c r="A15" s="166">
        <v>891780111</v>
      </c>
      <c r="B15" s="166" t="s">
        <v>54</v>
      </c>
      <c r="C15" s="42" t="s">
        <v>56</v>
      </c>
      <c r="D15" s="166" t="s">
        <v>60</v>
      </c>
      <c r="E15" s="167" t="s">
        <v>2033</v>
      </c>
      <c r="F15" s="166" t="s">
        <v>61</v>
      </c>
      <c r="G15" s="42" t="s">
        <v>61</v>
      </c>
      <c r="H15" s="42" t="s">
        <v>73</v>
      </c>
      <c r="I15" s="320">
        <v>7500000</v>
      </c>
      <c r="J15" s="323"/>
      <c r="K15" s="168"/>
      <c r="L15" s="168"/>
      <c r="M15" s="40">
        <f t="shared" si="2"/>
        <v>7500000</v>
      </c>
      <c r="N15" s="169">
        <v>57437563</v>
      </c>
      <c r="O15" s="169" t="s">
        <v>2034</v>
      </c>
      <c r="P15" s="169" t="s">
        <v>2035</v>
      </c>
      <c r="Q15" s="170">
        <v>44953</v>
      </c>
      <c r="R15" s="170">
        <v>44958</v>
      </c>
      <c r="S15" s="170">
        <v>45015</v>
      </c>
      <c r="T15" s="171"/>
      <c r="U15" s="171"/>
      <c r="V15" s="171"/>
      <c r="W15" s="171"/>
      <c r="X15" s="172">
        <v>7500000</v>
      </c>
      <c r="Y15" s="68">
        <f t="shared" si="0"/>
        <v>0</v>
      </c>
      <c r="Z15" s="65">
        <f t="shared" si="1"/>
        <v>1</v>
      </c>
      <c r="AA15" s="173">
        <v>57426458</v>
      </c>
      <c r="AB15" s="174" t="s">
        <v>1995</v>
      </c>
      <c r="AC15" s="42" t="s">
        <v>196</v>
      </c>
      <c r="AD15" s="42" t="s">
        <v>196</v>
      </c>
      <c r="AE15" s="171"/>
      <c r="AF15" s="175" t="s">
        <v>2036</v>
      </c>
      <c r="AG15" s="42" t="s">
        <v>192</v>
      </c>
      <c r="AH15" s="42" t="s">
        <v>192</v>
      </c>
    </row>
    <row r="16" spans="1:34" s="176" customFormat="1" ht="12" x14ac:dyDescent="0.2">
      <c r="A16" s="166">
        <v>891780111</v>
      </c>
      <c r="B16" s="166" t="s">
        <v>54</v>
      </c>
      <c r="C16" s="42" t="s">
        <v>56</v>
      </c>
      <c r="D16" s="166" t="s">
        <v>60</v>
      </c>
      <c r="E16" s="167" t="s">
        <v>2037</v>
      </c>
      <c r="F16" s="166" t="s">
        <v>61</v>
      </c>
      <c r="G16" s="42" t="s">
        <v>61</v>
      </c>
      <c r="H16" s="42" t="s">
        <v>73</v>
      </c>
      <c r="I16" s="320">
        <v>14400000</v>
      </c>
      <c r="J16" s="323"/>
      <c r="K16" s="168"/>
      <c r="L16" s="168"/>
      <c r="M16" s="40">
        <f t="shared" si="2"/>
        <v>14400000</v>
      </c>
      <c r="N16" s="169">
        <v>1082991569</v>
      </c>
      <c r="O16" s="169" t="s">
        <v>2038</v>
      </c>
      <c r="P16" s="169" t="s">
        <v>2039</v>
      </c>
      <c r="Q16" s="170">
        <v>44953</v>
      </c>
      <c r="R16" s="170">
        <v>44958</v>
      </c>
      <c r="S16" s="170">
        <v>45076</v>
      </c>
      <c r="T16" s="171"/>
      <c r="U16" s="171"/>
      <c r="V16" s="171"/>
      <c r="W16" s="171"/>
      <c r="X16" s="172">
        <v>14400000</v>
      </c>
      <c r="Y16" s="68">
        <f t="shared" si="0"/>
        <v>0</v>
      </c>
      <c r="Z16" s="65">
        <f t="shared" si="1"/>
        <v>1</v>
      </c>
      <c r="AA16" s="173">
        <v>12550726</v>
      </c>
      <c r="AB16" s="174" t="s">
        <v>2040</v>
      </c>
      <c r="AC16" s="42" t="s">
        <v>196</v>
      </c>
      <c r="AD16" s="42" t="s">
        <v>196</v>
      </c>
      <c r="AE16" s="171"/>
      <c r="AF16" s="175" t="s">
        <v>2041</v>
      </c>
      <c r="AG16" s="42" t="s">
        <v>192</v>
      </c>
      <c r="AH16" s="42" t="s">
        <v>192</v>
      </c>
    </row>
    <row r="17" spans="1:35" s="176" customFormat="1" ht="12" x14ac:dyDescent="0.2">
      <c r="A17" s="166">
        <v>891780111</v>
      </c>
      <c r="B17" s="166" t="s">
        <v>54</v>
      </c>
      <c r="C17" s="42" t="s">
        <v>56</v>
      </c>
      <c r="D17" s="166" t="s">
        <v>60</v>
      </c>
      <c r="E17" s="167" t="s">
        <v>2042</v>
      </c>
      <c r="F17" s="166" t="s">
        <v>61</v>
      </c>
      <c r="G17" s="42" t="s">
        <v>61</v>
      </c>
      <c r="H17" s="42" t="s">
        <v>73</v>
      </c>
      <c r="I17" s="320">
        <v>7400000</v>
      </c>
      <c r="J17" s="323"/>
      <c r="K17" s="168"/>
      <c r="L17" s="168"/>
      <c r="M17" s="40">
        <f t="shared" si="2"/>
        <v>7400000</v>
      </c>
      <c r="N17" s="169">
        <v>57443718</v>
      </c>
      <c r="O17" s="169" t="s">
        <v>2043</v>
      </c>
      <c r="P17" s="169" t="s">
        <v>2044</v>
      </c>
      <c r="Q17" s="170">
        <v>44953</v>
      </c>
      <c r="R17" s="170">
        <v>44958</v>
      </c>
      <c r="S17" s="170">
        <v>45015</v>
      </c>
      <c r="T17" s="171"/>
      <c r="U17" s="171"/>
      <c r="V17" s="171"/>
      <c r="W17" s="171"/>
      <c r="X17" s="172">
        <v>7400000</v>
      </c>
      <c r="Y17" s="68">
        <f t="shared" si="0"/>
        <v>0</v>
      </c>
      <c r="Z17" s="65">
        <f t="shared" si="1"/>
        <v>1</v>
      </c>
      <c r="AA17" s="173">
        <v>57426458</v>
      </c>
      <c r="AB17" s="174" t="s">
        <v>1995</v>
      </c>
      <c r="AC17" s="42" t="s">
        <v>196</v>
      </c>
      <c r="AD17" s="42" t="s">
        <v>196</v>
      </c>
      <c r="AE17" s="171"/>
      <c r="AF17" s="175" t="s">
        <v>2045</v>
      </c>
      <c r="AG17" s="42" t="s">
        <v>192</v>
      </c>
      <c r="AH17" s="42" t="s">
        <v>192</v>
      </c>
    </row>
    <row r="18" spans="1:35" s="176" customFormat="1" ht="12" x14ac:dyDescent="0.2">
      <c r="A18" s="166">
        <v>891780111</v>
      </c>
      <c r="B18" s="166" t="s">
        <v>54</v>
      </c>
      <c r="C18" s="42" t="s">
        <v>56</v>
      </c>
      <c r="D18" s="166" t="s">
        <v>60</v>
      </c>
      <c r="E18" s="167" t="s">
        <v>2046</v>
      </c>
      <c r="F18" s="166" t="s">
        <v>61</v>
      </c>
      <c r="G18" s="42" t="s">
        <v>61</v>
      </c>
      <c r="H18" s="42" t="s">
        <v>73</v>
      </c>
      <c r="I18" s="320">
        <v>14400000</v>
      </c>
      <c r="J18" s="323"/>
      <c r="K18" s="168"/>
      <c r="L18" s="168"/>
      <c r="M18" s="40">
        <f t="shared" si="2"/>
        <v>14400000</v>
      </c>
      <c r="N18" s="169">
        <v>1082989749</v>
      </c>
      <c r="O18" s="169" t="s">
        <v>2047</v>
      </c>
      <c r="P18" s="169" t="s">
        <v>2048</v>
      </c>
      <c r="Q18" s="170">
        <v>44953</v>
      </c>
      <c r="R18" s="170">
        <v>44958</v>
      </c>
      <c r="S18" s="170">
        <v>45076</v>
      </c>
      <c r="T18" s="171"/>
      <c r="U18" s="171"/>
      <c r="V18" s="171"/>
      <c r="W18" s="171"/>
      <c r="X18" s="172">
        <v>14400000</v>
      </c>
      <c r="Y18" s="68">
        <f t="shared" si="0"/>
        <v>0</v>
      </c>
      <c r="Z18" s="65">
        <f t="shared" si="1"/>
        <v>1</v>
      </c>
      <c r="AA18" s="173">
        <v>41947381</v>
      </c>
      <c r="AB18" s="174" t="s">
        <v>2023</v>
      </c>
      <c r="AC18" s="42" t="s">
        <v>196</v>
      </c>
      <c r="AD18" s="42" t="s">
        <v>196</v>
      </c>
      <c r="AE18" s="171"/>
      <c r="AF18" s="175" t="s">
        <v>2049</v>
      </c>
      <c r="AG18" s="42" t="s">
        <v>192</v>
      </c>
      <c r="AH18" s="42" t="s">
        <v>192</v>
      </c>
    </row>
    <row r="19" spans="1:35" s="176" customFormat="1" ht="12" x14ac:dyDescent="0.2">
      <c r="A19" s="166">
        <v>891780111</v>
      </c>
      <c r="B19" s="166" t="s">
        <v>54</v>
      </c>
      <c r="C19" s="42" t="s">
        <v>56</v>
      </c>
      <c r="D19" s="166" t="s">
        <v>60</v>
      </c>
      <c r="E19" s="167" t="s">
        <v>2050</v>
      </c>
      <c r="F19" s="166" t="s">
        <v>61</v>
      </c>
      <c r="G19" s="42" t="s">
        <v>61</v>
      </c>
      <c r="H19" s="42" t="s">
        <v>73</v>
      </c>
      <c r="I19" s="320">
        <v>7000000</v>
      </c>
      <c r="J19" s="323"/>
      <c r="K19" s="168"/>
      <c r="L19" s="168"/>
      <c r="M19" s="40">
        <f t="shared" si="2"/>
        <v>7000000</v>
      </c>
      <c r="N19" s="169">
        <v>1082929016</v>
      </c>
      <c r="O19" s="169" t="s">
        <v>2051</v>
      </c>
      <c r="P19" s="169" t="s">
        <v>2052</v>
      </c>
      <c r="Q19" s="170">
        <v>44960</v>
      </c>
      <c r="R19" s="170">
        <v>44960</v>
      </c>
      <c r="S19" s="170">
        <v>45046</v>
      </c>
      <c r="T19" s="171"/>
      <c r="U19" s="171"/>
      <c r="V19" s="171"/>
      <c r="W19" s="171"/>
      <c r="X19" s="172">
        <v>7000000</v>
      </c>
      <c r="Y19" s="68">
        <f t="shared" si="0"/>
        <v>0</v>
      </c>
      <c r="Z19" s="65">
        <f t="shared" si="1"/>
        <v>1</v>
      </c>
      <c r="AA19" s="173">
        <v>57426458</v>
      </c>
      <c r="AB19" s="174" t="s">
        <v>1995</v>
      </c>
      <c r="AC19" s="42" t="s">
        <v>196</v>
      </c>
      <c r="AD19" s="42" t="s">
        <v>196</v>
      </c>
      <c r="AE19" s="171"/>
      <c r="AF19" s="175" t="s">
        <v>2053</v>
      </c>
      <c r="AG19" s="42" t="s">
        <v>192</v>
      </c>
      <c r="AH19" s="42" t="s">
        <v>192</v>
      </c>
    </row>
    <row r="20" spans="1:35" s="176" customFormat="1" ht="12.75" customHeight="1" x14ac:dyDescent="0.2">
      <c r="A20" s="166">
        <v>891780111</v>
      </c>
      <c r="B20" s="166" t="s">
        <v>54</v>
      </c>
      <c r="C20" s="42" t="s">
        <v>56</v>
      </c>
      <c r="D20" s="166" t="s">
        <v>60</v>
      </c>
      <c r="E20" s="167" t="s">
        <v>2054</v>
      </c>
      <c r="F20" s="166" t="s">
        <v>61</v>
      </c>
      <c r="G20" s="42" t="s">
        <v>61</v>
      </c>
      <c r="H20" s="42" t="s">
        <v>73</v>
      </c>
      <c r="I20" s="320">
        <v>12800000</v>
      </c>
      <c r="J20" s="323"/>
      <c r="K20" s="168"/>
      <c r="L20" s="168"/>
      <c r="M20" s="40">
        <f t="shared" si="2"/>
        <v>12800000</v>
      </c>
      <c r="N20" s="183">
        <v>1082905242</v>
      </c>
      <c r="O20" s="182" t="s">
        <v>2055</v>
      </c>
      <c r="P20" s="169" t="s">
        <v>2056</v>
      </c>
      <c r="Q20" s="170">
        <v>44956</v>
      </c>
      <c r="R20" s="170">
        <v>44958</v>
      </c>
      <c r="S20" s="170">
        <v>45076</v>
      </c>
      <c r="T20" s="171"/>
      <c r="U20" s="171"/>
      <c r="V20" s="171"/>
      <c r="W20" s="171"/>
      <c r="X20" s="172">
        <v>12800000</v>
      </c>
      <c r="Y20" s="68">
        <f t="shared" si="0"/>
        <v>0</v>
      </c>
      <c r="Z20" s="65">
        <f t="shared" si="1"/>
        <v>1</v>
      </c>
      <c r="AA20" s="173">
        <v>12550726</v>
      </c>
      <c r="AB20" s="174" t="s">
        <v>2040</v>
      </c>
      <c r="AC20" s="42" t="s">
        <v>196</v>
      </c>
      <c r="AD20" s="42" t="s">
        <v>196</v>
      </c>
      <c r="AE20" s="171"/>
      <c r="AF20" s="175" t="s">
        <v>2057</v>
      </c>
      <c r="AG20" s="42" t="s">
        <v>192</v>
      </c>
      <c r="AH20" s="42" t="s">
        <v>192</v>
      </c>
    </row>
    <row r="21" spans="1:35" s="176" customFormat="1" ht="12" x14ac:dyDescent="0.2">
      <c r="A21" s="166">
        <v>891780111</v>
      </c>
      <c r="B21" s="166" t="s">
        <v>54</v>
      </c>
      <c r="C21" s="42" t="s">
        <v>56</v>
      </c>
      <c r="D21" s="166" t="s">
        <v>60</v>
      </c>
      <c r="E21" s="167" t="s">
        <v>2058</v>
      </c>
      <c r="F21" s="166" t="s">
        <v>61</v>
      </c>
      <c r="G21" s="42" t="s">
        <v>61</v>
      </c>
      <c r="H21" s="42" t="s">
        <v>73</v>
      </c>
      <c r="I21" s="320">
        <v>6400000</v>
      </c>
      <c r="J21" s="323"/>
      <c r="K21" s="168"/>
      <c r="L21" s="168"/>
      <c r="M21" s="40">
        <f t="shared" si="2"/>
        <v>6400000</v>
      </c>
      <c r="N21" s="169">
        <v>36722117</v>
      </c>
      <c r="O21" s="169" t="s">
        <v>2059</v>
      </c>
      <c r="P21" s="169" t="s">
        <v>2060</v>
      </c>
      <c r="Q21" s="170">
        <v>44956</v>
      </c>
      <c r="R21" s="170">
        <v>44958</v>
      </c>
      <c r="S21" s="170">
        <v>45015</v>
      </c>
      <c r="T21" s="171"/>
      <c r="U21" s="171"/>
      <c r="V21" s="171"/>
      <c r="W21" s="171"/>
      <c r="X21" s="172">
        <v>6400000</v>
      </c>
      <c r="Y21" s="68">
        <f t="shared" si="0"/>
        <v>0</v>
      </c>
      <c r="Z21" s="65">
        <f t="shared" si="1"/>
        <v>1</v>
      </c>
      <c r="AA21" s="173">
        <v>41947381</v>
      </c>
      <c r="AB21" s="174" t="s">
        <v>2023</v>
      </c>
      <c r="AC21" s="42" t="s">
        <v>196</v>
      </c>
      <c r="AD21" s="42" t="s">
        <v>196</v>
      </c>
      <c r="AE21" s="171"/>
      <c r="AF21" s="184" t="s">
        <v>2061</v>
      </c>
      <c r="AG21" s="42" t="s">
        <v>192</v>
      </c>
      <c r="AH21" s="42" t="s">
        <v>192</v>
      </c>
    </row>
    <row r="22" spans="1:35" s="176" customFormat="1" ht="12" x14ac:dyDescent="0.2">
      <c r="A22" s="166">
        <v>891780111</v>
      </c>
      <c r="B22" s="166" t="s">
        <v>54</v>
      </c>
      <c r="C22" s="42" t="s">
        <v>56</v>
      </c>
      <c r="D22" s="166" t="s">
        <v>60</v>
      </c>
      <c r="E22" s="167" t="s">
        <v>2062</v>
      </c>
      <c r="F22" s="166" t="s">
        <v>61</v>
      </c>
      <c r="G22" s="42" t="s">
        <v>61</v>
      </c>
      <c r="H22" s="42" t="s">
        <v>73</v>
      </c>
      <c r="I22" s="320">
        <v>4575000</v>
      </c>
      <c r="J22" s="323"/>
      <c r="K22" s="168"/>
      <c r="L22" s="168"/>
      <c r="M22" s="40">
        <f t="shared" si="2"/>
        <v>4575000</v>
      </c>
      <c r="N22" s="169">
        <v>1091678444</v>
      </c>
      <c r="O22" s="169" t="s">
        <v>2063</v>
      </c>
      <c r="P22" s="169" t="s">
        <v>2064</v>
      </c>
      <c r="Q22" s="170">
        <v>44960</v>
      </c>
      <c r="R22" s="170">
        <v>44960</v>
      </c>
      <c r="S22" s="170">
        <v>45008</v>
      </c>
      <c r="T22" s="171"/>
      <c r="U22" s="171"/>
      <c r="V22" s="171"/>
      <c r="W22" s="171"/>
      <c r="X22" s="172">
        <v>4575000</v>
      </c>
      <c r="Y22" s="68">
        <f t="shared" si="0"/>
        <v>0</v>
      </c>
      <c r="Z22" s="65">
        <f t="shared" si="1"/>
        <v>1</v>
      </c>
      <c r="AA22" s="173">
        <v>36720411</v>
      </c>
      <c r="AB22" s="174" t="s">
        <v>2065</v>
      </c>
      <c r="AC22" s="42" t="s">
        <v>196</v>
      </c>
      <c r="AD22" s="42" t="s">
        <v>196</v>
      </c>
      <c r="AE22" s="171"/>
      <c r="AF22" s="184" t="s">
        <v>2066</v>
      </c>
      <c r="AG22" s="42" t="s">
        <v>192</v>
      </c>
      <c r="AH22" s="42" t="s">
        <v>192</v>
      </c>
    </row>
    <row r="23" spans="1:35" s="176" customFormat="1" ht="12" x14ac:dyDescent="0.2">
      <c r="A23" s="166">
        <v>891780111</v>
      </c>
      <c r="B23" s="166" t="s">
        <v>54</v>
      </c>
      <c r="C23" s="42" t="s">
        <v>56</v>
      </c>
      <c r="D23" s="166" t="s">
        <v>60</v>
      </c>
      <c r="E23" s="167" t="s">
        <v>2067</v>
      </c>
      <c r="F23" s="166" t="s">
        <v>61</v>
      </c>
      <c r="G23" s="42" t="s">
        <v>61</v>
      </c>
      <c r="H23" s="42" t="s">
        <v>73</v>
      </c>
      <c r="I23" s="320">
        <v>4575000</v>
      </c>
      <c r="J23" s="323"/>
      <c r="K23" s="168"/>
      <c r="L23" s="168"/>
      <c r="M23" s="40">
        <f t="shared" si="2"/>
        <v>4575000</v>
      </c>
      <c r="N23" s="169">
        <v>84455243</v>
      </c>
      <c r="O23" s="169" t="s">
        <v>2068</v>
      </c>
      <c r="P23" s="169" t="s">
        <v>2069</v>
      </c>
      <c r="Q23" s="170">
        <v>44960</v>
      </c>
      <c r="R23" s="170">
        <v>44960</v>
      </c>
      <c r="S23" s="170">
        <v>45008</v>
      </c>
      <c r="T23" s="171"/>
      <c r="U23" s="171"/>
      <c r="V23" s="171"/>
      <c r="W23" s="171"/>
      <c r="X23" s="172">
        <v>4575000</v>
      </c>
      <c r="Y23" s="68">
        <f t="shared" si="0"/>
        <v>0</v>
      </c>
      <c r="Z23" s="65">
        <f t="shared" si="1"/>
        <v>1</v>
      </c>
      <c r="AA23" s="173">
        <v>36720411</v>
      </c>
      <c r="AB23" s="174" t="s">
        <v>2065</v>
      </c>
      <c r="AC23" s="42" t="s">
        <v>196</v>
      </c>
      <c r="AD23" s="42" t="s">
        <v>196</v>
      </c>
      <c r="AE23" s="171"/>
      <c r="AF23" s="184" t="s">
        <v>2070</v>
      </c>
      <c r="AG23" s="42" t="s">
        <v>192</v>
      </c>
      <c r="AH23" s="42" t="s">
        <v>192</v>
      </c>
    </row>
    <row r="24" spans="1:35" s="176" customFormat="1" ht="10.5" customHeight="1" x14ac:dyDescent="0.2">
      <c r="A24" s="166">
        <v>891780111</v>
      </c>
      <c r="B24" s="166" t="s">
        <v>54</v>
      </c>
      <c r="C24" s="42" t="s">
        <v>56</v>
      </c>
      <c r="D24" s="166" t="s">
        <v>60</v>
      </c>
      <c r="E24" s="167" t="s">
        <v>2071</v>
      </c>
      <c r="F24" s="166" t="s">
        <v>61</v>
      </c>
      <c r="G24" s="42" t="s">
        <v>61</v>
      </c>
      <c r="H24" s="42" t="s">
        <v>73</v>
      </c>
      <c r="I24" s="320">
        <v>6000000</v>
      </c>
      <c r="J24" s="323"/>
      <c r="K24" s="168"/>
      <c r="L24" s="168"/>
      <c r="M24" s="40">
        <f t="shared" si="2"/>
        <v>6000000</v>
      </c>
      <c r="N24" s="183">
        <v>57170631</v>
      </c>
      <c r="O24" s="182" t="s">
        <v>2072</v>
      </c>
      <c r="P24" s="169" t="s">
        <v>2035</v>
      </c>
      <c r="Q24" s="170">
        <v>44963</v>
      </c>
      <c r="R24" s="170">
        <v>44964</v>
      </c>
      <c r="S24" s="170">
        <v>45015</v>
      </c>
      <c r="T24" s="171"/>
      <c r="U24" s="171"/>
      <c r="V24" s="171"/>
      <c r="W24" s="171"/>
      <c r="X24" s="172">
        <v>6000000</v>
      </c>
      <c r="Y24" s="68">
        <f t="shared" si="0"/>
        <v>0</v>
      </c>
      <c r="Z24" s="65">
        <f t="shared" si="1"/>
        <v>1</v>
      </c>
      <c r="AA24" s="173">
        <v>57426458</v>
      </c>
      <c r="AB24" s="174" t="s">
        <v>1995</v>
      </c>
      <c r="AC24" s="42" t="s">
        <v>196</v>
      </c>
      <c r="AD24" s="42" t="s">
        <v>196</v>
      </c>
      <c r="AE24" s="171"/>
      <c r="AF24" s="184" t="s">
        <v>2004</v>
      </c>
      <c r="AG24" s="42" t="s">
        <v>192</v>
      </c>
      <c r="AH24" s="42" t="s">
        <v>192</v>
      </c>
    </row>
    <row r="25" spans="1:35" s="176" customFormat="1" ht="12.75" customHeight="1" x14ac:dyDescent="0.2">
      <c r="A25" s="166">
        <v>891780111</v>
      </c>
      <c r="B25" s="166" t="s">
        <v>54</v>
      </c>
      <c r="C25" s="42" t="s">
        <v>56</v>
      </c>
      <c r="D25" s="166" t="s">
        <v>60</v>
      </c>
      <c r="E25" s="167" t="s">
        <v>2073</v>
      </c>
      <c r="F25" s="166" t="s">
        <v>61</v>
      </c>
      <c r="G25" s="42" t="s">
        <v>61</v>
      </c>
      <c r="H25" s="42" t="s">
        <v>73</v>
      </c>
      <c r="I25" s="320">
        <v>5429939</v>
      </c>
      <c r="J25" s="323"/>
      <c r="K25" s="168"/>
      <c r="L25" s="168"/>
      <c r="M25" s="40">
        <f t="shared" si="2"/>
        <v>5429939</v>
      </c>
      <c r="N25" s="183">
        <v>1082947568</v>
      </c>
      <c r="O25" s="182" t="s">
        <v>2074</v>
      </c>
      <c r="P25" s="169" t="s">
        <v>2075</v>
      </c>
      <c r="Q25" s="170">
        <v>44966</v>
      </c>
      <c r="R25" s="170">
        <v>44966</v>
      </c>
      <c r="S25" s="170">
        <v>45015</v>
      </c>
      <c r="T25" s="171"/>
      <c r="U25" s="171"/>
      <c r="V25" s="171"/>
      <c r="W25" s="171"/>
      <c r="X25" s="172">
        <v>5429939</v>
      </c>
      <c r="Y25" s="68">
        <f t="shared" si="0"/>
        <v>0</v>
      </c>
      <c r="Z25" s="65">
        <f t="shared" si="1"/>
        <v>1</v>
      </c>
      <c r="AA25" s="173">
        <v>57426458</v>
      </c>
      <c r="AB25" s="174" t="s">
        <v>1995</v>
      </c>
      <c r="AC25" s="42" t="s">
        <v>196</v>
      </c>
      <c r="AD25" s="42" t="s">
        <v>196</v>
      </c>
      <c r="AE25" s="171"/>
      <c r="AF25" s="184" t="s">
        <v>2076</v>
      </c>
      <c r="AG25" s="42" t="s">
        <v>192</v>
      </c>
      <c r="AH25" s="42" t="s">
        <v>192</v>
      </c>
    </row>
    <row r="26" spans="1:35" s="176" customFormat="1" ht="12" x14ac:dyDescent="0.2">
      <c r="A26" s="166">
        <v>891780111</v>
      </c>
      <c r="B26" s="166" t="s">
        <v>54</v>
      </c>
      <c r="C26" s="42" t="s">
        <v>56</v>
      </c>
      <c r="D26" s="166" t="s">
        <v>60</v>
      </c>
      <c r="E26" s="167" t="s">
        <v>2077</v>
      </c>
      <c r="F26" s="166" t="s">
        <v>61</v>
      </c>
      <c r="G26" s="42" t="s">
        <v>61</v>
      </c>
      <c r="H26" s="42" t="s">
        <v>73</v>
      </c>
      <c r="I26" s="320">
        <v>5800000</v>
      </c>
      <c r="J26" s="323"/>
      <c r="K26" s="168"/>
      <c r="L26" s="168"/>
      <c r="M26" s="40">
        <f t="shared" si="2"/>
        <v>5800000</v>
      </c>
      <c r="N26" s="169">
        <v>57299658</v>
      </c>
      <c r="O26" s="169" t="s">
        <v>2078</v>
      </c>
      <c r="P26" s="169" t="s">
        <v>2079</v>
      </c>
      <c r="Q26" s="170">
        <v>44967</v>
      </c>
      <c r="R26" s="170">
        <v>44967</v>
      </c>
      <c r="S26" s="170">
        <v>45015</v>
      </c>
      <c r="T26" s="171"/>
      <c r="U26" s="171"/>
      <c r="V26" s="171"/>
      <c r="W26" s="171"/>
      <c r="X26" s="172">
        <v>5800000</v>
      </c>
      <c r="Y26" s="68">
        <f t="shared" si="0"/>
        <v>0</v>
      </c>
      <c r="Z26" s="65">
        <f t="shared" si="1"/>
        <v>1</v>
      </c>
      <c r="AA26" s="173">
        <v>12550726</v>
      </c>
      <c r="AB26" s="174" t="s">
        <v>2040</v>
      </c>
      <c r="AC26" s="42" t="s">
        <v>196</v>
      </c>
      <c r="AD26" s="42" t="s">
        <v>196</v>
      </c>
      <c r="AE26" s="171"/>
      <c r="AF26" s="184" t="s">
        <v>2080</v>
      </c>
      <c r="AG26" s="42" t="s">
        <v>192</v>
      </c>
      <c r="AH26" s="42" t="s">
        <v>192</v>
      </c>
    </row>
    <row r="27" spans="1:35" s="176" customFormat="1" ht="12" x14ac:dyDescent="0.2">
      <c r="A27" s="166">
        <v>891780111</v>
      </c>
      <c r="B27" s="166" t="s">
        <v>54</v>
      </c>
      <c r="C27" s="42" t="s">
        <v>56</v>
      </c>
      <c r="D27" s="166" t="s">
        <v>60</v>
      </c>
      <c r="E27" s="167" t="s">
        <v>2081</v>
      </c>
      <c r="F27" s="166" t="s">
        <v>61</v>
      </c>
      <c r="G27" s="42" t="s">
        <v>61</v>
      </c>
      <c r="H27" s="42" t="s">
        <v>73</v>
      </c>
      <c r="I27" s="320">
        <v>6000000</v>
      </c>
      <c r="J27" s="323"/>
      <c r="K27" s="168"/>
      <c r="L27" s="168"/>
      <c r="M27" s="40">
        <f t="shared" si="2"/>
        <v>6000000</v>
      </c>
      <c r="N27" s="169">
        <v>1082970864</v>
      </c>
      <c r="O27" s="169" t="s">
        <v>2082</v>
      </c>
      <c r="P27" s="169" t="s">
        <v>2083</v>
      </c>
      <c r="Q27" s="170">
        <v>44967</v>
      </c>
      <c r="R27" s="170">
        <v>44967</v>
      </c>
      <c r="S27" s="170">
        <v>45046</v>
      </c>
      <c r="T27" s="171"/>
      <c r="U27" s="171"/>
      <c r="V27" s="171"/>
      <c r="W27" s="171"/>
      <c r="X27" s="172">
        <v>6000000</v>
      </c>
      <c r="Y27" s="68">
        <f t="shared" si="0"/>
        <v>0</v>
      </c>
      <c r="Z27" s="65">
        <f t="shared" si="1"/>
        <v>1</v>
      </c>
      <c r="AA27" s="173">
        <v>57426458</v>
      </c>
      <c r="AB27" s="174" t="s">
        <v>1995</v>
      </c>
      <c r="AC27" s="42" t="s">
        <v>196</v>
      </c>
      <c r="AD27" s="42" t="s">
        <v>196</v>
      </c>
      <c r="AE27" s="171"/>
      <c r="AF27" s="169" t="s">
        <v>2084</v>
      </c>
      <c r="AG27" s="42" t="s">
        <v>192</v>
      </c>
      <c r="AH27" s="42" t="s">
        <v>192</v>
      </c>
    </row>
    <row r="28" spans="1:35" s="176" customFormat="1" ht="12" x14ac:dyDescent="0.2">
      <c r="A28" s="166">
        <v>891780111</v>
      </c>
      <c r="B28" s="166" t="s">
        <v>54</v>
      </c>
      <c r="C28" s="42" t="s">
        <v>56</v>
      </c>
      <c r="D28" s="166" t="s">
        <v>60</v>
      </c>
      <c r="E28" s="167" t="s">
        <v>2085</v>
      </c>
      <c r="F28" s="166" t="s">
        <v>61</v>
      </c>
      <c r="G28" s="42" t="s">
        <v>61</v>
      </c>
      <c r="H28" s="42" t="s">
        <v>73</v>
      </c>
      <c r="I28" s="320">
        <v>6000000</v>
      </c>
      <c r="J28" s="323"/>
      <c r="K28" s="168"/>
      <c r="L28" s="168"/>
      <c r="M28" s="40">
        <f t="shared" si="2"/>
        <v>6000000</v>
      </c>
      <c r="N28" s="169">
        <v>63502474</v>
      </c>
      <c r="O28" s="169" t="s">
        <v>2086</v>
      </c>
      <c r="P28" s="169" t="s">
        <v>2087</v>
      </c>
      <c r="Q28" s="170">
        <v>44967</v>
      </c>
      <c r="R28" s="170">
        <v>44970</v>
      </c>
      <c r="S28" s="170">
        <v>45046</v>
      </c>
      <c r="T28" s="171"/>
      <c r="U28" s="171"/>
      <c r="V28" s="171"/>
      <c r="W28" s="171"/>
      <c r="X28" s="172">
        <v>6000000</v>
      </c>
      <c r="Y28" s="68">
        <f t="shared" si="0"/>
        <v>0</v>
      </c>
      <c r="Z28" s="65">
        <f t="shared" si="1"/>
        <v>1</v>
      </c>
      <c r="AA28" s="173">
        <v>36720411</v>
      </c>
      <c r="AB28" s="174" t="s">
        <v>2065</v>
      </c>
      <c r="AC28" s="42" t="s">
        <v>196</v>
      </c>
      <c r="AD28" s="42" t="s">
        <v>196</v>
      </c>
      <c r="AE28" s="171"/>
      <c r="AF28" s="184" t="s">
        <v>2088</v>
      </c>
      <c r="AG28" s="42" t="s">
        <v>192</v>
      </c>
      <c r="AH28" s="42" t="s">
        <v>192</v>
      </c>
    </row>
    <row r="29" spans="1:35" s="176" customFormat="1" ht="12" x14ac:dyDescent="0.2">
      <c r="A29" s="166">
        <v>891780111</v>
      </c>
      <c r="B29" s="166" t="s">
        <v>54</v>
      </c>
      <c r="C29" s="42" t="s">
        <v>56</v>
      </c>
      <c r="D29" s="166" t="s">
        <v>60</v>
      </c>
      <c r="E29" s="167" t="s">
        <v>2089</v>
      </c>
      <c r="F29" s="166" t="s">
        <v>61</v>
      </c>
      <c r="G29" s="42" t="s">
        <v>61</v>
      </c>
      <c r="H29" s="42" t="s">
        <v>73</v>
      </c>
      <c r="I29" s="320">
        <v>5600000</v>
      </c>
      <c r="J29" s="323"/>
      <c r="K29" s="168"/>
      <c r="L29" s="168"/>
      <c r="M29" s="40">
        <f t="shared" si="2"/>
        <v>5600000</v>
      </c>
      <c r="N29" s="169">
        <v>57444127</v>
      </c>
      <c r="O29" s="169" t="s">
        <v>2090</v>
      </c>
      <c r="P29" s="169" t="s">
        <v>2091</v>
      </c>
      <c r="Q29" s="170">
        <v>44967</v>
      </c>
      <c r="R29" s="170">
        <v>44970</v>
      </c>
      <c r="S29" s="170">
        <v>45015</v>
      </c>
      <c r="T29" s="171"/>
      <c r="U29" s="171"/>
      <c r="V29" s="171"/>
      <c r="W29" s="171"/>
      <c r="X29" s="172">
        <v>5600000</v>
      </c>
      <c r="Y29" s="68">
        <f t="shared" si="0"/>
        <v>0</v>
      </c>
      <c r="Z29" s="65">
        <f t="shared" si="1"/>
        <v>1</v>
      </c>
      <c r="AA29" s="173">
        <v>41947381</v>
      </c>
      <c r="AB29" s="174" t="s">
        <v>2023</v>
      </c>
      <c r="AC29" s="42" t="s">
        <v>196</v>
      </c>
      <c r="AD29" s="42" t="s">
        <v>196</v>
      </c>
      <c r="AE29" s="171"/>
      <c r="AF29" s="184" t="s">
        <v>2092</v>
      </c>
      <c r="AG29" s="42" t="s">
        <v>192</v>
      </c>
      <c r="AH29" s="42" t="s">
        <v>192</v>
      </c>
    </row>
    <row r="30" spans="1:35" s="176" customFormat="1" ht="12" x14ac:dyDescent="0.2">
      <c r="A30" s="166">
        <v>891780111</v>
      </c>
      <c r="B30" s="166" t="s">
        <v>54</v>
      </c>
      <c r="C30" s="42" t="s">
        <v>56</v>
      </c>
      <c r="D30" s="166" t="s">
        <v>60</v>
      </c>
      <c r="E30" s="167" t="s">
        <v>2093</v>
      </c>
      <c r="F30" s="166" t="s">
        <v>61</v>
      </c>
      <c r="G30" s="42" t="s">
        <v>61</v>
      </c>
      <c r="H30" s="42" t="s">
        <v>73</v>
      </c>
      <c r="I30" s="320">
        <v>21560000</v>
      </c>
      <c r="J30" s="323"/>
      <c r="K30" s="168"/>
      <c r="L30" s="168">
        <v>11760005</v>
      </c>
      <c r="M30" s="40">
        <f t="shared" si="2"/>
        <v>9799995</v>
      </c>
      <c r="N30" s="169">
        <v>36722507</v>
      </c>
      <c r="O30" s="169" t="s">
        <v>2094</v>
      </c>
      <c r="P30" s="169" t="s">
        <v>2095</v>
      </c>
      <c r="Q30" s="170">
        <v>44971</v>
      </c>
      <c r="R30" s="170">
        <v>44971</v>
      </c>
      <c r="S30" s="170">
        <v>45290</v>
      </c>
      <c r="T30" s="171" t="s">
        <v>192</v>
      </c>
      <c r="U30" s="171">
        <v>45128</v>
      </c>
      <c r="V30" s="171"/>
      <c r="W30" s="171"/>
      <c r="X30" s="172">
        <v>9799995</v>
      </c>
      <c r="Y30" s="68">
        <f t="shared" si="0"/>
        <v>0</v>
      </c>
      <c r="Z30" s="65">
        <f t="shared" si="1"/>
        <v>1</v>
      </c>
      <c r="AA30" s="173">
        <v>36720411</v>
      </c>
      <c r="AB30" s="174" t="s">
        <v>2065</v>
      </c>
      <c r="AC30" s="42" t="s">
        <v>196</v>
      </c>
      <c r="AD30" s="42" t="s">
        <v>196</v>
      </c>
      <c r="AE30" s="171"/>
      <c r="AF30" s="175" t="s">
        <v>2096</v>
      </c>
      <c r="AG30" s="42" t="s">
        <v>192</v>
      </c>
      <c r="AH30" s="42" t="s">
        <v>192</v>
      </c>
      <c r="AI30" s="185" t="s">
        <v>2097</v>
      </c>
    </row>
    <row r="31" spans="1:35" s="176" customFormat="1" ht="12" x14ac:dyDescent="0.2">
      <c r="A31" s="166">
        <v>891780111</v>
      </c>
      <c r="B31" s="166" t="s">
        <v>54</v>
      </c>
      <c r="C31" s="42" t="s">
        <v>56</v>
      </c>
      <c r="D31" s="166" t="s">
        <v>60</v>
      </c>
      <c r="E31" s="167" t="s">
        <v>2098</v>
      </c>
      <c r="F31" s="166" t="s">
        <v>61</v>
      </c>
      <c r="G31" s="42" t="s">
        <v>61</v>
      </c>
      <c r="H31" s="42" t="s">
        <v>73</v>
      </c>
      <c r="I31" s="320">
        <v>5400000</v>
      </c>
      <c r="J31" s="323"/>
      <c r="K31" s="168"/>
      <c r="L31" s="168"/>
      <c r="M31" s="40">
        <f t="shared" si="2"/>
        <v>5400000</v>
      </c>
      <c r="N31" s="169">
        <v>1083020130</v>
      </c>
      <c r="O31" s="169" t="s">
        <v>2099</v>
      </c>
      <c r="P31" s="169" t="s">
        <v>2100</v>
      </c>
      <c r="Q31" s="170">
        <v>44984</v>
      </c>
      <c r="R31" s="170">
        <v>44986</v>
      </c>
      <c r="S31" s="170">
        <v>45040</v>
      </c>
      <c r="T31" s="171"/>
      <c r="U31" s="171"/>
      <c r="V31" s="171"/>
      <c r="W31" s="171"/>
      <c r="X31" s="172">
        <v>5400000</v>
      </c>
      <c r="Y31" s="68">
        <f t="shared" si="0"/>
        <v>0</v>
      </c>
      <c r="Z31" s="65">
        <f t="shared" si="1"/>
        <v>1</v>
      </c>
      <c r="AA31" s="173">
        <v>36720411</v>
      </c>
      <c r="AB31" s="174" t="s">
        <v>2065</v>
      </c>
      <c r="AC31" s="42" t="s">
        <v>196</v>
      </c>
      <c r="AD31" s="42" t="s">
        <v>196</v>
      </c>
      <c r="AE31" s="171"/>
      <c r="AF31" s="184" t="s">
        <v>2101</v>
      </c>
      <c r="AG31" s="42" t="s">
        <v>192</v>
      </c>
      <c r="AH31" s="42" t="s">
        <v>192</v>
      </c>
    </row>
    <row r="32" spans="1:35" s="176" customFormat="1" ht="12" x14ac:dyDescent="0.2">
      <c r="A32" s="166">
        <v>891780111</v>
      </c>
      <c r="B32" s="166" t="s">
        <v>54</v>
      </c>
      <c r="C32" s="42" t="s">
        <v>56</v>
      </c>
      <c r="D32" s="166" t="s">
        <v>60</v>
      </c>
      <c r="E32" s="167" t="s">
        <v>2102</v>
      </c>
      <c r="F32" s="166" t="s">
        <v>61</v>
      </c>
      <c r="G32" s="42" t="s">
        <v>61</v>
      </c>
      <c r="H32" s="42" t="s">
        <v>73</v>
      </c>
      <c r="I32" s="320">
        <v>47500000</v>
      </c>
      <c r="J32" s="323"/>
      <c r="K32" s="168"/>
      <c r="L32" s="168"/>
      <c r="M32" s="40">
        <f t="shared" si="2"/>
        <v>47500000</v>
      </c>
      <c r="N32" s="169">
        <v>36726367</v>
      </c>
      <c r="O32" s="169" t="s">
        <v>2103</v>
      </c>
      <c r="P32" s="169" t="s">
        <v>2104</v>
      </c>
      <c r="Q32" s="170">
        <v>44984</v>
      </c>
      <c r="R32" s="170">
        <v>44986</v>
      </c>
      <c r="S32" s="170">
        <v>45245</v>
      </c>
      <c r="T32" s="171"/>
      <c r="U32" s="171"/>
      <c r="V32" s="171"/>
      <c r="W32" s="171"/>
      <c r="X32" s="172">
        <v>30000000</v>
      </c>
      <c r="Y32" s="68">
        <f t="shared" si="0"/>
        <v>17500000</v>
      </c>
      <c r="Z32" s="65">
        <f t="shared" si="1"/>
        <v>0.63157894736842102</v>
      </c>
      <c r="AA32" s="173">
        <v>85472735</v>
      </c>
      <c r="AB32" s="174" t="s">
        <v>2105</v>
      </c>
      <c r="AC32" s="42" t="s">
        <v>196</v>
      </c>
      <c r="AD32" s="42" t="s">
        <v>196</v>
      </c>
      <c r="AE32" s="171"/>
      <c r="AF32" s="184" t="s">
        <v>2106</v>
      </c>
      <c r="AG32" s="42" t="s">
        <v>192</v>
      </c>
      <c r="AH32" s="42" t="s">
        <v>192</v>
      </c>
    </row>
    <row r="33" spans="1:34" s="176" customFormat="1" ht="12" x14ac:dyDescent="0.2">
      <c r="A33" s="166">
        <v>891780111</v>
      </c>
      <c r="B33" s="166" t="s">
        <v>54</v>
      </c>
      <c r="C33" s="42" t="s">
        <v>56</v>
      </c>
      <c r="D33" s="166" t="s">
        <v>60</v>
      </c>
      <c r="E33" s="167" t="s">
        <v>2107</v>
      </c>
      <c r="F33" s="166" t="s">
        <v>61</v>
      </c>
      <c r="G33" s="42" t="s">
        <v>61</v>
      </c>
      <c r="H33" s="42" t="s">
        <v>73</v>
      </c>
      <c r="I33" s="320">
        <v>10000000</v>
      </c>
      <c r="J33" s="323"/>
      <c r="K33" s="168"/>
      <c r="L33" s="168"/>
      <c r="M33" s="40">
        <f t="shared" si="2"/>
        <v>10000000</v>
      </c>
      <c r="N33" s="169">
        <v>9010943529</v>
      </c>
      <c r="O33" s="169" t="s">
        <v>2108</v>
      </c>
      <c r="P33" s="169" t="s">
        <v>2109</v>
      </c>
      <c r="Q33" s="170">
        <v>44988</v>
      </c>
      <c r="R33" s="170">
        <v>44988</v>
      </c>
      <c r="S33" s="170">
        <v>45104</v>
      </c>
      <c r="T33" s="171"/>
      <c r="U33" s="171"/>
      <c r="V33" s="171"/>
      <c r="W33" s="171"/>
      <c r="X33" s="172">
        <v>9798165</v>
      </c>
      <c r="Y33" s="68">
        <f t="shared" si="0"/>
        <v>201835</v>
      </c>
      <c r="Z33" s="65">
        <f t="shared" si="1"/>
        <v>0.97981649999999998</v>
      </c>
      <c r="AA33" s="173">
        <v>57426458</v>
      </c>
      <c r="AB33" s="174" t="s">
        <v>1995</v>
      </c>
      <c r="AC33" s="42" t="s">
        <v>196</v>
      </c>
      <c r="AD33" s="42" t="s">
        <v>196</v>
      </c>
      <c r="AE33" s="171"/>
      <c r="AF33" s="175" t="s">
        <v>2110</v>
      </c>
      <c r="AG33" s="42" t="s">
        <v>192</v>
      </c>
      <c r="AH33" s="42" t="s">
        <v>191</v>
      </c>
    </row>
    <row r="34" spans="1:34" s="176" customFormat="1" ht="12" x14ac:dyDescent="0.2">
      <c r="A34" s="166">
        <v>891780111</v>
      </c>
      <c r="B34" s="166" t="s">
        <v>54</v>
      </c>
      <c r="C34" s="42" t="s">
        <v>56</v>
      </c>
      <c r="D34" s="166" t="s">
        <v>60</v>
      </c>
      <c r="E34" s="167" t="s">
        <v>2111</v>
      </c>
      <c r="F34" s="166" t="s">
        <v>61</v>
      </c>
      <c r="G34" s="42" t="s">
        <v>61</v>
      </c>
      <c r="H34" s="42" t="s">
        <v>73</v>
      </c>
      <c r="I34" s="320">
        <v>10000000</v>
      </c>
      <c r="J34" s="323"/>
      <c r="K34" s="168"/>
      <c r="L34" s="168"/>
      <c r="M34" s="40">
        <f t="shared" si="2"/>
        <v>10000000</v>
      </c>
      <c r="N34" s="169">
        <v>901238253</v>
      </c>
      <c r="O34" s="169" t="s">
        <v>2112</v>
      </c>
      <c r="P34" s="169" t="s">
        <v>2113</v>
      </c>
      <c r="Q34" s="170">
        <v>44988</v>
      </c>
      <c r="R34" s="170">
        <v>44988</v>
      </c>
      <c r="S34" s="170">
        <v>45104</v>
      </c>
      <c r="T34" s="171"/>
      <c r="U34" s="171"/>
      <c r="V34" s="171"/>
      <c r="W34" s="171"/>
      <c r="X34" s="172">
        <v>5832600</v>
      </c>
      <c r="Y34" s="68">
        <f t="shared" si="0"/>
        <v>4167400</v>
      </c>
      <c r="Z34" s="65">
        <f t="shared" si="1"/>
        <v>0.58326</v>
      </c>
      <c r="AA34" s="173">
        <v>57426458</v>
      </c>
      <c r="AB34" s="174" t="s">
        <v>1995</v>
      </c>
      <c r="AC34" s="42" t="s">
        <v>196</v>
      </c>
      <c r="AD34" s="42" t="s">
        <v>196</v>
      </c>
      <c r="AE34" s="171"/>
      <c r="AF34" s="175" t="s">
        <v>2114</v>
      </c>
      <c r="AG34" s="42" t="s">
        <v>192</v>
      </c>
      <c r="AH34" s="42" t="s">
        <v>191</v>
      </c>
    </row>
    <row r="35" spans="1:34" s="176" customFormat="1" ht="12" x14ac:dyDescent="0.2">
      <c r="A35" s="166">
        <v>891780111</v>
      </c>
      <c r="B35" s="166" t="s">
        <v>54</v>
      </c>
      <c r="C35" s="42" t="s">
        <v>56</v>
      </c>
      <c r="D35" s="166" t="s">
        <v>60</v>
      </c>
      <c r="E35" s="167" t="s">
        <v>2115</v>
      </c>
      <c r="F35" s="166" t="s">
        <v>61</v>
      </c>
      <c r="G35" s="42" t="s">
        <v>61</v>
      </c>
      <c r="H35" s="42" t="s">
        <v>73</v>
      </c>
      <c r="I35" s="320">
        <v>42245000</v>
      </c>
      <c r="J35" s="323"/>
      <c r="K35" s="168"/>
      <c r="L35" s="168"/>
      <c r="M35" s="40">
        <f t="shared" si="2"/>
        <v>42245000</v>
      </c>
      <c r="N35" s="169">
        <v>900929739</v>
      </c>
      <c r="O35" s="169" t="s">
        <v>152</v>
      </c>
      <c r="P35" s="169" t="s">
        <v>2116</v>
      </c>
      <c r="Q35" s="170">
        <v>45000</v>
      </c>
      <c r="R35" s="170">
        <v>45000</v>
      </c>
      <c r="S35" s="170">
        <v>45228</v>
      </c>
      <c r="T35" s="171"/>
      <c r="U35" s="171"/>
      <c r="V35" s="171"/>
      <c r="W35" s="171"/>
      <c r="X35" s="172">
        <v>14206300</v>
      </c>
      <c r="Y35" s="68">
        <f t="shared" si="0"/>
        <v>28038700</v>
      </c>
      <c r="Z35" s="65">
        <f t="shared" si="1"/>
        <v>0.33628358385607765</v>
      </c>
      <c r="AA35" s="173">
        <v>57426458</v>
      </c>
      <c r="AB35" s="174" t="s">
        <v>1995</v>
      </c>
      <c r="AC35" s="42" t="s">
        <v>196</v>
      </c>
      <c r="AD35" s="42" t="s">
        <v>196</v>
      </c>
      <c r="AE35" s="171"/>
      <c r="AF35" s="175" t="s">
        <v>2117</v>
      </c>
      <c r="AG35" s="42" t="s">
        <v>192</v>
      </c>
      <c r="AH35" s="42" t="s">
        <v>191</v>
      </c>
    </row>
    <row r="36" spans="1:34" s="176" customFormat="1" ht="12" x14ac:dyDescent="0.2">
      <c r="A36" s="166">
        <v>891780111</v>
      </c>
      <c r="B36" s="166" t="s">
        <v>54</v>
      </c>
      <c r="C36" s="42" t="s">
        <v>56</v>
      </c>
      <c r="D36" s="166" t="s">
        <v>60</v>
      </c>
      <c r="E36" s="167" t="s">
        <v>2118</v>
      </c>
      <c r="F36" s="166" t="s">
        <v>61</v>
      </c>
      <c r="G36" s="42" t="s">
        <v>61</v>
      </c>
      <c r="H36" s="42" t="s">
        <v>73</v>
      </c>
      <c r="I36" s="320">
        <v>15000000</v>
      </c>
      <c r="J36" s="323"/>
      <c r="K36" s="168"/>
      <c r="L36" s="168"/>
      <c r="M36" s="40">
        <f t="shared" si="2"/>
        <v>15000000</v>
      </c>
      <c r="N36" s="169">
        <v>1082845810</v>
      </c>
      <c r="O36" s="169" t="s">
        <v>1993</v>
      </c>
      <c r="P36" s="169" t="s">
        <v>2119</v>
      </c>
      <c r="Q36" s="170">
        <v>45042</v>
      </c>
      <c r="R36" s="170">
        <v>45042</v>
      </c>
      <c r="S36" s="170">
        <v>45107</v>
      </c>
      <c r="T36" s="171"/>
      <c r="U36" s="171"/>
      <c r="V36" s="171"/>
      <c r="W36" s="171"/>
      <c r="X36" s="172">
        <v>15000000</v>
      </c>
      <c r="Y36" s="68">
        <f t="shared" si="0"/>
        <v>0</v>
      </c>
      <c r="Z36" s="65">
        <f t="shared" si="1"/>
        <v>1</v>
      </c>
      <c r="AA36" s="173">
        <v>57426458</v>
      </c>
      <c r="AB36" s="174" t="s">
        <v>1995</v>
      </c>
      <c r="AC36" s="42" t="s">
        <v>196</v>
      </c>
      <c r="AD36" s="42" t="s">
        <v>196</v>
      </c>
      <c r="AE36" s="171"/>
      <c r="AF36" s="184" t="s">
        <v>2120</v>
      </c>
      <c r="AG36" s="42" t="s">
        <v>192</v>
      </c>
      <c r="AH36" s="42" t="s">
        <v>192</v>
      </c>
    </row>
    <row r="37" spans="1:34" s="176" customFormat="1" ht="12" x14ac:dyDescent="0.2">
      <c r="A37" s="166">
        <v>891780111</v>
      </c>
      <c r="B37" s="166" t="s">
        <v>54</v>
      </c>
      <c r="C37" s="42" t="s">
        <v>56</v>
      </c>
      <c r="D37" s="166" t="s">
        <v>60</v>
      </c>
      <c r="E37" s="167" t="s">
        <v>2121</v>
      </c>
      <c r="F37" s="166" t="s">
        <v>61</v>
      </c>
      <c r="G37" s="42" t="s">
        <v>61</v>
      </c>
      <c r="H37" s="42" t="s">
        <v>73</v>
      </c>
      <c r="I37" s="320">
        <v>11100000</v>
      </c>
      <c r="J37" s="323"/>
      <c r="K37" s="168"/>
      <c r="L37" s="168"/>
      <c r="M37" s="40">
        <f t="shared" si="2"/>
        <v>11100000</v>
      </c>
      <c r="N37" s="169">
        <v>57442105</v>
      </c>
      <c r="O37" s="169" t="s">
        <v>1998</v>
      </c>
      <c r="P37" s="169" t="s">
        <v>2122</v>
      </c>
      <c r="Q37" s="170">
        <v>45042</v>
      </c>
      <c r="R37" s="170">
        <v>45042</v>
      </c>
      <c r="S37" s="170">
        <v>45107</v>
      </c>
      <c r="T37" s="171"/>
      <c r="U37" s="171"/>
      <c r="V37" s="171"/>
      <c r="W37" s="171"/>
      <c r="X37" s="172">
        <v>11100000</v>
      </c>
      <c r="Y37" s="68">
        <f t="shared" si="0"/>
        <v>0</v>
      </c>
      <c r="Z37" s="65">
        <f t="shared" si="1"/>
        <v>1</v>
      </c>
      <c r="AA37" s="173">
        <v>57426459</v>
      </c>
      <c r="AB37" s="174" t="s">
        <v>1995</v>
      </c>
      <c r="AC37" s="42" t="s">
        <v>196</v>
      </c>
      <c r="AD37" s="42" t="s">
        <v>196</v>
      </c>
      <c r="AE37" s="171"/>
      <c r="AF37" s="184" t="s">
        <v>2123</v>
      </c>
      <c r="AG37" s="42" t="s">
        <v>192</v>
      </c>
      <c r="AH37" s="42" t="s">
        <v>192</v>
      </c>
    </row>
    <row r="38" spans="1:34" s="176" customFormat="1" ht="12" x14ac:dyDescent="0.2">
      <c r="A38" s="166">
        <v>891780111</v>
      </c>
      <c r="B38" s="166" t="s">
        <v>54</v>
      </c>
      <c r="C38" s="42" t="s">
        <v>56</v>
      </c>
      <c r="D38" s="166" t="s">
        <v>60</v>
      </c>
      <c r="E38" s="167" t="s">
        <v>2124</v>
      </c>
      <c r="F38" s="166" t="s">
        <v>61</v>
      </c>
      <c r="G38" s="42" t="s">
        <v>61</v>
      </c>
      <c r="H38" s="42" t="s">
        <v>73</v>
      </c>
      <c r="I38" s="320">
        <v>11100000</v>
      </c>
      <c r="J38" s="323"/>
      <c r="K38" s="168"/>
      <c r="L38" s="168"/>
      <c r="M38" s="40">
        <f t="shared" si="2"/>
        <v>11100000</v>
      </c>
      <c r="N38" s="169">
        <v>80865227</v>
      </c>
      <c r="O38" s="169" t="s">
        <v>2010</v>
      </c>
      <c r="P38" s="169" t="s">
        <v>2125</v>
      </c>
      <c r="Q38" s="170">
        <v>45042</v>
      </c>
      <c r="R38" s="170">
        <v>45042</v>
      </c>
      <c r="S38" s="170">
        <v>45107</v>
      </c>
      <c r="T38" s="171"/>
      <c r="U38" s="171"/>
      <c r="V38" s="171"/>
      <c r="W38" s="171"/>
      <c r="X38" s="172">
        <v>11100000</v>
      </c>
      <c r="Y38" s="68">
        <f t="shared" si="0"/>
        <v>0</v>
      </c>
      <c r="Z38" s="65">
        <f t="shared" si="1"/>
        <v>1</v>
      </c>
      <c r="AA38" s="173">
        <v>37331294</v>
      </c>
      <c r="AB38" s="174" t="s">
        <v>2126</v>
      </c>
      <c r="AC38" s="42" t="s">
        <v>196</v>
      </c>
      <c r="AD38" s="42" t="s">
        <v>196</v>
      </c>
      <c r="AE38" s="171"/>
      <c r="AF38" s="184" t="s">
        <v>2127</v>
      </c>
      <c r="AG38" s="42" t="s">
        <v>192</v>
      </c>
      <c r="AH38" s="42" t="s">
        <v>192</v>
      </c>
    </row>
    <row r="39" spans="1:34" s="176" customFormat="1" ht="12" x14ac:dyDescent="0.2">
      <c r="A39" s="166">
        <v>891780111</v>
      </c>
      <c r="B39" s="166" t="s">
        <v>54</v>
      </c>
      <c r="C39" s="42" t="s">
        <v>56</v>
      </c>
      <c r="D39" s="166" t="s">
        <v>60</v>
      </c>
      <c r="E39" s="167" t="s">
        <v>2128</v>
      </c>
      <c r="F39" s="166" t="s">
        <v>61</v>
      </c>
      <c r="G39" s="42" t="s">
        <v>61</v>
      </c>
      <c r="H39" s="42" t="s">
        <v>73</v>
      </c>
      <c r="I39" s="320">
        <v>11100000</v>
      </c>
      <c r="J39" s="323"/>
      <c r="K39" s="168"/>
      <c r="L39" s="168"/>
      <c r="M39" s="40">
        <f t="shared" si="2"/>
        <v>11100000</v>
      </c>
      <c r="N39" s="169">
        <v>57170631</v>
      </c>
      <c r="O39" s="169" t="s">
        <v>2072</v>
      </c>
      <c r="P39" s="169" t="s">
        <v>2035</v>
      </c>
      <c r="Q39" s="170">
        <v>45042</v>
      </c>
      <c r="R39" s="170">
        <v>45042</v>
      </c>
      <c r="S39" s="170">
        <v>45107</v>
      </c>
      <c r="T39" s="171"/>
      <c r="U39" s="171"/>
      <c r="V39" s="171"/>
      <c r="W39" s="171"/>
      <c r="X39" s="172">
        <v>11100000</v>
      </c>
      <c r="Y39" s="68">
        <f t="shared" si="0"/>
        <v>0</v>
      </c>
      <c r="Z39" s="65">
        <f t="shared" si="1"/>
        <v>1</v>
      </c>
      <c r="AA39" s="173">
        <v>57426458</v>
      </c>
      <c r="AB39" s="174" t="s">
        <v>1995</v>
      </c>
      <c r="AC39" s="42" t="s">
        <v>196</v>
      </c>
      <c r="AD39" s="42" t="s">
        <v>196</v>
      </c>
      <c r="AE39" s="171"/>
      <c r="AF39" s="184" t="s">
        <v>2129</v>
      </c>
      <c r="AG39" s="42" t="s">
        <v>192</v>
      </c>
      <c r="AH39" s="42" t="s">
        <v>192</v>
      </c>
    </row>
    <row r="40" spans="1:34" s="176" customFormat="1" ht="12" x14ac:dyDescent="0.2">
      <c r="A40" s="166">
        <v>891780111</v>
      </c>
      <c r="B40" s="166" t="s">
        <v>54</v>
      </c>
      <c r="C40" s="42" t="s">
        <v>56</v>
      </c>
      <c r="D40" s="166" t="s">
        <v>60</v>
      </c>
      <c r="E40" s="167" t="s">
        <v>2130</v>
      </c>
      <c r="F40" s="166" t="s">
        <v>61</v>
      </c>
      <c r="G40" s="42" t="s">
        <v>61</v>
      </c>
      <c r="H40" s="42" t="s">
        <v>73</v>
      </c>
      <c r="I40" s="320">
        <v>11100000</v>
      </c>
      <c r="J40" s="323"/>
      <c r="K40" s="168"/>
      <c r="L40" s="168"/>
      <c r="M40" s="40">
        <f t="shared" si="2"/>
        <v>11100000</v>
      </c>
      <c r="N40" s="169">
        <v>57443718</v>
      </c>
      <c r="O40" s="169" t="s">
        <v>2043</v>
      </c>
      <c r="P40" s="169" t="s">
        <v>2131</v>
      </c>
      <c r="Q40" s="170">
        <v>45043</v>
      </c>
      <c r="R40" s="170">
        <v>45043</v>
      </c>
      <c r="S40" s="170">
        <v>45107</v>
      </c>
      <c r="T40" s="171"/>
      <c r="U40" s="171"/>
      <c r="V40" s="171"/>
      <c r="W40" s="171"/>
      <c r="X40" s="172">
        <v>11100000</v>
      </c>
      <c r="Y40" s="68">
        <f t="shared" si="0"/>
        <v>0</v>
      </c>
      <c r="Z40" s="65">
        <f t="shared" si="1"/>
        <v>1</v>
      </c>
      <c r="AA40" s="173">
        <v>57426458</v>
      </c>
      <c r="AB40" s="174" t="s">
        <v>1995</v>
      </c>
      <c r="AC40" s="42" t="s">
        <v>196</v>
      </c>
      <c r="AD40" s="42" t="s">
        <v>196</v>
      </c>
      <c r="AE40" s="171"/>
      <c r="AF40" s="184" t="s">
        <v>2132</v>
      </c>
      <c r="AG40" s="42" t="s">
        <v>192</v>
      </c>
      <c r="AH40" s="42" t="s">
        <v>192</v>
      </c>
    </row>
    <row r="41" spans="1:34" s="176" customFormat="1" ht="12" x14ac:dyDescent="0.2">
      <c r="A41" s="166">
        <v>891780111</v>
      </c>
      <c r="B41" s="166" t="s">
        <v>54</v>
      </c>
      <c r="C41" s="42" t="s">
        <v>56</v>
      </c>
      <c r="D41" s="166" t="s">
        <v>60</v>
      </c>
      <c r="E41" s="167" t="s">
        <v>2133</v>
      </c>
      <c r="F41" s="166" t="s">
        <v>61</v>
      </c>
      <c r="G41" s="42" t="s">
        <v>61</v>
      </c>
      <c r="H41" s="42" t="s">
        <v>73</v>
      </c>
      <c r="I41" s="320">
        <v>9600000</v>
      </c>
      <c r="J41" s="323"/>
      <c r="K41" s="168"/>
      <c r="L41" s="168"/>
      <c r="M41" s="40">
        <f t="shared" si="2"/>
        <v>9600000</v>
      </c>
      <c r="N41" s="169">
        <v>1091678444</v>
      </c>
      <c r="O41" s="169" t="s">
        <v>2063</v>
      </c>
      <c r="P41" s="169" t="s">
        <v>2134</v>
      </c>
      <c r="Q41" s="170">
        <v>45044</v>
      </c>
      <c r="R41" s="170">
        <v>45044</v>
      </c>
      <c r="S41" s="170">
        <v>45107</v>
      </c>
      <c r="T41" s="171"/>
      <c r="U41" s="171"/>
      <c r="V41" s="171"/>
      <c r="W41" s="171"/>
      <c r="X41" s="172">
        <v>9600000</v>
      </c>
      <c r="Y41" s="68">
        <f t="shared" si="0"/>
        <v>0</v>
      </c>
      <c r="Z41" s="65">
        <f t="shared" si="1"/>
        <v>1</v>
      </c>
      <c r="AA41" s="173">
        <v>32770239</v>
      </c>
      <c r="AB41" s="174" t="s">
        <v>2135</v>
      </c>
      <c r="AC41" s="42" t="s">
        <v>196</v>
      </c>
      <c r="AD41" s="42" t="s">
        <v>196</v>
      </c>
      <c r="AE41" s="171"/>
      <c r="AF41" s="184" t="s">
        <v>2136</v>
      </c>
      <c r="AG41" s="42" t="s">
        <v>192</v>
      </c>
      <c r="AH41" s="42" t="s">
        <v>192</v>
      </c>
    </row>
    <row r="42" spans="1:34" s="176" customFormat="1" ht="12" x14ac:dyDescent="0.2">
      <c r="A42" s="166">
        <v>891780111</v>
      </c>
      <c r="B42" s="166" t="s">
        <v>54</v>
      </c>
      <c r="C42" s="42" t="s">
        <v>56</v>
      </c>
      <c r="D42" s="166" t="s">
        <v>60</v>
      </c>
      <c r="E42" s="167" t="s">
        <v>2137</v>
      </c>
      <c r="F42" s="166" t="s">
        <v>61</v>
      </c>
      <c r="G42" s="42" t="s">
        <v>61</v>
      </c>
      <c r="H42" s="42" t="s">
        <v>73</v>
      </c>
      <c r="I42" s="320">
        <v>9600000</v>
      </c>
      <c r="J42" s="323"/>
      <c r="K42" s="168"/>
      <c r="L42" s="168"/>
      <c r="M42" s="40">
        <f t="shared" si="2"/>
        <v>9600000</v>
      </c>
      <c r="N42" s="169">
        <v>84455243</v>
      </c>
      <c r="O42" s="169" t="s">
        <v>2068</v>
      </c>
      <c r="P42" s="169" t="s">
        <v>2138</v>
      </c>
      <c r="Q42" s="170">
        <v>45044</v>
      </c>
      <c r="R42" s="170">
        <v>45044</v>
      </c>
      <c r="S42" s="170">
        <v>45107</v>
      </c>
      <c r="T42" s="171"/>
      <c r="U42" s="171"/>
      <c r="V42" s="171"/>
      <c r="W42" s="171"/>
      <c r="X42" s="172">
        <v>9600000</v>
      </c>
      <c r="Y42" s="68">
        <f t="shared" si="0"/>
        <v>0</v>
      </c>
      <c r="Z42" s="65">
        <f t="shared" si="1"/>
        <v>1</v>
      </c>
      <c r="AA42" s="173">
        <v>12550726</v>
      </c>
      <c r="AB42" s="174" t="s">
        <v>2040</v>
      </c>
      <c r="AC42" s="42" t="s">
        <v>196</v>
      </c>
      <c r="AD42" s="42" t="s">
        <v>196</v>
      </c>
      <c r="AE42" s="171"/>
      <c r="AF42" s="184" t="s">
        <v>2139</v>
      </c>
      <c r="AG42" s="42" t="s">
        <v>192</v>
      </c>
      <c r="AH42" s="42" t="s">
        <v>192</v>
      </c>
    </row>
    <row r="43" spans="1:34" s="176" customFormat="1" ht="12" x14ac:dyDescent="0.2">
      <c r="A43" s="166">
        <v>891780111</v>
      </c>
      <c r="B43" s="166" t="s">
        <v>54</v>
      </c>
      <c r="C43" s="42" t="s">
        <v>56</v>
      </c>
      <c r="D43" s="166" t="s">
        <v>60</v>
      </c>
      <c r="E43" s="167" t="s">
        <v>2140</v>
      </c>
      <c r="F43" s="166" t="s">
        <v>61</v>
      </c>
      <c r="G43" s="42" t="s">
        <v>61</v>
      </c>
      <c r="H43" s="42" t="s">
        <v>73</v>
      </c>
      <c r="I43" s="320">
        <v>8400000</v>
      </c>
      <c r="J43" s="323"/>
      <c r="K43" s="168"/>
      <c r="L43" s="168"/>
      <c r="M43" s="40">
        <f t="shared" si="2"/>
        <v>8400000</v>
      </c>
      <c r="N43" s="183">
        <v>1082947568</v>
      </c>
      <c r="O43" s="169" t="s">
        <v>2074</v>
      </c>
      <c r="P43" s="169" t="s">
        <v>2141</v>
      </c>
      <c r="Q43" s="170">
        <v>45044</v>
      </c>
      <c r="R43" s="170">
        <v>45044</v>
      </c>
      <c r="S43" s="170">
        <v>45107</v>
      </c>
      <c r="T43" s="171"/>
      <c r="U43" s="171"/>
      <c r="V43" s="171"/>
      <c r="W43" s="171"/>
      <c r="X43" s="172">
        <v>8400000</v>
      </c>
      <c r="Y43" s="68">
        <f t="shared" si="0"/>
        <v>0</v>
      </c>
      <c r="Z43" s="65">
        <f t="shared" si="1"/>
        <v>1</v>
      </c>
      <c r="AA43" s="173">
        <v>37331294</v>
      </c>
      <c r="AB43" s="174" t="s">
        <v>2126</v>
      </c>
      <c r="AC43" s="42" t="s">
        <v>196</v>
      </c>
      <c r="AD43" s="42" t="s">
        <v>196</v>
      </c>
      <c r="AE43" s="171"/>
      <c r="AF43" s="184" t="s">
        <v>2142</v>
      </c>
      <c r="AG43" s="42" t="s">
        <v>192</v>
      </c>
      <c r="AH43" s="42" t="s">
        <v>192</v>
      </c>
    </row>
    <row r="44" spans="1:34" s="176" customFormat="1" ht="12" x14ac:dyDescent="0.2">
      <c r="A44" s="166">
        <v>891780111</v>
      </c>
      <c r="B44" s="166" t="s">
        <v>54</v>
      </c>
      <c r="C44" s="42" t="s">
        <v>56</v>
      </c>
      <c r="D44" s="166" t="s">
        <v>60</v>
      </c>
      <c r="E44" s="167" t="s">
        <v>2143</v>
      </c>
      <c r="F44" s="166" t="s">
        <v>61</v>
      </c>
      <c r="G44" s="42" t="s">
        <v>61</v>
      </c>
      <c r="H44" s="42" t="s">
        <v>73</v>
      </c>
      <c r="I44" s="321">
        <v>6400000</v>
      </c>
      <c r="J44" s="323"/>
      <c r="K44" s="168"/>
      <c r="L44" s="168"/>
      <c r="M44" s="40">
        <f t="shared" si="2"/>
        <v>6400000</v>
      </c>
      <c r="N44" s="169">
        <v>1083020130</v>
      </c>
      <c r="O44" s="169" t="s">
        <v>2099</v>
      </c>
      <c r="P44" s="42" t="s">
        <v>2144</v>
      </c>
      <c r="Q44" s="170">
        <v>45051</v>
      </c>
      <c r="R44" s="170">
        <v>45051</v>
      </c>
      <c r="S44" s="170">
        <v>45107</v>
      </c>
      <c r="T44" s="171"/>
      <c r="U44" s="171"/>
      <c r="V44" s="171"/>
      <c r="W44" s="171"/>
      <c r="X44" s="68">
        <v>6400000</v>
      </c>
      <c r="Y44" s="68">
        <f t="shared" si="0"/>
        <v>0</v>
      </c>
      <c r="Z44" s="65">
        <f t="shared" si="1"/>
        <v>1</v>
      </c>
      <c r="AA44" s="173">
        <v>41947381</v>
      </c>
      <c r="AB44" s="174" t="s">
        <v>2023</v>
      </c>
      <c r="AC44" s="42" t="s">
        <v>196</v>
      </c>
      <c r="AD44" s="42" t="s">
        <v>196</v>
      </c>
      <c r="AE44" s="171"/>
      <c r="AF44" s="175" t="s">
        <v>2145</v>
      </c>
      <c r="AG44" s="42" t="s">
        <v>192</v>
      </c>
      <c r="AH44" s="42" t="s">
        <v>192</v>
      </c>
    </row>
    <row r="45" spans="1:34" s="176" customFormat="1" ht="12" x14ac:dyDescent="0.2">
      <c r="A45" s="166">
        <v>891780111</v>
      </c>
      <c r="B45" s="166" t="s">
        <v>54</v>
      </c>
      <c r="C45" s="42" t="s">
        <v>56</v>
      </c>
      <c r="D45" s="166" t="s">
        <v>60</v>
      </c>
      <c r="E45" s="167" t="s">
        <v>2146</v>
      </c>
      <c r="F45" s="166" t="s">
        <v>61</v>
      </c>
      <c r="G45" s="42" t="s">
        <v>61</v>
      </c>
      <c r="H45" s="42" t="s">
        <v>73</v>
      </c>
      <c r="I45" s="321">
        <v>5000000</v>
      </c>
      <c r="J45" s="323"/>
      <c r="K45" s="168"/>
      <c r="L45" s="168"/>
      <c r="M45" s="40">
        <f t="shared" si="2"/>
        <v>5000000</v>
      </c>
      <c r="N45" s="169">
        <v>36669007</v>
      </c>
      <c r="O45" s="169" t="s">
        <v>2006</v>
      </c>
      <c r="P45" s="42" t="s">
        <v>2147</v>
      </c>
      <c r="Q45" s="170">
        <v>45051</v>
      </c>
      <c r="R45" s="170">
        <v>45051</v>
      </c>
      <c r="S45" s="170">
        <v>45107</v>
      </c>
      <c r="T45" s="171"/>
      <c r="U45" s="171"/>
      <c r="V45" s="171"/>
      <c r="W45" s="171"/>
      <c r="X45" s="68">
        <v>5000000</v>
      </c>
      <c r="Y45" s="68">
        <f t="shared" si="0"/>
        <v>0</v>
      </c>
      <c r="Z45" s="65">
        <f t="shared" si="1"/>
        <v>1</v>
      </c>
      <c r="AA45" s="173">
        <v>37331294</v>
      </c>
      <c r="AB45" s="174" t="s">
        <v>2126</v>
      </c>
      <c r="AC45" s="42" t="s">
        <v>196</v>
      </c>
      <c r="AD45" s="42" t="s">
        <v>196</v>
      </c>
      <c r="AE45" s="171"/>
      <c r="AF45" s="175" t="s">
        <v>2148</v>
      </c>
      <c r="AG45" s="42" t="s">
        <v>192</v>
      </c>
      <c r="AH45" s="42" t="s">
        <v>192</v>
      </c>
    </row>
    <row r="46" spans="1:34" s="176" customFormat="1" ht="12" x14ac:dyDescent="0.2">
      <c r="A46" s="166">
        <v>891780111</v>
      </c>
      <c r="B46" s="166" t="s">
        <v>54</v>
      </c>
      <c r="C46" s="42" t="s">
        <v>56</v>
      </c>
      <c r="D46" s="166" t="s">
        <v>60</v>
      </c>
      <c r="E46" s="167" t="s">
        <v>2149</v>
      </c>
      <c r="F46" s="166" t="s">
        <v>61</v>
      </c>
      <c r="G46" s="42" t="s">
        <v>61</v>
      </c>
      <c r="H46" s="42" t="s">
        <v>73</v>
      </c>
      <c r="I46" s="321">
        <v>4400000</v>
      </c>
      <c r="J46" s="323"/>
      <c r="K46" s="168"/>
      <c r="L46" s="168"/>
      <c r="M46" s="40">
        <f t="shared" si="2"/>
        <v>4400000</v>
      </c>
      <c r="N46" s="169">
        <v>36549178</v>
      </c>
      <c r="O46" s="169" t="s">
        <v>2002</v>
      </c>
      <c r="P46" s="42" t="s">
        <v>2150</v>
      </c>
      <c r="Q46" s="170">
        <v>45051</v>
      </c>
      <c r="R46" s="170">
        <v>45051</v>
      </c>
      <c r="S46" s="170">
        <v>45107</v>
      </c>
      <c r="T46" s="171"/>
      <c r="U46" s="171"/>
      <c r="V46" s="171"/>
      <c r="W46" s="171"/>
      <c r="X46" s="68">
        <v>4400000</v>
      </c>
      <c r="Y46" s="68">
        <f t="shared" si="0"/>
        <v>0</v>
      </c>
      <c r="Z46" s="65">
        <f t="shared" si="1"/>
        <v>1</v>
      </c>
      <c r="AA46" s="173">
        <v>37331294</v>
      </c>
      <c r="AB46" s="174" t="s">
        <v>2126</v>
      </c>
      <c r="AC46" s="42" t="s">
        <v>196</v>
      </c>
      <c r="AD46" s="42" t="s">
        <v>196</v>
      </c>
      <c r="AE46" s="171"/>
      <c r="AF46" s="175" t="s">
        <v>2151</v>
      </c>
      <c r="AG46" s="42" t="s">
        <v>192</v>
      </c>
      <c r="AH46" s="42" t="s">
        <v>192</v>
      </c>
    </row>
    <row r="47" spans="1:34" s="176" customFormat="1" ht="12" x14ac:dyDescent="0.2">
      <c r="A47" s="166">
        <v>891780111</v>
      </c>
      <c r="B47" s="166" t="s">
        <v>54</v>
      </c>
      <c r="C47" s="42" t="s">
        <v>56</v>
      </c>
      <c r="D47" s="166" t="s">
        <v>60</v>
      </c>
      <c r="E47" s="167" t="s">
        <v>2152</v>
      </c>
      <c r="F47" s="166" t="s">
        <v>61</v>
      </c>
      <c r="G47" s="42" t="s">
        <v>61</v>
      </c>
      <c r="H47" s="42" t="s">
        <v>73</v>
      </c>
      <c r="I47" s="321">
        <v>4400000</v>
      </c>
      <c r="J47" s="323"/>
      <c r="K47" s="168"/>
      <c r="L47" s="168"/>
      <c r="M47" s="40">
        <f t="shared" si="2"/>
        <v>4400000</v>
      </c>
      <c r="N47" s="169">
        <v>57434888</v>
      </c>
      <c r="O47" s="182" t="s">
        <v>2025</v>
      </c>
      <c r="P47" s="42" t="s">
        <v>2153</v>
      </c>
      <c r="Q47" s="170">
        <v>45051</v>
      </c>
      <c r="R47" s="170">
        <v>45051</v>
      </c>
      <c r="S47" s="170">
        <v>45107</v>
      </c>
      <c r="T47" s="171"/>
      <c r="U47" s="171"/>
      <c r="V47" s="171"/>
      <c r="W47" s="171"/>
      <c r="X47" s="68">
        <v>4400000</v>
      </c>
      <c r="Y47" s="68">
        <f t="shared" si="0"/>
        <v>0</v>
      </c>
      <c r="Z47" s="65">
        <f t="shared" si="1"/>
        <v>1</v>
      </c>
      <c r="AA47" s="173">
        <v>57426458</v>
      </c>
      <c r="AB47" s="174" t="s">
        <v>1995</v>
      </c>
      <c r="AC47" s="42" t="s">
        <v>196</v>
      </c>
      <c r="AD47" s="42" t="s">
        <v>196</v>
      </c>
      <c r="AE47" s="171"/>
      <c r="AF47" s="175" t="s">
        <v>2154</v>
      </c>
      <c r="AG47" s="42" t="s">
        <v>192</v>
      </c>
      <c r="AH47" s="42" t="s">
        <v>192</v>
      </c>
    </row>
    <row r="48" spans="1:34" s="176" customFormat="1" ht="12" x14ac:dyDescent="0.2">
      <c r="A48" s="166">
        <v>891780111</v>
      </c>
      <c r="B48" s="166" t="s">
        <v>54</v>
      </c>
      <c r="C48" s="42" t="s">
        <v>56</v>
      </c>
      <c r="D48" s="166" t="s">
        <v>60</v>
      </c>
      <c r="E48" s="167" t="s">
        <v>2155</v>
      </c>
      <c r="F48" s="166" t="s">
        <v>61</v>
      </c>
      <c r="G48" s="42" t="s">
        <v>61</v>
      </c>
      <c r="H48" s="42" t="s">
        <v>73</v>
      </c>
      <c r="I48" s="321">
        <v>4000000</v>
      </c>
      <c r="J48" s="323"/>
      <c r="K48" s="168"/>
      <c r="L48" s="168"/>
      <c r="M48" s="40">
        <f t="shared" si="2"/>
        <v>4000000</v>
      </c>
      <c r="N48" s="169">
        <v>1082929016</v>
      </c>
      <c r="O48" s="169" t="s">
        <v>2051</v>
      </c>
      <c r="P48" s="42" t="s">
        <v>2156</v>
      </c>
      <c r="Q48" s="170">
        <v>45056</v>
      </c>
      <c r="R48" s="170">
        <v>45056</v>
      </c>
      <c r="S48" s="170">
        <v>45107</v>
      </c>
      <c r="T48" s="171"/>
      <c r="U48" s="171"/>
      <c r="V48" s="171"/>
      <c r="W48" s="171"/>
      <c r="X48" s="68">
        <v>4000000</v>
      </c>
      <c r="Y48" s="68">
        <f t="shared" si="0"/>
        <v>0</v>
      </c>
      <c r="Z48" s="65">
        <f t="shared" si="1"/>
        <v>1</v>
      </c>
      <c r="AA48" s="173">
        <v>37331294</v>
      </c>
      <c r="AB48" s="174" t="s">
        <v>2126</v>
      </c>
      <c r="AC48" s="42" t="s">
        <v>196</v>
      </c>
      <c r="AD48" s="42" t="s">
        <v>196</v>
      </c>
      <c r="AE48" s="171"/>
      <c r="AF48" s="175" t="s">
        <v>2157</v>
      </c>
      <c r="AG48" s="42" t="s">
        <v>192</v>
      </c>
      <c r="AH48" s="42" t="s">
        <v>192</v>
      </c>
    </row>
    <row r="49" spans="1:34" s="176" customFormat="1" ht="12" x14ac:dyDescent="0.2">
      <c r="A49" s="166">
        <v>891780111</v>
      </c>
      <c r="B49" s="166" t="s">
        <v>54</v>
      </c>
      <c r="C49" s="42" t="s">
        <v>56</v>
      </c>
      <c r="D49" s="166" t="s">
        <v>60</v>
      </c>
      <c r="E49" s="167" t="s">
        <v>2158</v>
      </c>
      <c r="F49" s="166" t="s">
        <v>61</v>
      </c>
      <c r="G49" s="42" t="s">
        <v>61</v>
      </c>
      <c r="H49" s="42" t="s">
        <v>73</v>
      </c>
      <c r="I49" s="321">
        <v>3500000</v>
      </c>
      <c r="J49" s="323"/>
      <c r="K49" s="168"/>
      <c r="L49" s="168"/>
      <c r="M49" s="40">
        <f t="shared" si="2"/>
        <v>3500000</v>
      </c>
      <c r="N49" s="169">
        <v>1091681564</v>
      </c>
      <c r="O49" s="42" t="s">
        <v>2159</v>
      </c>
      <c r="P49" s="42" t="s">
        <v>2160</v>
      </c>
      <c r="Q49" s="170">
        <v>45072</v>
      </c>
      <c r="R49" s="170">
        <v>45072</v>
      </c>
      <c r="S49" s="170">
        <v>45118</v>
      </c>
      <c r="T49" s="171"/>
      <c r="U49" s="171"/>
      <c r="V49" s="171"/>
      <c r="W49" s="171"/>
      <c r="X49" s="68">
        <v>3500000</v>
      </c>
      <c r="Y49" s="68">
        <f t="shared" si="0"/>
        <v>0</v>
      </c>
      <c r="Z49" s="65">
        <f t="shared" si="1"/>
        <v>1</v>
      </c>
      <c r="AA49" s="173">
        <v>57426458</v>
      </c>
      <c r="AB49" s="174" t="s">
        <v>1995</v>
      </c>
      <c r="AC49" s="42" t="s">
        <v>196</v>
      </c>
      <c r="AD49" s="42" t="s">
        <v>196</v>
      </c>
      <c r="AE49" s="171"/>
      <c r="AF49" s="184" t="s">
        <v>2161</v>
      </c>
      <c r="AG49" s="42" t="s">
        <v>192</v>
      </c>
      <c r="AH49" s="42" t="s">
        <v>192</v>
      </c>
    </row>
    <row r="50" spans="1:34" s="176" customFormat="1" ht="12" x14ac:dyDescent="0.2">
      <c r="A50" s="166">
        <v>891780111</v>
      </c>
      <c r="B50" s="166" t="s">
        <v>54</v>
      </c>
      <c r="C50" s="42" t="s">
        <v>56</v>
      </c>
      <c r="D50" s="166" t="s">
        <v>60</v>
      </c>
      <c r="E50" s="167" t="s">
        <v>2162</v>
      </c>
      <c r="F50" s="166" t="s">
        <v>61</v>
      </c>
      <c r="G50" s="42" t="s">
        <v>61</v>
      </c>
      <c r="H50" s="42" t="s">
        <v>73</v>
      </c>
      <c r="I50" s="321">
        <v>9600000</v>
      </c>
      <c r="J50" s="323"/>
      <c r="K50" s="168"/>
      <c r="L50" s="168"/>
      <c r="M50" s="40">
        <f t="shared" si="2"/>
        <v>9600000</v>
      </c>
      <c r="N50" s="169">
        <v>49607154</v>
      </c>
      <c r="O50" s="42" t="s">
        <v>2163</v>
      </c>
      <c r="P50" s="42" t="s">
        <v>2164</v>
      </c>
      <c r="Q50" s="170">
        <v>45085</v>
      </c>
      <c r="R50" s="170">
        <v>45085</v>
      </c>
      <c r="S50" s="170">
        <v>45177</v>
      </c>
      <c r="T50" s="171"/>
      <c r="U50" s="171"/>
      <c r="V50" s="171"/>
      <c r="W50" s="171"/>
      <c r="X50" s="68">
        <v>6400000</v>
      </c>
      <c r="Y50" s="68">
        <f t="shared" si="0"/>
        <v>3200000</v>
      </c>
      <c r="Z50" s="65">
        <f t="shared" si="1"/>
        <v>0.66666666666666663</v>
      </c>
      <c r="AA50" s="173">
        <v>57426458</v>
      </c>
      <c r="AB50" s="174" t="s">
        <v>1995</v>
      </c>
      <c r="AC50" s="42" t="s">
        <v>196</v>
      </c>
      <c r="AD50" s="42" t="s">
        <v>196</v>
      </c>
      <c r="AE50" s="171"/>
      <c r="AF50" s="184" t="s">
        <v>2165</v>
      </c>
      <c r="AG50" s="42" t="s">
        <v>192</v>
      </c>
      <c r="AH50" s="42" t="s">
        <v>192</v>
      </c>
    </row>
    <row r="51" spans="1:34" s="176" customFormat="1" ht="12" x14ac:dyDescent="0.2">
      <c r="A51" s="166">
        <v>891780111</v>
      </c>
      <c r="B51" s="166" t="s">
        <v>54</v>
      </c>
      <c r="C51" s="42" t="s">
        <v>56</v>
      </c>
      <c r="D51" s="166" t="s">
        <v>60</v>
      </c>
      <c r="E51" s="167" t="s">
        <v>2166</v>
      </c>
      <c r="F51" s="166" t="s">
        <v>61</v>
      </c>
      <c r="G51" s="42" t="s">
        <v>61</v>
      </c>
      <c r="H51" s="42" t="s">
        <v>73</v>
      </c>
      <c r="I51" s="321">
        <v>20800000</v>
      </c>
      <c r="J51" s="323"/>
      <c r="K51" s="168"/>
      <c r="L51" s="168"/>
      <c r="M51" s="40">
        <f t="shared" si="2"/>
        <v>20800000</v>
      </c>
      <c r="N51" s="186">
        <v>1082989749</v>
      </c>
      <c r="O51" s="42" t="s">
        <v>2047</v>
      </c>
      <c r="P51" s="42" t="s">
        <v>2167</v>
      </c>
      <c r="Q51" s="170">
        <v>45086</v>
      </c>
      <c r="R51" s="170">
        <v>45086</v>
      </c>
      <c r="S51" s="170">
        <v>45275</v>
      </c>
      <c r="T51" s="171"/>
      <c r="U51" s="171"/>
      <c r="V51" s="171"/>
      <c r="W51" s="171"/>
      <c r="X51" s="68">
        <v>6400000</v>
      </c>
      <c r="Y51" s="68">
        <f t="shared" si="0"/>
        <v>14400000</v>
      </c>
      <c r="Z51" s="65">
        <f t="shared" si="1"/>
        <v>0.30769230769230771</v>
      </c>
      <c r="AA51" s="173">
        <v>41947381</v>
      </c>
      <c r="AB51" s="174" t="s">
        <v>2023</v>
      </c>
      <c r="AC51" s="42" t="s">
        <v>196</v>
      </c>
      <c r="AD51" s="42" t="s">
        <v>196</v>
      </c>
      <c r="AE51" s="171"/>
      <c r="AF51" s="175" t="s">
        <v>2168</v>
      </c>
      <c r="AG51" s="42" t="s">
        <v>192</v>
      </c>
      <c r="AH51" s="42" t="s">
        <v>192</v>
      </c>
    </row>
    <row r="52" spans="1:34" s="176" customFormat="1" ht="12" x14ac:dyDescent="0.2">
      <c r="A52" s="166">
        <v>891780111</v>
      </c>
      <c r="B52" s="166" t="s">
        <v>54</v>
      </c>
      <c r="C52" s="42" t="s">
        <v>56</v>
      </c>
      <c r="D52" s="166" t="s">
        <v>60</v>
      </c>
      <c r="E52" s="167" t="s">
        <v>2169</v>
      </c>
      <c r="F52" s="166" t="s">
        <v>61</v>
      </c>
      <c r="G52" s="42" t="s">
        <v>61</v>
      </c>
      <c r="H52" s="42" t="s">
        <v>73</v>
      </c>
      <c r="I52" s="321">
        <v>17600000</v>
      </c>
      <c r="J52" s="323"/>
      <c r="K52" s="168"/>
      <c r="L52" s="168"/>
      <c r="M52" s="40">
        <f t="shared" si="2"/>
        <v>17600000</v>
      </c>
      <c r="N52" s="169">
        <v>1082905242</v>
      </c>
      <c r="O52" s="42" t="s">
        <v>2055</v>
      </c>
      <c r="P52" s="42" t="s">
        <v>2170</v>
      </c>
      <c r="Q52" s="170">
        <v>45093</v>
      </c>
      <c r="R52" s="170">
        <v>45093</v>
      </c>
      <c r="S52" s="170">
        <v>45260</v>
      </c>
      <c r="T52" s="171"/>
      <c r="U52" s="171"/>
      <c r="V52" s="171"/>
      <c r="W52" s="171"/>
      <c r="X52" s="68">
        <v>6400000</v>
      </c>
      <c r="Y52" s="68">
        <f t="shared" si="0"/>
        <v>11200000</v>
      </c>
      <c r="Z52" s="65">
        <f t="shared" si="1"/>
        <v>0.36363636363636365</v>
      </c>
      <c r="AA52" s="173">
        <v>12550726</v>
      </c>
      <c r="AB52" s="174" t="s">
        <v>2040</v>
      </c>
      <c r="AC52" s="42" t="s">
        <v>196</v>
      </c>
      <c r="AD52" s="42" t="s">
        <v>196</v>
      </c>
      <c r="AE52" s="171"/>
      <c r="AF52" s="175" t="s">
        <v>2171</v>
      </c>
      <c r="AG52" s="42" t="s">
        <v>192</v>
      </c>
      <c r="AH52" s="42" t="s">
        <v>192</v>
      </c>
    </row>
    <row r="53" spans="1:34" s="176" customFormat="1" ht="12" x14ac:dyDescent="0.2">
      <c r="A53" s="166">
        <v>891780111</v>
      </c>
      <c r="B53" s="166" t="s">
        <v>54</v>
      </c>
      <c r="C53" s="42" t="s">
        <v>56</v>
      </c>
      <c r="D53" s="166" t="s">
        <v>60</v>
      </c>
      <c r="E53" s="167" t="s">
        <v>2172</v>
      </c>
      <c r="F53" s="166" t="s">
        <v>61</v>
      </c>
      <c r="G53" s="42" t="s">
        <v>61</v>
      </c>
      <c r="H53" s="42" t="s">
        <v>73</v>
      </c>
      <c r="I53" s="321">
        <v>17600000</v>
      </c>
      <c r="J53" s="323"/>
      <c r="K53" s="168"/>
      <c r="L53" s="168"/>
      <c r="M53" s="40">
        <f t="shared" si="2"/>
        <v>17600000</v>
      </c>
      <c r="N53" s="169">
        <v>1082991569</v>
      </c>
      <c r="O53" s="42" t="s">
        <v>2038</v>
      </c>
      <c r="P53" s="42" t="s">
        <v>2173</v>
      </c>
      <c r="Q53" s="170">
        <v>45093</v>
      </c>
      <c r="R53" s="170">
        <v>45093</v>
      </c>
      <c r="S53" s="170">
        <v>45260</v>
      </c>
      <c r="T53" s="171"/>
      <c r="U53" s="171"/>
      <c r="V53" s="171"/>
      <c r="W53" s="171"/>
      <c r="X53" s="68">
        <v>6400000</v>
      </c>
      <c r="Y53" s="68">
        <f t="shared" si="0"/>
        <v>11200000</v>
      </c>
      <c r="Z53" s="65">
        <f t="shared" si="1"/>
        <v>0.36363636363636365</v>
      </c>
      <c r="AA53" s="173">
        <v>12550726</v>
      </c>
      <c r="AB53" s="174" t="s">
        <v>2040</v>
      </c>
      <c r="AC53" s="42" t="s">
        <v>196</v>
      </c>
      <c r="AD53" s="42" t="s">
        <v>196</v>
      </c>
      <c r="AE53" s="171"/>
      <c r="AF53" s="175" t="s">
        <v>2174</v>
      </c>
      <c r="AG53" s="42" t="s">
        <v>192</v>
      </c>
      <c r="AH53" s="42" t="s">
        <v>192</v>
      </c>
    </row>
    <row r="54" spans="1:34" s="176" customFormat="1" ht="12" x14ac:dyDescent="0.2">
      <c r="A54" s="166">
        <v>891780111</v>
      </c>
      <c r="B54" s="166" t="s">
        <v>54</v>
      </c>
      <c r="C54" s="42" t="s">
        <v>56</v>
      </c>
      <c r="D54" s="166" t="s">
        <v>60</v>
      </c>
      <c r="E54" s="167" t="s">
        <v>2175</v>
      </c>
      <c r="F54" s="166" t="s">
        <v>61</v>
      </c>
      <c r="G54" s="42" t="s">
        <v>61</v>
      </c>
      <c r="H54" s="42" t="s">
        <v>73</v>
      </c>
      <c r="I54" s="321">
        <v>17600000</v>
      </c>
      <c r="J54" s="323"/>
      <c r="K54" s="168"/>
      <c r="L54" s="168"/>
      <c r="M54" s="40">
        <f t="shared" si="2"/>
        <v>17600000</v>
      </c>
      <c r="N54" s="169">
        <v>1083020130</v>
      </c>
      <c r="O54" s="169" t="s">
        <v>2099</v>
      </c>
      <c r="P54" s="42" t="s">
        <v>2176</v>
      </c>
      <c r="Q54" s="170">
        <v>45119</v>
      </c>
      <c r="R54" s="170">
        <v>45120</v>
      </c>
      <c r="S54" s="170">
        <v>45275</v>
      </c>
      <c r="T54" s="171"/>
      <c r="U54" s="171"/>
      <c r="V54" s="171"/>
      <c r="W54" s="171"/>
      <c r="X54" s="68">
        <v>2800000</v>
      </c>
      <c r="Y54" s="68">
        <f t="shared" si="0"/>
        <v>14800000</v>
      </c>
      <c r="Z54" s="65">
        <f t="shared" si="1"/>
        <v>0.15909090909090909</v>
      </c>
      <c r="AA54" s="173">
        <v>41947381</v>
      </c>
      <c r="AB54" s="174" t="s">
        <v>2023</v>
      </c>
      <c r="AC54" s="42" t="s">
        <v>196</v>
      </c>
      <c r="AD54" s="42" t="s">
        <v>196</v>
      </c>
      <c r="AE54" s="171"/>
      <c r="AF54" s="175" t="s">
        <v>2177</v>
      </c>
      <c r="AG54" s="42" t="s">
        <v>192</v>
      </c>
      <c r="AH54" s="42" t="s">
        <v>192</v>
      </c>
    </row>
    <row r="55" spans="1:34" s="5" customFormat="1" x14ac:dyDescent="0.25">
      <c r="A55" s="10"/>
      <c r="B55" s="11"/>
      <c r="C55" s="10" t="s">
        <v>311</v>
      </c>
      <c r="D55" s="12"/>
      <c r="E55" s="188">
        <f>COUNTA(E5:E54)</f>
        <v>50</v>
      </c>
      <c r="F55" s="11"/>
      <c r="G55" s="11"/>
      <c r="H55" s="12"/>
      <c r="I55" s="322">
        <f>SUM(I5:I54)</f>
        <v>539884939</v>
      </c>
      <c r="J55" s="188">
        <f>COUNTA(J5:J54)</f>
        <v>1</v>
      </c>
      <c r="K55" s="13">
        <f>SUM(K5:K54)</f>
        <v>0</v>
      </c>
      <c r="L55" s="196">
        <f>SUM(L5:L54)</f>
        <v>11760005</v>
      </c>
      <c r="M55" s="13">
        <f>SUM(M5:M54)</f>
        <v>528124934</v>
      </c>
      <c r="N55" s="11"/>
      <c r="O55" s="11"/>
      <c r="P55" s="11"/>
      <c r="Q55" s="11"/>
      <c r="R55" s="11"/>
      <c r="S55" s="11"/>
      <c r="T55" s="11"/>
      <c r="U55" s="11"/>
      <c r="V55" s="11"/>
      <c r="W55" s="11"/>
      <c r="X55" s="13">
        <f>SUM(X5:X54)</f>
        <v>423416999</v>
      </c>
      <c r="Y55" s="13">
        <f>SUM(Y5:Y54)</f>
        <v>104707935</v>
      </c>
      <c r="Z55" s="69"/>
      <c r="AA55" s="11"/>
      <c r="AB55" s="11"/>
      <c r="AC55" s="11"/>
      <c r="AD55" s="11"/>
      <c r="AE55" s="11"/>
      <c r="AF55" s="11"/>
      <c r="AG55" s="11"/>
      <c r="AH55" s="11"/>
    </row>
  </sheetData>
  <mergeCells count="7">
    <mergeCell ref="AF3:AH3"/>
    <mergeCell ref="A1:D1"/>
    <mergeCell ref="G1:H1"/>
    <mergeCell ref="A2:C2"/>
    <mergeCell ref="D2:F2"/>
    <mergeCell ref="G2:H3"/>
    <mergeCell ref="K2:P3"/>
  </mergeCells>
  <conditionalFormatting sqref="D2">
    <cfRule type="containsText" dxfId="30" priority="2" operator="containsText" text="Seleccione Ordenador">
      <formula>NOT(ISERROR(SEARCH("Seleccione Ordenador",D2)))</formula>
    </cfRule>
  </conditionalFormatting>
  <conditionalFormatting sqref="E1">
    <cfRule type="containsText" dxfId="29" priority="1" operator="containsText" text="Seleccione Periodo">
      <formula>NOT(ISERROR(SEARCH("Seleccione Periodo",E1)))</formula>
    </cfRule>
  </conditionalFormatting>
  <dataValidations count="9">
    <dataValidation type="list" allowBlank="1" showInputMessage="1" showErrorMessage="1" sqref="T5:T54" xr:uid="{7D50ABF4-0742-45EF-B13C-BA195AE31B50}">
      <formula1>"SI,N/A"</formula1>
    </dataValidation>
    <dataValidation type="list" allowBlank="1" showInputMessage="1" showErrorMessage="1" sqref="AC5:AD54" xr:uid="{24EDE3FA-8E13-4A95-A6E0-EBA68D210A65}">
      <formula1>"SI,NO"</formula1>
    </dataValidation>
    <dataValidation type="list" allowBlank="1" showInputMessage="1" showErrorMessage="1" sqref="AH5:AH54" xr:uid="{6C33B692-C7AD-41B2-AA1F-C7AD55F7E3EA}">
      <formula1>"SI,NA por TIPO Contrato"</formula1>
    </dataValidation>
    <dataValidation type="list" allowBlank="1" showInputMessage="1" showErrorMessage="1" sqref="AG5:AG54" xr:uid="{CB42AA0C-E46B-46E5-8ED9-5601AE69CD4C}">
      <formula1>"SI,NO HA INICIADO"</formula1>
    </dataValidation>
    <dataValidation type="list" allowBlank="1" showInputMessage="1" showErrorMessage="1" sqref="H5:H54" xr:uid="{3BB5C2E0-F7E1-4BE7-8CD4-B82E49AB98E7}">
      <formula1>tipologia</formula1>
    </dataValidation>
    <dataValidation type="list" allowBlank="1" showInputMessage="1" showErrorMessage="1" sqref="G5:G54" xr:uid="{08C2FDD5-49AC-4820-8A1D-89D72500407C}">
      <formula1>modalidad</formula1>
    </dataValidation>
    <dataValidation type="list" allowBlank="1" showInputMessage="1" showErrorMessage="1" sqref="C5:C54" xr:uid="{CE3B259D-4EDA-4FE0-94C6-640723F716E2}">
      <formula1>rubro</formula1>
    </dataValidation>
    <dataValidation type="list" allowBlank="1" showInputMessage="1" showErrorMessage="1" sqref="E1" xr:uid="{D960970F-C083-4BDE-BB9E-FED1B87555D6}">
      <formula1>cortea</formula1>
    </dataValidation>
    <dataValidation type="list" allowBlank="1" showInputMessage="1" showErrorMessage="1" sqref="D2" xr:uid="{58896561-EC03-4BDB-A7C3-BCA9060A4EFD}">
      <formula1>Delegatarios</formula1>
    </dataValidation>
  </dataValidations>
  <hyperlinks>
    <hyperlink ref="AF5" r:id="rId1" xr:uid="{81471590-EF29-49DF-A47F-7B2D166FA8BF}"/>
    <hyperlink ref="AF6" r:id="rId2" xr:uid="{D92B0261-4731-45EF-B220-9984046203B6}"/>
    <hyperlink ref="AF8" r:id="rId3" xr:uid="{6F4252EE-8939-44FF-B371-50CAFE93D7C3}"/>
    <hyperlink ref="AF11" r:id="rId4" xr:uid="{A2102FC1-826B-43E2-BDAB-B3EC1B104E09}"/>
    <hyperlink ref="AF12" r:id="rId5" xr:uid="{2A8537ED-3254-4F12-A1C3-A4D1921E7CB8}"/>
    <hyperlink ref="AF20" r:id="rId6" xr:uid="{8DFB2074-5CB2-4FED-80A0-175285BC55F9}"/>
    <hyperlink ref="AF25" r:id="rId7" xr:uid="{DDD9F97F-0582-4943-A969-C25DF0829774}"/>
    <hyperlink ref="AF29" r:id="rId8" xr:uid="{593CEE9D-AFEA-473C-8E15-A09073E0D34C}"/>
    <hyperlink ref="AF9" r:id="rId9" xr:uid="{AF503F26-5197-4CA4-83C2-197EC8664B41}"/>
    <hyperlink ref="AF14" r:id="rId10" xr:uid="{CE89845E-22F4-49C6-B5BC-8EECC32590F9}"/>
    <hyperlink ref="AF32" r:id="rId11" xr:uid="{B23A4890-8C6B-43E3-8C9D-1131291E49B9}"/>
    <hyperlink ref="AF33" r:id="rId12" xr:uid="{5E4592B5-4088-48AD-83C7-8056D850D480}"/>
    <hyperlink ref="AF34" r:id="rId13" xr:uid="{7C75C33A-A43E-41AA-A306-3BC0B7865B79}"/>
    <hyperlink ref="AF35" r:id="rId14" xr:uid="{FDB7C57C-2D70-407C-A209-6955558543FC}"/>
    <hyperlink ref="AF44" r:id="rId15" xr:uid="{807830D5-2D70-4E24-BB7E-6AB74E9035A0}"/>
    <hyperlink ref="AF45" r:id="rId16" xr:uid="{5382D58F-EEDD-47A7-950D-159EB78D4AF6}"/>
    <hyperlink ref="AF46" r:id="rId17" xr:uid="{A20723D6-1F5D-41D7-8E15-E1D9D4A97DDC}"/>
    <hyperlink ref="AF47" r:id="rId18" xr:uid="{C17F8110-411E-4D5B-880B-0AD98631C74A}"/>
    <hyperlink ref="AF48" r:id="rId19" xr:uid="{064B1075-0BAD-4C1C-BD2A-2C35C1D4E66F}"/>
    <hyperlink ref="AF49" r:id="rId20" xr:uid="{CB83E6DF-BA1A-48D8-BF64-B65BEFF15C51}"/>
    <hyperlink ref="AF50" r:id="rId21" xr:uid="{CC1C98C1-B4D1-4D19-8BF9-B08162F60B17}"/>
    <hyperlink ref="AF51" r:id="rId22" xr:uid="{A655A061-B549-4BBD-BE47-5344A6E8D61E}"/>
    <hyperlink ref="AF52" r:id="rId23" xr:uid="{609F41AC-8B0A-4C42-91E3-1B120A127DB8}"/>
    <hyperlink ref="AF53" r:id="rId24" xr:uid="{D0DA8D6C-1E6C-4D84-BB5F-FDE6835D1091}"/>
    <hyperlink ref="AF54" r:id="rId25" xr:uid="{C2B01DC8-B91B-4D97-84C9-F3FF73B203AA}"/>
  </hyperlinks>
  <pageMargins left="0" right="0" top="0" bottom="0" header="0.3" footer="0.3"/>
  <pageSetup paperSize="5" scale="38" orientation="landscape"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FBC2-1B9B-416B-905C-DB94E9F9EC7C}">
  <sheetPr>
    <tabColor theme="8" tint="0.59999389629810485"/>
  </sheetPr>
  <dimension ref="A1:AH15"/>
  <sheetViews>
    <sheetView zoomScaleNormal="100" zoomScaleSheetLayoutView="100" workbookViewId="0">
      <selection activeCell="AN14" sqref="AN14"/>
    </sheetView>
  </sheetViews>
  <sheetFormatPr baseColWidth="10" defaultColWidth="11.42578125"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5.28515625" style="8" customWidth="1"/>
    <col min="10" max="10" width="16.140625" customWidth="1"/>
    <col min="11" max="11" width="15.140625" bestFit="1" customWidth="1"/>
    <col min="12" max="12" width="12.28515625" customWidth="1"/>
    <col min="13" max="13" width="15.140625" bestFit="1" customWidth="1"/>
    <col min="17" max="17" width="15.5703125" customWidth="1"/>
    <col min="18" max="18" width="14.42578125" customWidth="1"/>
    <col min="19" max="20" width="12.5703125" customWidth="1"/>
    <col min="21" max="21" width="16" bestFit="1" customWidth="1"/>
    <col min="22" max="22" width="12.5703125" customWidth="1"/>
    <col min="23" max="23" width="20.5703125" customWidth="1"/>
    <col min="24" max="24" width="15.85546875" bestFit="1" customWidth="1"/>
    <col min="25" max="25" width="16.7109375" customWidth="1"/>
    <col min="26" max="26" width="11.42578125" style="32"/>
    <col min="27" max="27" width="14.42578125" customWidth="1"/>
    <col min="28" max="28" width="14.7109375" customWidth="1"/>
    <col min="31" max="31" width="14.85546875" customWidth="1"/>
    <col min="32" max="33" width="8.42578125" customWidth="1"/>
    <col min="34" max="34" width="15.28515625" bestFit="1"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25</v>
      </c>
      <c r="E2" s="336"/>
      <c r="F2" s="336"/>
      <c r="G2" s="337" t="s">
        <v>99</v>
      </c>
      <c r="H2" s="337"/>
      <c r="I2" s="21">
        <f>VLOOKUP($D$2,[1]Datos!$B$20:$C$35,2,FALSE)</f>
        <v>250</v>
      </c>
      <c r="J2" s="22" t="s">
        <v>85</v>
      </c>
      <c r="K2" s="339" t="str">
        <f>VLOOKUP($D$2,[1]Datos!$B$20:$D$35,3,FALSE)</f>
        <v>Sobre los recursos y fondos que segun las funciones esten a su cargo, proyectos del plan de acción que sea responsable, y aquellos generados en convenios o contratos</v>
      </c>
      <c r="L2" s="339"/>
      <c r="M2" s="339"/>
      <c r="N2" s="339"/>
      <c r="O2" s="339"/>
      <c r="P2" s="339"/>
    </row>
    <row r="3" spans="1:34" ht="15.75" customHeight="1" x14ac:dyDescent="0.25">
      <c r="G3" s="338"/>
      <c r="H3" s="338"/>
      <c r="I3" s="21">
        <f>I2*I1</f>
        <v>290000000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ht="14.25" customHeight="1" x14ac:dyDescent="0.25">
      <c r="A5" s="38">
        <v>891780111</v>
      </c>
      <c r="B5" s="38" t="s">
        <v>54</v>
      </c>
      <c r="C5" s="58" t="s">
        <v>56</v>
      </c>
      <c r="D5" s="38" t="s">
        <v>60</v>
      </c>
      <c r="E5" s="1" t="s">
        <v>6368</v>
      </c>
      <c r="F5" s="38" t="s">
        <v>61</v>
      </c>
      <c r="G5" s="1" t="s">
        <v>63</v>
      </c>
      <c r="H5" s="1" t="s">
        <v>73</v>
      </c>
      <c r="I5" s="9">
        <v>15000000</v>
      </c>
      <c r="J5" s="94">
        <v>1</v>
      </c>
      <c r="K5" s="2">
        <v>7500000</v>
      </c>
      <c r="L5" s="2">
        <v>0</v>
      </c>
      <c r="M5" s="40">
        <f>I5+K5-L5</f>
        <v>22500000</v>
      </c>
      <c r="N5" s="1">
        <v>901094352</v>
      </c>
      <c r="O5" s="1" t="s">
        <v>2108</v>
      </c>
      <c r="P5" s="1" t="s">
        <v>6369</v>
      </c>
      <c r="Q5" s="3" t="s">
        <v>6370</v>
      </c>
      <c r="R5" s="3" t="s">
        <v>6371</v>
      </c>
      <c r="S5" s="3">
        <v>45291</v>
      </c>
      <c r="T5" s="41"/>
      <c r="U5" s="41"/>
      <c r="V5" s="41"/>
      <c r="W5" s="41"/>
      <c r="X5" s="9">
        <v>22332615</v>
      </c>
      <c r="Y5" s="36">
        <f t="shared" ref="Y5:Y10" si="0">M5-X5</f>
        <v>167385</v>
      </c>
      <c r="Z5" s="37">
        <f t="shared" ref="Z5:Z10" si="1">+(X5/M5)</f>
        <v>0.99256066666666665</v>
      </c>
      <c r="AA5" s="1">
        <v>36718996</v>
      </c>
      <c r="AB5" s="1" t="s">
        <v>6372</v>
      </c>
      <c r="AC5" s="1" t="s">
        <v>196</v>
      </c>
      <c r="AD5" s="1" t="s">
        <v>196</v>
      </c>
      <c r="AE5" s="1" t="s">
        <v>196</v>
      </c>
      <c r="AF5" s="15" t="s">
        <v>6373</v>
      </c>
      <c r="AG5" s="15" t="s">
        <v>192</v>
      </c>
      <c r="AH5" s="15" t="s">
        <v>191</v>
      </c>
    </row>
    <row r="6" spans="1:34" s="4" customFormat="1" ht="14.25" customHeight="1" x14ac:dyDescent="0.25">
      <c r="A6" s="16">
        <v>891780111</v>
      </c>
      <c r="B6" s="16" t="s">
        <v>54</v>
      </c>
      <c r="C6" s="58" t="s">
        <v>56</v>
      </c>
      <c r="D6" s="16" t="s">
        <v>60</v>
      </c>
      <c r="E6" s="1" t="s">
        <v>6374</v>
      </c>
      <c r="F6" s="16" t="s">
        <v>61</v>
      </c>
      <c r="G6" s="1" t="s">
        <v>63</v>
      </c>
      <c r="H6" s="1" t="s">
        <v>73</v>
      </c>
      <c r="I6" s="9">
        <v>5000000</v>
      </c>
      <c r="J6" s="94">
        <v>1</v>
      </c>
      <c r="K6" s="2">
        <v>2500000</v>
      </c>
      <c r="L6" s="2">
        <v>0</v>
      </c>
      <c r="M6" s="30">
        <f>I6+K6-L6</f>
        <v>7500000</v>
      </c>
      <c r="N6" s="1">
        <v>9009297397</v>
      </c>
      <c r="O6" s="1" t="s">
        <v>6375</v>
      </c>
      <c r="P6" s="1" t="s">
        <v>6369</v>
      </c>
      <c r="Q6" s="3" t="s">
        <v>5381</v>
      </c>
      <c r="R6" s="3" t="s">
        <v>5412</v>
      </c>
      <c r="S6" s="3">
        <v>45291</v>
      </c>
      <c r="T6" s="35"/>
      <c r="U6" s="3"/>
      <c r="V6" s="3"/>
      <c r="W6" s="3"/>
      <c r="X6" s="9">
        <v>7372118.5</v>
      </c>
      <c r="Y6" s="9">
        <f t="shared" si="0"/>
        <v>127881.5</v>
      </c>
      <c r="Z6" s="34">
        <f t="shared" si="1"/>
        <v>0.98294913333333334</v>
      </c>
      <c r="AA6" s="1">
        <v>36718996</v>
      </c>
      <c r="AB6" s="1" t="s">
        <v>6372</v>
      </c>
      <c r="AC6" s="1" t="s">
        <v>196</v>
      </c>
      <c r="AD6" s="1" t="s">
        <v>196</v>
      </c>
      <c r="AE6" s="1" t="s">
        <v>196</v>
      </c>
      <c r="AF6" s="15" t="s">
        <v>6376</v>
      </c>
      <c r="AG6" s="15" t="s">
        <v>192</v>
      </c>
      <c r="AH6" s="15" t="s">
        <v>191</v>
      </c>
    </row>
    <row r="7" spans="1:34" s="4" customFormat="1" ht="14.25" customHeight="1" x14ac:dyDescent="0.25">
      <c r="A7" s="16">
        <v>891780111</v>
      </c>
      <c r="B7" s="16" t="s">
        <v>54</v>
      </c>
      <c r="C7" s="58" t="s">
        <v>56</v>
      </c>
      <c r="D7" s="16" t="s">
        <v>60</v>
      </c>
      <c r="E7" s="1" t="s">
        <v>6377</v>
      </c>
      <c r="F7" s="16" t="s">
        <v>61</v>
      </c>
      <c r="G7" s="1" t="s">
        <v>63</v>
      </c>
      <c r="H7" s="1" t="s">
        <v>73</v>
      </c>
      <c r="I7" s="9">
        <v>19850000</v>
      </c>
      <c r="J7" s="94"/>
      <c r="K7" s="2"/>
      <c r="L7" s="2"/>
      <c r="M7" s="30">
        <f t="shared" ref="M7:M10" si="2">I7+K7-L7</f>
        <v>19850000</v>
      </c>
      <c r="N7" s="1">
        <v>79418273</v>
      </c>
      <c r="O7" s="1" t="s">
        <v>5533</v>
      </c>
      <c r="P7" s="1" t="s">
        <v>6378</v>
      </c>
      <c r="Q7" s="3">
        <v>45034</v>
      </c>
      <c r="R7" s="3">
        <v>45037</v>
      </c>
      <c r="S7" s="3">
        <v>45098</v>
      </c>
      <c r="T7" s="35"/>
      <c r="U7" s="3"/>
      <c r="V7" s="3"/>
      <c r="W7" s="3"/>
      <c r="X7" s="9">
        <v>0</v>
      </c>
      <c r="Y7" s="9">
        <f t="shared" si="0"/>
        <v>19850000</v>
      </c>
      <c r="Z7" s="34">
        <f t="shared" si="1"/>
        <v>0</v>
      </c>
      <c r="AA7" s="1">
        <v>36564011</v>
      </c>
      <c r="AB7" s="1" t="s">
        <v>6121</v>
      </c>
      <c r="AC7" s="1" t="s">
        <v>196</v>
      </c>
      <c r="AD7" s="1" t="s">
        <v>196</v>
      </c>
      <c r="AE7" s="1" t="s">
        <v>196</v>
      </c>
      <c r="AF7" s="15" t="s">
        <v>6379</v>
      </c>
      <c r="AG7" s="15" t="s">
        <v>192</v>
      </c>
      <c r="AH7" s="15" t="s">
        <v>191</v>
      </c>
    </row>
    <row r="8" spans="1:34" s="4" customFormat="1" ht="14.25" customHeight="1" x14ac:dyDescent="0.25">
      <c r="A8" s="16">
        <v>891780111</v>
      </c>
      <c r="B8" s="16" t="s">
        <v>54</v>
      </c>
      <c r="C8" s="58" t="s">
        <v>56</v>
      </c>
      <c r="D8" s="16" t="s">
        <v>60</v>
      </c>
      <c r="E8" s="1" t="s">
        <v>6380</v>
      </c>
      <c r="F8" s="16" t="s">
        <v>61</v>
      </c>
      <c r="G8" s="1" t="s">
        <v>63</v>
      </c>
      <c r="H8" s="1" t="s">
        <v>73</v>
      </c>
      <c r="I8" s="9">
        <v>12000000</v>
      </c>
      <c r="J8" s="94"/>
      <c r="K8" s="2"/>
      <c r="L8" s="2"/>
      <c r="M8" s="30">
        <f t="shared" si="2"/>
        <v>12000000</v>
      </c>
      <c r="N8" s="1">
        <v>819003765</v>
      </c>
      <c r="O8" s="1" t="s">
        <v>6381</v>
      </c>
      <c r="P8" s="1" t="s">
        <v>6382</v>
      </c>
      <c r="Q8" s="3">
        <v>45034</v>
      </c>
      <c r="R8" s="3">
        <v>45035</v>
      </c>
      <c r="S8" s="3">
        <v>45291</v>
      </c>
      <c r="T8" s="35"/>
      <c r="U8" s="3"/>
      <c r="V8" s="3"/>
      <c r="W8" s="3"/>
      <c r="X8" s="9">
        <v>8746950</v>
      </c>
      <c r="Y8" s="9">
        <f t="shared" si="0"/>
        <v>3253050</v>
      </c>
      <c r="Z8" s="34">
        <f t="shared" si="1"/>
        <v>0.72891249999999996</v>
      </c>
      <c r="AA8" s="1">
        <v>36718996</v>
      </c>
      <c r="AB8" s="1" t="s">
        <v>6372</v>
      </c>
      <c r="AC8" s="1" t="s">
        <v>196</v>
      </c>
      <c r="AD8" s="1" t="s">
        <v>196</v>
      </c>
      <c r="AE8" s="1" t="s">
        <v>196</v>
      </c>
      <c r="AF8" s="15" t="s">
        <v>6383</v>
      </c>
      <c r="AG8" s="15" t="s">
        <v>192</v>
      </c>
      <c r="AH8" s="15" t="s">
        <v>191</v>
      </c>
    </row>
    <row r="9" spans="1:34" s="4" customFormat="1" ht="14.25" customHeight="1" x14ac:dyDescent="0.25">
      <c r="A9" s="16">
        <v>891780111</v>
      </c>
      <c r="B9" s="16" t="s">
        <v>54</v>
      </c>
      <c r="C9" s="14" t="s">
        <v>56</v>
      </c>
      <c r="D9" s="16" t="s">
        <v>60</v>
      </c>
      <c r="E9" s="1" t="s">
        <v>6384</v>
      </c>
      <c r="F9" s="16" t="s">
        <v>61</v>
      </c>
      <c r="G9" s="1" t="s">
        <v>63</v>
      </c>
      <c r="H9" s="1" t="s">
        <v>73</v>
      </c>
      <c r="I9" s="9">
        <v>11800948</v>
      </c>
      <c r="J9" s="94"/>
      <c r="K9" s="2"/>
      <c r="L9" s="2"/>
      <c r="M9" s="30">
        <f t="shared" si="2"/>
        <v>11800948</v>
      </c>
      <c r="N9" s="1">
        <v>860035467</v>
      </c>
      <c r="O9" s="1" t="s">
        <v>6385</v>
      </c>
      <c r="P9" s="1" t="s">
        <v>6386</v>
      </c>
      <c r="Q9" s="3">
        <v>45072</v>
      </c>
      <c r="R9" s="3">
        <v>45072</v>
      </c>
      <c r="S9" s="3">
        <v>45133</v>
      </c>
      <c r="T9" s="35"/>
      <c r="U9" s="3"/>
      <c r="V9" s="3"/>
      <c r="W9" s="3"/>
      <c r="X9" s="9">
        <v>0</v>
      </c>
      <c r="Y9" s="9">
        <f t="shared" si="0"/>
        <v>11800948</v>
      </c>
      <c r="Z9" s="34">
        <f t="shared" si="1"/>
        <v>0</v>
      </c>
      <c r="AA9" s="1">
        <v>36726018</v>
      </c>
      <c r="AB9" s="1" t="s">
        <v>6387</v>
      </c>
      <c r="AC9" s="1" t="s">
        <v>196</v>
      </c>
      <c r="AD9" s="1" t="s">
        <v>196</v>
      </c>
      <c r="AE9" s="1" t="s">
        <v>196</v>
      </c>
      <c r="AF9" s="15" t="s">
        <v>6388</v>
      </c>
      <c r="AG9" s="15" t="s">
        <v>192</v>
      </c>
      <c r="AH9" s="15" t="s">
        <v>191</v>
      </c>
    </row>
    <row r="10" spans="1:34" s="4" customFormat="1" ht="14.25" customHeight="1" x14ac:dyDescent="0.25">
      <c r="A10" s="16">
        <v>891780111</v>
      </c>
      <c r="B10" s="16" t="s">
        <v>54</v>
      </c>
      <c r="C10" s="14" t="s">
        <v>56</v>
      </c>
      <c r="D10" s="16" t="s">
        <v>60</v>
      </c>
      <c r="E10" s="1" t="s">
        <v>6389</v>
      </c>
      <c r="F10" s="16" t="s">
        <v>61</v>
      </c>
      <c r="G10" s="1" t="s">
        <v>63</v>
      </c>
      <c r="H10" s="1" t="s">
        <v>72</v>
      </c>
      <c r="I10" s="9">
        <v>20000000</v>
      </c>
      <c r="J10" s="94"/>
      <c r="K10" s="2"/>
      <c r="L10" s="2"/>
      <c r="M10" s="30">
        <f t="shared" si="2"/>
        <v>20000000</v>
      </c>
      <c r="N10" s="1">
        <v>7144967</v>
      </c>
      <c r="O10" s="1" t="s">
        <v>5033</v>
      </c>
      <c r="P10" s="1" t="s">
        <v>6390</v>
      </c>
      <c r="Q10" s="3">
        <v>45054</v>
      </c>
      <c r="R10" s="3">
        <v>45057</v>
      </c>
      <c r="S10" s="3">
        <v>45291</v>
      </c>
      <c r="T10" s="35"/>
      <c r="U10" s="3"/>
      <c r="V10" s="3"/>
      <c r="W10" s="3"/>
      <c r="X10" s="9">
        <v>4023000.12</v>
      </c>
      <c r="Y10" s="9">
        <f t="shared" si="0"/>
        <v>15976999.879999999</v>
      </c>
      <c r="Z10" s="34">
        <f t="shared" si="1"/>
        <v>0.20115000599999999</v>
      </c>
      <c r="AA10" s="1">
        <v>36718996</v>
      </c>
      <c r="AB10" s="1" t="s">
        <v>6372</v>
      </c>
      <c r="AC10" s="1" t="s">
        <v>196</v>
      </c>
      <c r="AD10" s="1" t="s">
        <v>196</v>
      </c>
      <c r="AE10" s="1" t="s">
        <v>196</v>
      </c>
      <c r="AF10" s="15" t="s">
        <v>6391</v>
      </c>
      <c r="AG10" s="15" t="s">
        <v>192</v>
      </c>
      <c r="AH10" s="15" t="s">
        <v>191</v>
      </c>
    </row>
    <row r="11" spans="1:34" s="5" customFormat="1" x14ac:dyDescent="0.25">
      <c r="A11" s="10"/>
      <c r="B11" s="11"/>
      <c r="C11" s="10" t="s">
        <v>311</v>
      </c>
      <c r="D11" s="12"/>
      <c r="E11" s="188">
        <f>COUNTA(E5:E10)</f>
        <v>6</v>
      </c>
      <c r="F11" s="11"/>
      <c r="G11" s="11"/>
      <c r="H11" s="12"/>
      <c r="I11" s="13">
        <f>SUM(I5:I10)</f>
        <v>83650948</v>
      </c>
      <c r="J11" s="188">
        <f>COUNTA(J5:J10)</f>
        <v>2</v>
      </c>
      <c r="K11" s="13">
        <f>SUM(K5:K10)</f>
        <v>10000000</v>
      </c>
      <c r="L11" s="13">
        <f>SUM(L5:L10)</f>
        <v>0</v>
      </c>
      <c r="M11" s="13">
        <f>SUM(M5:M10)</f>
        <v>93650948</v>
      </c>
      <c r="N11" s="11"/>
      <c r="O11" s="11"/>
      <c r="P11" s="11"/>
      <c r="Q11" s="11"/>
      <c r="R11" s="11"/>
      <c r="S11" s="11"/>
      <c r="T11" s="11"/>
      <c r="U11" s="11"/>
      <c r="V11" s="11"/>
      <c r="W11" s="11"/>
      <c r="X11" s="13">
        <f>SUM(X5:X10)</f>
        <v>42474683.619999997</v>
      </c>
      <c r="Y11" s="13">
        <f>SUM(Y5:Y10)</f>
        <v>51176264.379999995</v>
      </c>
      <c r="Z11" s="69"/>
      <c r="AA11" s="11"/>
      <c r="AB11" s="11"/>
      <c r="AC11" s="11"/>
      <c r="AD11" s="11"/>
      <c r="AE11" s="11"/>
      <c r="AF11" s="11"/>
      <c r="AG11" s="11"/>
      <c r="AH11" s="11"/>
    </row>
    <row r="14" spans="1:34" x14ac:dyDescent="0.25">
      <c r="U14" s="272"/>
    </row>
    <row r="15" spans="1:34" x14ac:dyDescent="0.25">
      <c r="U15" s="272"/>
    </row>
  </sheetData>
  <mergeCells count="7">
    <mergeCell ref="AF3:AH3"/>
    <mergeCell ref="A1:D1"/>
    <mergeCell ref="G1:H1"/>
    <mergeCell ref="A2:C2"/>
    <mergeCell ref="D2:F2"/>
    <mergeCell ref="G2:H3"/>
    <mergeCell ref="K2:P3"/>
  </mergeCells>
  <conditionalFormatting sqref="D2">
    <cfRule type="containsText" dxfId="12" priority="2" operator="containsText" text="Seleccione Ordenador">
      <formula>NOT(ISERROR(SEARCH("Seleccione Ordenador",D2)))</formula>
    </cfRule>
  </conditionalFormatting>
  <conditionalFormatting sqref="E1">
    <cfRule type="containsText" dxfId="11" priority="1" operator="containsText" text="Seleccione Periodo">
      <formula>NOT(ISERROR(SEARCH("Seleccione Periodo",E1)))</formula>
    </cfRule>
  </conditionalFormatting>
  <dataValidations count="9">
    <dataValidation type="list" allowBlank="1" showInputMessage="1" showErrorMessage="1" sqref="T5:T10" xr:uid="{ABDB0F6F-77F2-4464-B5FB-0B664E74B4B5}">
      <formula1>"SI,N/A"</formula1>
    </dataValidation>
    <dataValidation type="list" allowBlank="1" showInputMessage="1" showErrorMessage="1" sqref="AC5:AE10" xr:uid="{E087E620-F1A2-401F-9D45-6B3222CFFE54}">
      <formula1>"SI,NO"</formula1>
    </dataValidation>
    <dataValidation type="list" allowBlank="1" showInputMessage="1" showErrorMessage="1" sqref="AH5:AH10" xr:uid="{83B8F21B-37EE-4D1C-8969-D24E2089D411}">
      <formula1>"SI,NA por TIPO Contrato"</formula1>
    </dataValidation>
    <dataValidation type="list" allowBlank="1" showInputMessage="1" showErrorMessage="1" sqref="AG5:AG10" xr:uid="{541AA489-CD0E-4E52-A75D-58E7EDA6F29A}">
      <formula1>"SI,NO HA INICIADO"</formula1>
    </dataValidation>
    <dataValidation type="list" allowBlank="1" showInputMessage="1" showErrorMessage="1" sqref="H5:H10" xr:uid="{0F888C68-5256-4DC4-A6CF-5433B707F79F}">
      <formula1>tipologia</formula1>
    </dataValidation>
    <dataValidation type="list" allowBlank="1" showInputMessage="1" showErrorMessage="1" sqref="G5:G10" xr:uid="{46F1D2C9-87E0-4171-9069-E1CCC87A4E5E}">
      <formula1>modalidad</formula1>
    </dataValidation>
    <dataValidation type="list" allowBlank="1" showInputMessage="1" showErrorMessage="1" sqref="C5:C10" xr:uid="{3B16B011-D4C5-4BA8-ABEC-8E172510275A}">
      <formula1>rubro</formula1>
    </dataValidation>
    <dataValidation type="list" allowBlank="1" showInputMessage="1" showErrorMessage="1" sqref="E1" xr:uid="{D0DE828C-04F8-4A7D-A051-EE0B51BE3CA5}">
      <formula1>cortea</formula1>
    </dataValidation>
    <dataValidation type="list" allowBlank="1" showInputMessage="1" showErrorMessage="1" sqref="D2" xr:uid="{1734B62B-54E2-4CF9-AF33-04F8B54EBA7F}">
      <formula1>Delegatarios</formula1>
    </dataValidation>
  </dataValidations>
  <hyperlinks>
    <hyperlink ref="AF9" r:id="rId1" xr:uid="{F5046713-B4CC-4377-9EA2-41F332CD26BD}"/>
    <hyperlink ref="AF10" r:id="rId2" xr:uid="{E42031B5-102D-4DEC-9A45-1DAE681BBCB0}"/>
  </hyperlinks>
  <pageMargins left="0" right="0" top="0" bottom="0" header="0.3" footer="0.3"/>
  <pageSetup paperSize="5" scale="38"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45AE-EAB3-472C-BC63-A956D99356FB}">
  <sheetPr>
    <tabColor theme="8" tint="0.59999389629810485"/>
  </sheetPr>
  <dimension ref="A1:AK85"/>
  <sheetViews>
    <sheetView topLeftCell="A2" zoomScaleNormal="100" zoomScaleSheetLayoutView="100" workbookViewId="0">
      <selection activeCell="AI10" sqref="AI10"/>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1.42578125" customWidth="1"/>
    <col min="9" max="9" width="19.85546875" style="8" customWidth="1"/>
    <col min="10" max="10" width="16.140625" customWidth="1"/>
    <col min="11" max="11" width="15.7109375" customWidth="1"/>
    <col min="12" max="12" width="18.85546875" customWidth="1"/>
    <col min="13" max="13" width="20.42578125" customWidth="1"/>
    <col min="14" max="14" width="12.7109375" customWidth="1"/>
    <col min="15" max="15" width="13.28515625" customWidth="1"/>
    <col min="16" max="16" width="11.42578125" customWidth="1"/>
    <col min="17" max="17" width="15.5703125" customWidth="1"/>
    <col min="18" max="18" width="14.42578125" customWidth="1"/>
    <col min="19" max="22" width="12.5703125" customWidth="1"/>
    <col min="23" max="23" width="20.5703125" customWidth="1"/>
    <col min="24" max="24" width="18.7109375" customWidth="1"/>
    <col min="25" max="25" width="19.42578125" customWidth="1"/>
    <col min="26" max="26" width="15" style="32" customWidth="1"/>
    <col min="27" max="27" width="14.42578125" customWidth="1"/>
    <col min="28" max="28" width="16.85546875" customWidth="1"/>
    <col min="29" max="30" width="11.42578125" customWidth="1"/>
    <col min="31" max="31" width="14.85546875" customWidth="1"/>
    <col min="32" max="33" width="8.42578125" customWidth="1"/>
    <col min="34" max="34" width="18.140625" bestFit="1" customWidth="1"/>
    <col min="35" max="35" width="16.5703125" customWidth="1"/>
    <col min="36" max="36" width="14.140625" customWidth="1"/>
    <col min="37" max="37" width="17.140625"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9504</v>
      </c>
      <c r="E2" s="336"/>
      <c r="F2" s="336"/>
      <c r="G2" s="337" t="s">
        <v>99</v>
      </c>
      <c r="H2" s="337"/>
      <c r="I2" s="21">
        <v>3000</v>
      </c>
      <c r="J2" s="22" t="s">
        <v>85</v>
      </c>
      <c r="K2" s="339" t="e">
        <f>VLOOKUP($D$2,[2]Datos!$B$20:$D$35,3,FALSE)</f>
        <v>#N/A</v>
      </c>
      <c r="L2" s="339"/>
      <c r="M2" s="339"/>
      <c r="N2" s="339"/>
      <c r="O2" s="339"/>
      <c r="P2" s="339"/>
    </row>
    <row r="3" spans="1:34" ht="15.75" customHeight="1" x14ac:dyDescent="0.25">
      <c r="G3" s="338"/>
      <c r="H3" s="338"/>
      <c r="I3" s="21">
        <f>I2*I1</f>
        <v>3480000000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4831</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x14ac:dyDescent="0.25">
      <c r="A5" s="16">
        <v>891780111</v>
      </c>
      <c r="B5" s="16" t="s">
        <v>54</v>
      </c>
      <c r="C5" s="14" t="s">
        <v>56</v>
      </c>
      <c r="D5" s="16" t="s">
        <v>60</v>
      </c>
      <c r="E5" s="199" t="s">
        <v>4832</v>
      </c>
      <c r="F5" s="16" t="s">
        <v>61</v>
      </c>
      <c r="G5" s="1" t="s">
        <v>61</v>
      </c>
      <c r="H5" s="1" t="s">
        <v>79</v>
      </c>
      <c r="I5" s="9">
        <v>517925736</v>
      </c>
      <c r="J5" s="94"/>
      <c r="K5" s="2"/>
      <c r="L5" s="2"/>
      <c r="M5" s="30">
        <f>I5+K5-L5</f>
        <v>517925736</v>
      </c>
      <c r="N5" s="200">
        <v>900864404</v>
      </c>
      <c r="O5" s="201" t="s">
        <v>4833</v>
      </c>
      <c r="P5" s="70" t="s">
        <v>4834</v>
      </c>
      <c r="Q5" s="202" t="s">
        <v>4835</v>
      </c>
      <c r="R5" s="72" t="s">
        <v>4835</v>
      </c>
      <c r="S5" s="199" t="s">
        <v>4836</v>
      </c>
      <c r="T5" s="41"/>
      <c r="U5" s="41"/>
      <c r="V5" s="41"/>
      <c r="W5" s="3"/>
      <c r="X5" s="9">
        <v>258962868</v>
      </c>
      <c r="Y5" s="9">
        <v>258962868</v>
      </c>
      <c r="Z5" s="203">
        <f>+X5/M5</f>
        <v>0.5</v>
      </c>
      <c r="AA5" s="200">
        <v>85459497</v>
      </c>
      <c r="AB5" t="s">
        <v>4837</v>
      </c>
      <c r="AC5" s="1" t="s">
        <v>196</v>
      </c>
      <c r="AD5" s="1" t="s">
        <v>196</v>
      </c>
      <c r="AE5" s="3"/>
      <c r="AF5" s="204" t="s">
        <v>4838</v>
      </c>
      <c r="AG5" s="15" t="s">
        <v>192</v>
      </c>
      <c r="AH5" s="15" t="s">
        <v>191</v>
      </c>
    </row>
    <row r="6" spans="1:34" s="4" customFormat="1" x14ac:dyDescent="0.25">
      <c r="A6" s="16">
        <v>891780111</v>
      </c>
      <c r="B6" s="16" t="s">
        <v>54</v>
      </c>
      <c r="C6" s="14" t="s">
        <v>56</v>
      </c>
      <c r="D6" s="16" t="s">
        <v>60</v>
      </c>
      <c r="E6" s="1" t="s">
        <v>4839</v>
      </c>
      <c r="F6" s="16" t="s">
        <v>61</v>
      </c>
      <c r="G6" s="1" t="s">
        <v>61</v>
      </c>
      <c r="H6" s="1" t="s">
        <v>79</v>
      </c>
      <c r="I6" s="9">
        <v>46890000</v>
      </c>
      <c r="J6" s="94"/>
      <c r="K6" s="2"/>
      <c r="L6" s="2"/>
      <c r="M6" s="30">
        <f t="shared" ref="M6:M84" si="0">I6+K6-L6</f>
        <v>46890000</v>
      </c>
      <c r="N6" s="200">
        <v>57461792</v>
      </c>
      <c r="O6" s="201" t="s">
        <v>4840</v>
      </c>
      <c r="P6" s="70" t="s">
        <v>4841</v>
      </c>
      <c r="Q6" s="205">
        <v>44958</v>
      </c>
      <c r="R6" s="206">
        <v>44958</v>
      </c>
      <c r="S6" s="206">
        <v>45291</v>
      </c>
      <c r="T6" s="35"/>
      <c r="U6" s="3"/>
      <c r="V6" s="3"/>
      <c r="W6" s="3"/>
      <c r="X6" s="9">
        <v>46890000</v>
      </c>
      <c r="Y6" s="9"/>
      <c r="Z6" s="203">
        <v>0.6</v>
      </c>
      <c r="AA6" s="70">
        <v>72175282</v>
      </c>
      <c r="AB6" s="72" t="s">
        <v>4842</v>
      </c>
      <c r="AC6" s="1" t="s">
        <v>196</v>
      </c>
      <c r="AD6" s="1" t="s">
        <v>196</v>
      </c>
      <c r="AE6" s="3"/>
      <c r="AF6" s="207" t="s">
        <v>4843</v>
      </c>
      <c r="AG6" s="15" t="s">
        <v>192</v>
      </c>
      <c r="AH6" s="15" t="s">
        <v>191</v>
      </c>
    </row>
    <row r="7" spans="1:34" s="4" customFormat="1" x14ac:dyDescent="0.25">
      <c r="A7" s="16">
        <v>891780111</v>
      </c>
      <c r="B7" s="16" t="s">
        <v>54</v>
      </c>
      <c r="C7" s="14" t="s">
        <v>57</v>
      </c>
      <c r="D7" s="16" t="s">
        <v>60</v>
      </c>
      <c r="E7" s="1" t="s">
        <v>4844</v>
      </c>
      <c r="F7" s="16" t="s">
        <v>61</v>
      </c>
      <c r="G7" s="1" t="s">
        <v>61</v>
      </c>
      <c r="H7" s="1" t="s">
        <v>71</v>
      </c>
      <c r="I7" s="9">
        <v>1100060857.1099999</v>
      </c>
      <c r="J7" s="94"/>
      <c r="K7" s="2"/>
      <c r="L7" s="2"/>
      <c r="M7" s="30">
        <f t="shared" si="0"/>
        <v>1100060857.1099999</v>
      </c>
      <c r="N7" s="200">
        <v>819002537</v>
      </c>
      <c r="O7" s="201" t="s">
        <v>4845</v>
      </c>
      <c r="P7" s="70" t="s">
        <v>4846</v>
      </c>
      <c r="Q7" s="205">
        <v>44970</v>
      </c>
      <c r="R7" s="206">
        <v>44991</v>
      </c>
      <c r="S7" s="3">
        <v>45098</v>
      </c>
      <c r="T7" s="35"/>
      <c r="U7" s="3">
        <v>45033</v>
      </c>
      <c r="V7" s="3"/>
      <c r="W7" s="3"/>
      <c r="X7" s="9"/>
      <c r="Y7" s="9">
        <v>1100060857.1099999</v>
      </c>
      <c r="Z7" s="203">
        <v>0</v>
      </c>
      <c r="AA7" s="208">
        <v>15443332</v>
      </c>
      <c r="AB7" s="72" t="s">
        <v>4847</v>
      </c>
      <c r="AC7" s="1" t="s">
        <v>192</v>
      </c>
      <c r="AD7" s="1" t="s">
        <v>196</v>
      </c>
      <c r="AE7" s="3">
        <v>44979</v>
      </c>
      <c r="AF7" s="207" t="s">
        <v>4848</v>
      </c>
      <c r="AG7" s="15" t="s">
        <v>192</v>
      </c>
      <c r="AH7" s="15" t="s">
        <v>191</v>
      </c>
    </row>
    <row r="8" spans="1:34" s="4" customFormat="1" x14ac:dyDescent="0.25">
      <c r="A8" s="16">
        <v>891780111</v>
      </c>
      <c r="B8" s="16" t="s">
        <v>54</v>
      </c>
      <c r="C8" s="14" t="s">
        <v>57</v>
      </c>
      <c r="D8" s="16" t="s">
        <v>60</v>
      </c>
      <c r="E8" s="1" t="s">
        <v>4849</v>
      </c>
      <c r="F8" s="16" t="s">
        <v>61</v>
      </c>
      <c r="G8" s="1" t="s">
        <v>61</v>
      </c>
      <c r="H8" s="1" t="s">
        <v>72</v>
      </c>
      <c r="I8" s="9">
        <v>2560980800</v>
      </c>
      <c r="J8" s="94"/>
      <c r="K8" s="2"/>
      <c r="L8" s="2"/>
      <c r="M8" s="30">
        <f t="shared" si="0"/>
        <v>2560980800</v>
      </c>
      <c r="N8" s="200">
        <v>900173983</v>
      </c>
      <c r="O8" s="201" t="s">
        <v>4850</v>
      </c>
      <c r="P8" s="70" t="s">
        <v>4851</v>
      </c>
      <c r="Q8" s="205">
        <v>44970</v>
      </c>
      <c r="R8" s="206">
        <v>44971</v>
      </c>
      <c r="S8" s="206">
        <v>45079</v>
      </c>
      <c r="T8" s="35"/>
      <c r="U8" s="3"/>
      <c r="V8" s="3"/>
      <c r="W8" s="3"/>
      <c r="X8" s="9">
        <v>2420803300</v>
      </c>
      <c r="Y8" s="9">
        <v>140177500</v>
      </c>
      <c r="Z8" s="203">
        <f t="shared" ref="Z8:Z84" si="1">+X8/M8</f>
        <v>0.94526413474087745</v>
      </c>
      <c r="AA8" s="208">
        <v>85152695</v>
      </c>
      <c r="AB8" s="72" t="s">
        <v>4852</v>
      </c>
      <c r="AC8" s="1" t="s">
        <v>196</v>
      </c>
      <c r="AD8" s="1" t="s">
        <v>196</v>
      </c>
      <c r="AE8" s="3">
        <v>44971</v>
      </c>
      <c r="AF8" s="207" t="s">
        <v>4853</v>
      </c>
      <c r="AG8" s="15" t="s">
        <v>192</v>
      </c>
      <c r="AH8" s="15" t="s">
        <v>191</v>
      </c>
    </row>
    <row r="9" spans="1:34" s="4" customFormat="1" x14ac:dyDescent="0.25">
      <c r="A9" s="16">
        <v>891780111</v>
      </c>
      <c r="B9" s="16" t="s">
        <v>54</v>
      </c>
      <c r="C9" s="14" t="s">
        <v>56</v>
      </c>
      <c r="D9" s="16" t="s">
        <v>60</v>
      </c>
      <c r="E9" s="1" t="s">
        <v>4854</v>
      </c>
      <c r="F9" s="16" t="s">
        <v>61</v>
      </c>
      <c r="G9" s="1" t="s">
        <v>61</v>
      </c>
      <c r="H9" s="1" t="s">
        <v>73</v>
      </c>
      <c r="I9" s="9">
        <v>871261713</v>
      </c>
      <c r="J9" s="94"/>
      <c r="K9" s="2"/>
      <c r="L9" s="2"/>
      <c r="M9" s="30">
        <f t="shared" si="0"/>
        <v>871261713</v>
      </c>
      <c r="N9" s="200">
        <v>901572832</v>
      </c>
      <c r="O9" s="201" t="s">
        <v>4855</v>
      </c>
      <c r="P9" s="70" t="s">
        <v>4856</v>
      </c>
      <c r="Q9" s="205">
        <v>44985</v>
      </c>
      <c r="R9" s="206">
        <v>44991</v>
      </c>
      <c r="S9" s="206">
        <v>44995</v>
      </c>
      <c r="T9" s="35"/>
      <c r="U9" s="3"/>
      <c r="V9" s="3"/>
      <c r="W9" s="3"/>
      <c r="X9" s="9">
        <v>871261713</v>
      </c>
      <c r="Y9" s="9"/>
      <c r="Z9" s="203">
        <f t="shared" si="1"/>
        <v>1</v>
      </c>
      <c r="AA9" s="200">
        <v>85465146</v>
      </c>
      <c r="AB9" s="72" t="s">
        <v>4857</v>
      </c>
      <c r="AC9" s="1" t="s">
        <v>196</v>
      </c>
      <c r="AD9" s="1" t="s">
        <v>196</v>
      </c>
      <c r="AE9" s="3">
        <v>44991</v>
      </c>
      <c r="AF9" s="207" t="s">
        <v>4858</v>
      </c>
      <c r="AG9" s="15" t="s">
        <v>192</v>
      </c>
      <c r="AH9" s="15" t="s">
        <v>191</v>
      </c>
    </row>
    <row r="10" spans="1:34" s="4" customFormat="1" x14ac:dyDescent="0.25">
      <c r="A10" s="16">
        <v>891780111</v>
      </c>
      <c r="B10" s="16" t="s">
        <v>54</v>
      </c>
      <c r="C10" s="14" t="s">
        <v>56</v>
      </c>
      <c r="D10" s="16" t="s">
        <v>60</v>
      </c>
      <c r="E10" s="70" t="s">
        <v>4859</v>
      </c>
      <c r="F10" s="16" t="s">
        <v>61</v>
      </c>
      <c r="G10" s="1" t="s">
        <v>61</v>
      </c>
      <c r="H10" s="1" t="s">
        <v>73</v>
      </c>
      <c r="I10" s="9">
        <v>820000000</v>
      </c>
      <c r="J10" s="94"/>
      <c r="K10" s="2"/>
      <c r="L10" s="2"/>
      <c r="M10" s="30">
        <f t="shared" si="0"/>
        <v>820000000</v>
      </c>
      <c r="N10" s="200">
        <v>819000635</v>
      </c>
      <c r="O10" s="201" t="s">
        <v>4860</v>
      </c>
      <c r="P10" s="70" t="s">
        <v>4861</v>
      </c>
      <c r="Q10" s="202" t="s">
        <v>4862</v>
      </c>
      <c r="R10" s="72" t="s">
        <v>4863</v>
      </c>
      <c r="S10" s="72" t="s">
        <v>4836</v>
      </c>
      <c r="T10" s="35"/>
      <c r="U10" s="3"/>
      <c r="V10" s="3"/>
      <c r="W10" s="3"/>
      <c r="X10" s="9">
        <v>430602826</v>
      </c>
      <c r="Y10" s="9">
        <v>389397174</v>
      </c>
      <c r="Z10" s="203">
        <f t="shared" si="1"/>
        <v>0.52512539756097565</v>
      </c>
      <c r="AA10" s="200">
        <v>85459497</v>
      </c>
      <c r="AB10" t="s">
        <v>4837</v>
      </c>
      <c r="AC10" s="1" t="s">
        <v>192</v>
      </c>
      <c r="AD10" s="1" t="s">
        <v>196</v>
      </c>
      <c r="AE10" s="3">
        <v>44988</v>
      </c>
      <c r="AF10" s="207" t="s">
        <v>4864</v>
      </c>
      <c r="AG10" s="15" t="s">
        <v>192</v>
      </c>
      <c r="AH10" s="15" t="s">
        <v>191</v>
      </c>
    </row>
    <row r="11" spans="1:34" s="4" customFormat="1" x14ac:dyDescent="0.25">
      <c r="A11" s="16">
        <v>891780111</v>
      </c>
      <c r="B11" s="16" t="s">
        <v>54</v>
      </c>
      <c r="C11" s="14" t="s">
        <v>56</v>
      </c>
      <c r="D11" s="16" t="s">
        <v>60</v>
      </c>
      <c r="E11" s="70" t="s">
        <v>4865</v>
      </c>
      <c r="F11" s="16" t="s">
        <v>61</v>
      </c>
      <c r="G11" s="1" t="s">
        <v>61</v>
      </c>
      <c r="H11" s="1" t="s">
        <v>73</v>
      </c>
      <c r="I11" s="9">
        <v>653827479</v>
      </c>
      <c r="J11" s="94"/>
      <c r="K11" s="2"/>
      <c r="L11" s="2"/>
      <c r="M11" s="30">
        <f t="shared" si="0"/>
        <v>653827479</v>
      </c>
      <c r="N11" s="200">
        <v>819003851</v>
      </c>
      <c r="O11" s="201" t="s">
        <v>4866</v>
      </c>
      <c r="P11" s="70" t="s">
        <v>4867</v>
      </c>
      <c r="Q11" s="202" t="s">
        <v>4868</v>
      </c>
      <c r="R11" s="72" t="s">
        <v>4869</v>
      </c>
      <c r="S11" s="72" t="s">
        <v>4870</v>
      </c>
      <c r="T11" s="35"/>
      <c r="U11" s="3"/>
      <c r="V11" s="3"/>
      <c r="W11" s="3"/>
      <c r="X11" s="9">
        <v>163456869.66</v>
      </c>
      <c r="Y11" s="9">
        <v>490370609</v>
      </c>
      <c r="Z11" s="203">
        <v>0.25</v>
      </c>
      <c r="AA11" s="200">
        <v>85465146</v>
      </c>
      <c r="AB11" s="72" t="s">
        <v>4857</v>
      </c>
      <c r="AC11" s="1" t="s">
        <v>196</v>
      </c>
      <c r="AD11" s="1" t="s">
        <v>196</v>
      </c>
      <c r="AE11" s="3">
        <v>44988</v>
      </c>
      <c r="AF11" s="207" t="s">
        <v>4871</v>
      </c>
      <c r="AG11" s="15" t="s">
        <v>192</v>
      </c>
      <c r="AH11" s="15" t="s">
        <v>191</v>
      </c>
    </row>
    <row r="12" spans="1:34" s="4" customFormat="1" x14ac:dyDescent="0.25">
      <c r="A12" s="16">
        <v>891780111</v>
      </c>
      <c r="B12" s="16" t="s">
        <v>54</v>
      </c>
      <c r="C12" s="14" t="s">
        <v>56</v>
      </c>
      <c r="D12" s="16" t="s">
        <v>60</v>
      </c>
      <c r="E12" s="1" t="s">
        <v>4872</v>
      </c>
      <c r="F12" s="16" t="s">
        <v>61</v>
      </c>
      <c r="G12" s="1" t="s">
        <v>61</v>
      </c>
      <c r="H12" s="1" t="s">
        <v>73</v>
      </c>
      <c r="I12" s="9">
        <v>460845000</v>
      </c>
      <c r="J12" s="94"/>
      <c r="K12" s="2"/>
      <c r="L12" s="2"/>
      <c r="M12" s="30">
        <f t="shared" si="0"/>
        <v>460845000</v>
      </c>
      <c r="N12" s="209">
        <v>900200085</v>
      </c>
      <c r="O12" s="201" t="s">
        <v>4873</v>
      </c>
      <c r="P12" s="70" t="s">
        <v>4874</v>
      </c>
      <c r="Q12" s="205">
        <v>45013</v>
      </c>
      <c r="R12" s="206">
        <v>45026</v>
      </c>
      <c r="S12" s="206">
        <v>45291</v>
      </c>
      <c r="T12" s="35"/>
      <c r="U12" s="3"/>
      <c r="V12" s="3"/>
      <c r="W12" s="3"/>
      <c r="X12" s="9">
        <v>166371758</v>
      </c>
      <c r="Y12" s="9">
        <v>294473242</v>
      </c>
      <c r="Z12" s="203">
        <f t="shared" si="1"/>
        <v>0.3610145667198299</v>
      </c>
      <c r="AA12" s="200">
        <v>85459497</v>
      </c>
      <c r="AB12" s="70" t="s">
        <v>4837</v>
      </c>
      <c r="AC12" s="1" t="s">
        <v>192</v>
      </c>
      <c r="AD12" s="1" t="s">
        <v>196</v>
      </c>
      <c r="AE12" s="3">
        <v>45016</v>
      </c>
      <c r="AF12" s="207" t="s">
        <v>4875</v>
      </c>
      <c r="AG12" s="15" t="s">
        <v>192</v>
      </c>
      <c r="AH12" s="15" t="s">
        <v>191</v>
      </c>
    </row>
    <row r="13" spans="1:34" s="4" customFormat="1" x14ac:dyDescent="0.25">
      <c r="A13" s="16">
        <v>891780111</v>
      </c>
      <c r="B13" s="16" t="s">
        <v>54</v>
      </c>
      <c r="C13" s="14" t="s">
        <v>56</v>
      </c>
      <c r="D13" s="16" t="s">
        <v>60</v>
      </c>
      <c r="E13" s="1" t="s">
        <v>4876</v>
      </c>
      <c r="F13" s="16" t="s">
        <v>61</v>
      </c>
      <c r="G13" s="1" t="s">
        <v>61</v>
      </c>
      <c r="H13" s="1" t="s">
        <v>73</v>
      </c>
      <c r="I13" s="9">
        <v>377055000</v>
      </c>
      <c r="J13" s="94"/>
      <c r="K13" s="2"/>
      <c r="L13" s="2"/>
      <c r="M13" s="30">
        <f t="shared" si="0"/>
        <v>377055000</v>
      </c>
      <c r="N13" s="209">
        <v>819007190</v>
      </c>
      <c r="O13" s="201" t="s">
        <v>4877</v>
      </c>
      <c r="P13" s="70" t="s">
        <v>4878</v>
      </c>
      <c r="Q13" s="205">
        <v>45013</v>
      </c>
      <c r="R13" s="206">
        <v>45026</v>
      </c>
      <c r="S13" s="206">
        <v>45291</v>
      </c>
      <c r="T13" s="35"/>
      <c r="U13" s="3"/>
      <c r="V13" s="3"/>
      <c r="W13" s="3"/>
      <c r="X13" s="9">
        <v>123340732</v>
      </c>
      <c r="Y13" s="9">
        <v>253714268</v>
      </c>
      <c r="Z13" s="203">
        <f t="shared" si="1"/>
        <v>0.32711602286138625</v>
      </c>
      <c r="AA13" s="200">
        <v>85459497</v>
      </c>
      <c r="AB13" s="70" t="s">
        <v>4837</v>
      </c>
      <c r="AC13" s="1" t="s">
        <v>192</v>
      </c>
      <c r="AD13" s="1" t="s">
        <v>196</v>
      </c>
      <c r="AE13" s="3">
        <v>45016</v>
      </c>
      <c r="AF13" s="207" t="s">
        <v>4875</v>
      </c>
      <c r="AG13" s="15" t="s">
        <v>192</v>
      </c>
      <c r="AH13" s="15" t="s">
        <v>191</v>
      </c>
    </row>
    <row r="14" spans="1:34" s="4" customFormat="1" x14ac:dyDescent="0.25">
      <c r="A14" s="16">
        <v>891780111</v>
      </c>
      <c r="B14" s="16" t="s">
        <v>54</v>
      </c>
      <c r="C14" s="14" t="s">
        <v>57</v>
      </c>
      <c r="D14" s="16" t="s">
        <v>60</v>
      </c>
      <c r="E14" s="1" t="s">
        <v>4879</v>
      </c>
      <c r="F14" s="16" t="s">
        <v>61</v>
      </c>
      <c r="G14" s="1" t="s">
        <v>61</v>
      </c>
      <c r="H14" s="1" t="s">
        <v>79</v>
      </c>
      <c r="I14" s="9">
        <v>828458853.69000006</v>
      </c>
      <c r="J14" s="94"/>
      <c r="K14" s="2"/>
      <c r="L14" s="2"/>
      <c r="M14" s="30">
        <f t="shared" si="0"/>
        <v>828458853.69000006</v>
      </c>
      <c r="N14" s="209">
        <v>900196577</v>
      </c>
      <c r="O14" s="201" t="s">
        <v>4880</v>
      </c>
      <c r="P14" s="70" t="s">
        <v>4881</v>
      </c>
      <c r="Q14" s="205">
        <v>45035</v>
      </c>
      <c r="R14" s="206">
        <v>45051</v>
      </c>
      <c r="S14" s="206">
        <v>45143</v>
      </c>
      <c r="T14" s="35"/>
      <c r="U14" s="3"/>
      <c r="V14" s="3"/>
      <c r="W14" s="3"/>
      <c r="X14" s="9">
        <v>0</v>
      </c>
      <c r="Y14" s="9">
        <v>828458853.69000006</v>
      </c>
      <c r="Z14" s="203">
        <f t="shared" si="1"/>
        <v>0</v>
      </c>
      <c r="AA14" s="200">
        <v>41947381</v>
      </c>
      <c r="AB14" s="70" t="s">
        <v>4882</v>
      </c>
      <c r="AC14" s="1" t="s">
        <v>192</v>
      </c>
      <c r="AD14" s="1" t="s">
        <v>196</v>
      </c>
      <c r="AE14" s="3">
        <v>45041</v>
      </c>
      <c r="AF14" s="207" t="s">
        <v>4883</v>
      </c>
      <c r="AG14" s="15" t="s">
        <v>192</v>
      </c>
      <c r="AH14" s="15" t="s">
        <v>191</v>
      </c>
    </row>
    <row r="15" spans="1:34" s="4" customFormat="1" x14ac:dyDescent="0.25">
      <c r="A15" s="16">
        <v>891780111</v>
      </c>
      <c r="B15" s="16" t="s">
        <v>54</v>
      </c>
      <c r="C15" s="14" t="s">
        <v>57</v>
      </c>
      <c r="D15" s="16" t="s">
        <v>60</v>
      </c>
      <c r="E15" s="70" t="s">
        <v>4884</v>
      </c>
      <c r="F15" s="16" t="s">
        <v>61</v>
      </c>
      <c r="G15" s="1" t="s">
        <v>61</v>
      </c>
      <c r="H15" s="1" t="s">
        <v>73</v>
      </c>
      <c r="I15" s="9">
        <v>598859568.64999998</v>
      </c>
      <c r="J15" s="94"/>
      <c r="K15" s="2"/>
      <c r="L15" s="2"/>
      <c r="M15" s="30">
        <f t="shared" si="0"/>
        <v>598859568.64999998</v>
      </c>
      <c r="N15" s="200">
        <v>901279448</v>
      </c>
      <c r="O15" s="201" t="s">
        <v>4885</v>
      </c>
      <c r="P15" s="70" t="s">
        <v>4886</v>
      </c>
      <c r="Q15" s="70" t="s">
        <v>4887</v>
      </c>
      <c r="R15" s="70" t="s">
        <v>4888</v>
      </c>
      <c r="S15" s="70" t="s">
        <v>4889</v>
      </c>
      <c r="T15" s="35"/>
      <c r="U15" s="3"/>
      <c r="V15" s="3"/>
      <c r="W15" s="3"/>
      <c r="X15" s="9">
        <v>598859568.64999998</v>
      </c>
      <c r="Y15" s="9"/>
      <c r="Z15" s="203">
        <f t="shared" si="1"/>
        <v>1</v>
      </c>
      <c r="AA15" s="200">
        <v>85152695</v>
      </c>
      <c r="AB15" s="70" t="s">
        <v>4890</v>
      </c>
      <c r="AC15" s="1" t="s">
        <v>196</v>
      </c>
      <c r="AD15" s="1" t="s">
        <v>196</v>
      </c>
      <c r="AE15" s="3">
        <v>45054</v>
      </c>
      <c r="AF15" s="207" t="s">
        <v>4891</v>
      </c>
      <c r="AG15" s="15" t="s">
        <v>192</v>
      </c>
      <c r="AH15" s="15" t="s">
        <v>191</v>
      </c>
    </row>
    <row r="16" spans="1:34" s="4" customFormat="1" x14ac:dyDescent="0.25">
      <c r="A16" s="16">
        <v>891780111</v>
      </c>
      <c r="B16" s="16" t="s">
        <v>54</v>
      </c>
      <c r="C16" s="14" t="s">
        <v>56</v>
      </c>
      <c r="D16" s="16" t="s">
        <v>60</v>
      </c>
      <c r="E16" s="70" t="s">
        <v>4892</v>
      </c>
      <c r="F16" s="16" t="s">
        <v>61</v>
      </c>
      <c r="G16" s="1" t="s">
        <v>61</v>
      </c>
      <c r="H16" s="1" t="s">
        <v>73</v>
      </c>
      <c r="I16" s="9">
        <v>347720656</v>
      </c>
      <c r="J16" s="94"/>
      <c r="K16" s="2"/>
      <c r="L16" s="2"/>
      <c r="M16" s="30">
        <f t="shared" si="0"/>
        <v>347720656</v>
      </c>
      <c r="N16" s="200">
        <v>901717018</v>
      </c>
      <c r="O16" s="201" t="s">
        <v>4893</v>
      </c>
      <c r="P16" s="70" t="s">
        <v>4894</v>
      </c>
      <c r="Q16" s="70" t="s">
        <v>4895</v>
      </c>
      <c r="R16" s="70" t="s">
        <v>4896</v>
      </c>
      <c r="S16" s="70" t="s">
        <v>4897</v>
      </c>
      <c r="T16" s="35"/>
      <c r="U16" s="3"/>
      <c r="V16" s="3"/>
      <c r="W16" s="3"/>
      <c r="X16" s="9">
        <v>0</v>
      </c>
      <c r="Y16" s="9">
        <v>347720656</v>
      </c>
      <c r="Z16" s="203">
        <f t="shared" si="1"/>
        <v>0</v>
      </c>
      <c r="AA16" s="200">
        <v>36724655</v>
      </c>
      <c r="AB16" s="70" t="s">
        <v>4898</v>
      </c>
      <c r="AC16" s="1" t="s">
        <v>196</v>
      </c>
      <c r="AD16" s="1" t="s">
        <v>196</v>
      </c>
      <c r="AE16" s="3">
        <v>45076</v>
      </c>
      <c r="AF16" s="207" t="s">
        <v>4899</v>
      </c>
      <c r="AG16" s="15" t="s">
        <v>192</v>
      </c>
      <c r="AH16" s="15" t="s">
        <v>191</v>
      </c>
    </row>
    <row r="17" spans="1:34" s="4" customFormat="1" x14ac:dyDescent="0.25">
      <c r="A17" s="16">
        <v>891780111</v>
      </c>
      <c r="B17" s="16" t="s">
        <v>54</v>
      </c>
      <c r="C17" s="14" t="s">
        <v>56</v>
      </c>
      <c r="D17" s="16" t="s">
        <v>60</v>
      </c>
      <c r="E17" s="70" t="s">
        <v>4900</v>
      </c>
      <c r="F17" s="16" t="s">
        <v>61</v>
      </c>
      <c r="G17" s="1" t="s">
        <v>61</v>
      </c>
      <c r="H17" s="1" t="s">
        <v>72</v>
      </c>
      <c r="I17" s="9">
        <v>562558000</v>
      </c>
      <c r="J17" s="94"/>
      <c r="K17" s="2"/>
      <c r="L17" s="2"/>
      <c r="M17" s="30">
        <f t="shared" si="0"/>
        <v>562558000</v>
      </c>
      <c r="N17" s="200">
        <v>860000018</v>
      </c>
      <c r="O17" s="201" t="s">
        <v>4901</v>
      </c>
      <c r="P17" s="70" t="s">
        <v>4902</v>
      </c>
      <c r="Q17" s="205">
        <v>45072</v>
      </c>
      <c r="R17" s="206">
        <v>45078</v>
      </c>
      <c r="S17" s="206">
        <v>45291</v>
      </c>
      <c r="T17" s="35"/>
      <c r="U17" s="3"/>
      <c r="V17" s="3"/>
      <c r="W17" s="3"/>
      <c r="X17" s="9">
        <v>0</v>
      </c>
      <c r="Y17" s="9">
        <v>562558000</v>
      </c>
      <c r="Z17" s="203">
        <v>0</v>
      </c>
      <c r="AA17" s="200">
        <v>57298660</v>
      </c>
      <c r="AB17" s="70" t="s">
        <v>4903</v>
      </c>
      <c r="AC17" s="1" t="s">
        <v>196</v>
      </c>
      <c r="AD17" s="1" t="s">
        <v>196</v>
      </c>
      <c r="AE17" s="3">
        <v>45076</v>
      </c>
      <c r="AF17" s="207" t="s">
        <v>4904</v>
      </c>
      <c r="AG17" s="15" t="s">
        <v>192</v>
      </c>
      <c r="AH17" s="15" t="s">
        <v>191</v>
      </c>
    </row>
    <row r="18" spans="1:34" s="4" customFormat="1" x14ac:dyDescent="0.25">
      <c r="A18" s="16">
        <v>891780111</v>
      </c>
      <c r="B18" s="16" t="s">
        <v>54</v>
      </c>
      <c r="C18" s="14" t="s">
        <v>57</v>
      </c>
      <c r="D18" s="16" t="s">
        <v>60</v>
      </c>
      <c r="E18" s="70" t="s">
        <v>4905</v>
      </c>
      <c r="F18" s="16" t="s">
        <v>61</v>
      </c>
      <c r="G18" s="1" t="s">
        <v>61</v>
      </c>
      <c r="H18" s="1" t="s">
        <v>73</v>
      </c>
      <c r="I18" s="9">
        <v>339000000</v>
      </c>
      <c r="J18" s="94"/>
      <c r="K18" s="2"/>
      <c r="L18" s="2"/>
      <c r="M18" s="30">
        <f t="shared" si="0"/>
        <v>339000000</v>
      </c>
      <c r="N18" s="200">
        <v>900965852</v>
      </c>
      <c r="O18" s="201" t="s">
        <v>4906</v>
      </c>
      <c r="P18" s="70" t="s">
        <v>4907</v>
      </c>
      <c r="Q18" s="205">
        <v>45097</v>
      </c>
      <c r="R18" s="206">
        <v>45111</v>
      </c>
      <c r="S18" s="206">
        <v>45291</v>
      </c>
      <c r="T18" s="35"/>
      <c r="U18" s="3"/>
      <c r="V18" s="3"/>
      <c r="W18" s="3"/>
      <c r="X18" s="9">
        <v>0</v>
      </c>
      <c r="Y18" s="9">
        <v>339000000</v>
      </c>
      <c r="Z18" s="203">
        <v>0</v>
      </c>
      <c r="AA18" s="70">
        <v>72175282</v>
      </c>
      <c r="AB18" s="70" t="s">
        <v>4842</v>
      </c>
      <c r="AC18" s="1" t="s">
        <v>192</v>
      </c>
      <c r="AD18" s="1" t="s">
        <v>196</v>
      </c>
      <c r="AE18" s="193">
        <v>45099</v>
      </c>
      <c r="AF18" s="207" t="s">
        <v>4908</v>
      </c>
      <c r="AG18" s="15" t="s">
        <v>192</v>
      </c>
      <c r="AH18" s="15" t="s">
        <v>191</v>
      </c>
    </row>
    <row r="19" spans="1:34" s="4" customFormat="1" x14ac:dyDescent="0.25">
      <c r="A19" s="16">
        <v>891780111</v>
      </c>
      <c r="B19" s="16" t="s">
        <v>54</v>
      </c>
      <c r="C19" s="14" t="s">
        <v>56</v>
      </c>
      <c r="D19" s="16" t="s">
        <v>60</v>
      </c>
      <c r="E19" s="70" t="s">
        <v>4909</v>
      </c>
      <c r="F19" s="16" t="s">
        <v>61</v>
      </c>
      <c r="G19" s="1" t="s">
        <v>61</v>
      </c>
      <c r="H19" s="1" t="s">
        <v>79</v>
      </c>
      <c r="I19" s="9">
        <v>752640000</v>
      </c>
      <c r="J19" s="94"/>
      <c r="K19" s="2"/>
      <c r="L19" s="2"/>
      <c r="M19" s="30">
        <v>752640000</v>
      </c>
      <c r="N19" s="200">
        <v>819004091</v>
      </c>
      <c r="O19" s="201" t="s">
        <v>4910</v>
      </c>
      <c r="P19" s="70" t="s">
        <v>4911</v>
      </c>
      <c r="Q19" s="205">
        <v>45105</v>
      </c>
      <c r="R19" s="206">
        <v>45117</v>
      </c>
      <c r="S19" s="206">
        <v>45209</v>
      </c>
      <c r="T19" s="35"/>
      <c r="U19" s="3"/>
      <c r="V19" s="3"/>
      <c r="W19" s="3"/>
      <c r="X19" s="9">
        <v>0</v>
      </c>
      <c r="Y19" s="9">
        <v>752640000</v>
      </c>
      <c r="Z19" s="203">
        <v>0</v>
      </c>
      <c r="AA19" s="208">
        <v>85152695</v>
      </c>
      <c r="AB19" s="70" t="s">
        <v>4852</v>
      </c>
      <c r="AC19" s="1" t="s">
        <v>192</v>
      </c>
      <c r="AD19" s="1" t="s">
        <v>196</v>
      </c>
      <c r="AE19" s="3">
        <v>45107</v>
      </c>
      <c r="AF19" s="207" t="s">
        <v>4912</v>
      </c>
      <c r="AG19" s="15" t="s">
        <v>192</v>
      </c>
      <c r="AH19" s="15" t="s">
        <v>191</v>
      </c>
    </row>
    <row r="20" spans="1:34" s="4" customFormat="1" x14ac:dyDescent="0.25">
      <c r="A20" s="16">
        <v>891780111</v>
      </c>
      <c r="B20" s="16" t="s">
        <v>54</v>
      </c>
      <c r="C20" s="14" t="s">
        <v>57</v>
      </c>
      <c r="D20" s="16" t="s">
        <v>60</v>
      </c>
      <c r="E20" s="1" t="s">
        <v>4913</v>
      </c>
      <c r="F20" s="16" t="s">
        <v>61</v>
      </c>
      <c r="G20" s="1" t="s">
        <v>61</v>
      </c>
      <c r="H20" s="1" t="s">
        <v>72</v>
      </c>
      <c r="I20" s="9">
        <v>1072568000</v>
      </c>
      <c r="J20" s="94"/>
      <c r="K20" s="2"/>
      <c r="L20" s="2"/>
      <c r="M20" s="30">
        <v>1072568000</v>
      </c>
      <c r="N20" s="200">
        <v>900173983</v>
      </c>
      <c r="O20" s="201" t="s">
        <v>4850</v>
      </c>
      <c r="P20" s="70" t="s">
        <v>4851</v>
      </c>
      <c r="Q20" s="205">
        <v>45132</v>
      </c>
      <c r="R20" s="206">
        <v>45139</v>
      </c>
      <c r="S20" s="206">
        <v>45189</v>
      </c>
      <c r="T20" s="35"/>
      <c r="U20" s="3"/>
      <c r="V20" s="3"/>
      <c r="W20" s="3"/>
      <c r="X20" s="9">
        <v>0</v>
      </c>
      <c r="Y20" s="9">
        <v>1072568000</v>
      </c>
      <c r="Z20" s="203">
        <v>0</v>
      </c>
      <c r="AA20" s="208">
        <v>85152695</v>
      </c>
      <c r="AB20" s="70" t="s">
        <v>4852</v>
      </c>
      <c r="AC20" s="1" t="s">
        <v>196</v>
      </c>
      <c r="AD20" s="1" t="s">
        <v>196</v>
      </c>
      <c r="AE20" s="3">
        <v>45134</v>
      </c>
      <c r="AF20" s="216" t="s">
        <v>4914</v>
      </c>
      <c r="AG20" s="15" t="s">
        <v>192</v>
      </c>
      <c r="AH20" s="15" t="s">
        <v>191</v>
      </c>
    </row>
    <row r="21" spans="1:34" s="4" customFormat="1" x14ac:dyDescent="0.25">
      <c r="A21" s="16">
        <v>891780111</v>
      </c>
      <c r="B21" s="16" t="s">
        <v>54</v>
      </c>
      <c r="C21" s="14" t="s">
        <v>56</v>
      </c>
      <c r="D21" s="16"/>
      <c r="E21" s="70" t="s">
        <v>4915</v>
      </c>
      <c r="F21" s="16" t="s">
        <v>61</v>
      </c>
      <c r="G21" s="1" t="s">
        <v>61</v>
      </c>
      <c r="H21" s="1" t="s">
        <v>73</v>
      </c>
      <c r="I21" s="9">
        <v>517050000</v>
      </c>
      <c r="J21" s="94"/>
      <c r="K21" s="2"/>
      <c r="L21" s="2"/>
      <c r="M21" s="30">
        <v>517050000</v>
      </c>
      <c r="N21" s="200">
        <v>900348312</v>
      </c>
      <c r="O21" s="201" t="s">
        <v>4916</v>
      </c>
      <c r="P21" s="205" t="s">
        <v>4917</v>
      </c>
      <c r="Q21" s="193">
        <v>45135</v>
      </c>
      <c r="R21" s="206">
        <v>45140</v>
      </c>
      <c r="S21" s="206">
        <v>45505</v>
      </c>
      <c r="T21" s="35"/>
      <c r="U21" s="3"/>
      <c r="V21" s="3"/>
      <c r="W21" s="3"/>
      <c r="X21" s="9">
        <v>0</v>
      </c>
      <c r="Y21" s="9">
        <v>517050000</v>
      </c>
      <c r="Z21" s="203">
        <v>0</v>
      </c>
      <c r="AA21" s="208">
        <v>1082868728</v>
      </c>
      <c r="AB21" s="70" t="s">
        <v>4918</v>
      </c>
      <c r="AC21" s="1" t="s">
        <v>196</v>
      </c>
      <c r="AD21" s="1" t="s">
        <v>196</v>
      </c>
      <c r="AE21" s="3">
        <v>45140</v>
      </c>
      <c r="AF21" s="204" t="s">
        <v>4919</v>
      </c>
      <c r="AG21" s="15" t="s">
        <v>192</v>
      </c>
      <c r="AH21" s="15" t="s">
        <v>191</v>
      </c>
    </row>
    <row r="22" spans="1:34" s="4" customFormat="1" x14ac:dyDescent="0.25">
      <c r="A22" s="16">
        <v>891780111</v>
      </c>
      <c r="B22" s="16" t="s">
        <v>54</v>
      </c>
      <c r="C22" s="14" t="s">
        <v>56</v>
      </c>
      <c r="D22" s="16" t="s">
        <v>60</v>
      </c>
      <c r="E22" s="70" t="s">
        <v>4920</v>
      </c>
      <c r="F22" s="16" t="s">
        <v>61</v>
      </c>
      <c r="G22" s="1" t="s">
        <v>61</v>
      </c>
      <c r="H22" s="1" t="s">
        <v>79</v>
      </c>
      <c r="I22" s="9">
        <v>58500000</v>
      </c>
      <c r="J22" s="94"/>
      <c r="K22" s="2"/>
      <c r="L22" s="2"/>
      <c r="M22" s="30">
        <f t="shared" si="0"/>
        <v>58500000</v>
      </c>
      <c r="N22" s="200">
        <v>1083038159</v>
      </c>
      <c r="O22" s="201" t="s">
        <v>4921</v>
      </c>
      <c r="P22" s="70" t="s">
        <v>4922</v>
      </c>
      <c r="Q22" s="202" t="s">
        <v>4923</v>
      </c>
      <c r="R22" s="206">
        <v>44991</v>
      </c>
      <c r="S22" s="206">
        <v>44993</v>
      </c>
      <c r="T22" s="35"/>
      <c r="U22" s="3"/>
      <c r="V22" s="3"/>
      <c r="W22" s="3"/>
      <c r="X22" s="9">
        <v>58500000</v>
      </c>
      <c r="Y22" s="9">
        <v>0</v>
      </c>
      <c r="Z22" s="203">
        <f t="shared" si="1"/>
        <v>1</v>
      </c>
      <c r="AA22" s="200">
        <v>57400977</v>
      </c>
      <c r="AB22" s="70" t="s">
        <v>4924</v>
      </c>
      <c r="AC22" s="1" t="s">
        <v>196</v>
      </c>
      <c r="AD22" s="1" t="s">
        <v>196</v>
      </c>
      <c r="AE22" s="3"/>
      <c r="AF22" s="207" t="s">
        <v>4925</v>
      </c>
      <c r="AG22" s="15" t="s">
        <v>192</v>
      </c>
      <c r="AH22" s="15" t="s">
        <v>191</v>
      </c>
    </row>
    <row r="23" spans="1:34" s="4" customFormat="1" x14ac:dyDescent="0.25">
      <c r="A23" s="16">
        <v>891780111</v>
      </c>
      <c r="B23" s="16" t="s">
        <v>54</v>
      </c>
      <c r="C23" s="14" t="s">
        <v>56</v>
      </c>
      <c r="D23" s="16" t="s">
        <v>60</v>
      </c>
      <c r="E23" s="70" t="s">
        <v>4926</v>
      </c>
      <c r="F23" s="16" t="s">
        <v>61</v>
      </c>
      <c r="G23" s="1" t="s">
        <v>61</v>
      </c>
      <c r="H23" s="1" t="s">
        <v>79</v>
      </c>
      <c r="I23" s="9">
        <v>31981250</v>
      </c>
      <c r="J23" s="94"/>
      <c r="K23" s="2"/>
      <c r="L23" s="2"/>
      <c r="M23" s="30">
        <f t="shared" si="0"/>
        <v>31981250</v>
      </c>
      <c r="N23" s="200">
        <v>900199867</v>
      </c>
      <c r="O23" s="201" t="s">
        <v>4927</v>
      </c>
      <c r="P23" s="70" t="s">
        <v>4928</v>
      </c>
      <c r="Q23" s="206">
        <v>45042</v>
      </c>
      <c r="R23" s="206">
        <v>45043</v>
      </c>
      <c r="S23" s="206">
        <v>45054</v>
      </c>
      <c r="T23" s="35"/>
      <c r="U23" s="3"/>
      <c r="V23" s="3"/>
      <c r="W23" s="3"/>
      <c r="X23" s="9">
        <v>31981250</v>
      </c>
      <c r="Y23" s="9">
        <v>0</v>
      </c>
      <c r="Z23" s="203">
        <f t="shared" si="1"/>
        <v>1</v>
      </c>
      <c r="AA23" s="200">
        <v>72220242</v>
      </c>
      <c r="AB23" s="70" t="s">
        <v>4072</v>
      </c>
      <c r="AC23" s="1" t="s">
        <v>196</v>
      </c>
      <c r="AD23" s="1" t="s">
        <v>196</v>
      </c>
      <c r="AE23" s="3">
        <v>45043</v>
      </c>
      <c r="AF23" s="207" t="s">
        <v>4929</v>
      </c>
      <c r="AG23" s="15" t="s">
        <v>192</v>
      </c>
      <c r="AH23" s="15" t="s">
        <v>191</v>
      </c>
    </row>
    <row r="24" spans="1:34" s="4" customFormat="1" x14ac:dyDescent="0.25">
      <c r="A24" s="16">
        <v>891780111</v>
      </c>
      <c r="B24" s="16" t="s">
        <v>54</v>
      </c>
      <c r="C24" s="14" t="s">
        <v>57</v>
      </c>
      <c r="D24" s="16" t="s">
        <v>60</v>
      </c>
      <c r="E24" s="70" t="s">
        <v>4930</v>
      </c>
      <c r="F24" s="16" t="s">
        <v>61</v>
      </c>
      <c r="G24" s="1" t="s">
        <v>61</v>
      </c>
      <c r="H24" s="1" t="s">
        <v>79</v>
      </c>
      <c r="I24" s="9">
        <v>139573493.5</v>
      </c>
      <c r="J24" s="94"/>
      <c r="K24" s="2"/>
      <c r="L24" s="2"/>
      <c r="M24" s="30">
        <f t="shared" si="0"/>
        <v>139573493.5</v>
      </c>
      <c r="N24" s="200">
        <v>900355024</v>
      </c>
      <c r="O24" s="201" t="s">
        <v>4931</v>
      </c>
      <c r="P24" s="70" t="s">
        <v>4932</v>
      </c>
      <c r="Q24" s="70" t="s">
        <v>4933</v>
      </c>
      <c r="R24" s="70" t="s">
        <v>4934</v>
      </c>
      <c r="S24" s="70" t="s">
        <v>4935</v>
      </c>
      <c r="T24" s="35"/>
      <c r="U24" s="3"/>
      <c r="V24" s="3"/>
      <c r="W24" s="3"/>
      <c r="X24" s="9">
        <v>0</v>
      </c>
      <c r="Y24" s="9">
        <v>139573493.5</v>
      </c>
      <c r="Z24" s="203">
        <f t="shared" si="1"/>
        <v>0</v>
      </c>
      <c r="AA24" s="200">
        <v>51913961</v>
      </c>
      <c r="AB24" s="70" t="s">
        <v>4936</v>
      </c>
      <c r="AC24" s="1" t="s">
        <v>196</v>
      </c>
      <c r="AD24" s="1" t="s">
        <v>196</v>
      </c>
      <c r="AE24" s="3">
        <v>45058</v>
      </c>
      <c r="AF24" s="207" t="s">
        <v>4937</v>
      </c>
      <c r="AG24" s="15" t="s">
        <v>192</v>
      </c>
      <c r="AH24" s="15" t="s">
        <v>191</v>
      </c>
    </row>
    <row r="25" spans="1:34" s="4" customFormat="1" x14ac:dyDescent="0.25">
      <c r="A25" s="16">
        <v>891780111</v>
      </c>
      <c r="B25" s="16" t="s">
        <v>54</v>
      </c>
      <c r="C25" s="14" t="s">
        <v>57</v>
      </c>
      <c r="D25" s="16" t="s">
        <v>60</v>
      </c>
      <c r="E25" s="70" t="s">
        <v>4938</v>
      </c>
      <c r="F25" s="16" t="s">
        <v>61</v>
      </c>
      <c r="G25" s="1" t="s">
        <v>61</v>
      </c>
      <c r="H25" s="1" t="s">
        <v>79</v>
      </c>
      <c r="I25" s="9">
        <v>59642800</v>
      </c>
      <c r="J25" s="94"/>
      <c r="K25" s="2"/>
      <c r="L25" s="2"/>
      <c r="M25" s="30">
        <f t="shared" si="0"/>
        <v>59642800</v>
      </c>
      <c r="N25" s="200">
        <v>900906931</v>
      </c>
      <c r="O25" s="201" t="s">
        <v>4939</v>
      </c>
      <c r="P25" s="70" t="s">
        <v>4940</v>
      </c>
      <c r="Q25" s="206">
        <v>45086</v>
      </c>
      <c r="R25" s="206">
        <v>45090</v>
      </c>
      <c r="S25" s="206">
        <v>45150</v>
      </c>
      <c r="T25" s="35"/>
      <c r="U25" s="3"/>
      <c r="V25" s="3"/>
      <c r="W25" s="3"/>
      <c r="X25" s="9">
        <v>0</v>
      </c>
      <c r="Y25" s="9">
        <v>59642800</v>
      </c>
      <c r="Z25" s="203">
        <f t="shared" si="1"/>
        <v>0</v>
      </c>
      <c r="AA25" s="200">
        <v>12448927</v>
      </c>
      <c r="AB25" s="70" t="s">
        <v>4941</v>
      </c>
      <c r="AC25" s="1" t="s">
        <v>196</v>
      </c>
      <c r="AD25" s="1" t="s">
        <v>196</v>
      </c>
      <c r="AE25" s="3">
        <v>45090</v>
      </c>
      <c r="AF25" s="207" t="s">
        <v>4942</v>
      </c>
      <c r="AG25" s="15" t="s">
        <v>192</v>
      </c>
      <c r="AH25" s="15" t="s">
        <v>191</v>
      </c>
    </row>
    <row r="26" spans="1:34" x14ac:dyDescent="0.25">
      <c r="A26" s="16">
        <v>891780111</v>
      </c>
      <c r="B26" s="16" t="s">
        <v>54</v>
      </c>
      <c r="C26" s="14" t="s">
        <v>57</v>
      </c>
      <c r="D26" s="16" t="s">
        <v>60</v>
      </c>
      <c r="E26" s="70" t="s">
        <v>4943</v>
      </c>
      <c r="F26" s="16" t="s">
        <v>61</v>
      </c>
      <c r="G26" s="1" t="s">
        <v>61</v>
      </c>
      <c r="H26" s="1" t="s">
        <v>79</v>
      </c>
      <c r="I26" s="210">
        <v>2555000</v>
      </c>
      <c r="J26" s="331"/>
      <c r="K26" s="70"/>
      <c r="L26" s="70"/>
      <c r="M26" s="211">
        <f t="shared" si="0"/>
        <v>2555000</v>
      </c>
      <c r="N26" s="212">
        <v>12543836</v>
      </c>
      <c r="O26" s="201" t="s">
        <v>4944</v>
      </c>
      <c r="P26" s="213" t="s">
        <v>4945</v>
      </c>
      <c r="Q26" s="206">
        <v>45098</v>
      </c>
      <c r="R26" s="206">
        <v>45098</v>
      </c>
      <c r="S26" s="206">
        <v>45120</v>
      </c>
      <c r="T26" s="70"/>
      <c r="U26" s="70"/>
      <c r="V26" s="70"/>
      <c r="W26" s="70"/>
      <c r="X26" s="9">
        <v>0</v>
      </c>
      <c r="Y26" s="214">
        <v>2555000</v>
      </c>
      <c r="Z26" s="215">
        <f t="shared" si="1"/>
        <v>0</v>
      </c>
      <c r="AA26" s="200">
        <v>45498601</v>
      </c>
      <c r="AB26" t="s">
        <v>4946</v>
      </c>
      <c r="AC26" s="1" t="s">
        <v>196</v>
      </c>
      <c r="AD26" s="1" t="s">
        <v>196</v>
      </c>
      <c r="AF26" s="216" t="s">
        <v>4947</v>
      </c>
      <c r="AG26" s="15" t="s">
        <v>192</v>
      </c>
      <c r="AH26" s="15" t="s">
        <v>191</v>
      </c>
    </row>
    <row r="27" spans="1:34" s="4" customFormat="1" x14ac:dyDescent="0.25">
      <c r="A27" s="16">
        <v>891780111</v>
      </c>
      <c r="B27" s="16" t="s">
        <v>54</v>
      </c>
      <c r="C27" s="14" t="s">
        <v>57</v>
      </c>
      <c r="D27" s="16" t="s">
        <v>60</v>
      </c>
      <c r="E27" s="70" t="s">
        <v>4948</v>
      </c>
      <c r="F27" s="16" t="s">
        <v>61</v>
      </c>
      <c r="G27" s="1" t="s">
        <v>61</v>
      </c>
      <c r="H27" s="1" t="s">
        <v>79</v>
      </c>
      <c r="I27" s="9">
        <v>4059000</v>
      </c>
      <c r="J27" s="94"/>
      <c r="K27" s="2"/>
      <c r="L27" s="2"/>
      <c r="M27" s="30">
        <v>4059000</v>
      </c>
      <c r="N27" s="200">
        <v>1082848119</v>
      </c>
      <c r="O27" s="201" t="s">
        <v>1958</v>
      </c>
      <c r="P27" s="70" t="s">
        <v>4949</v>
      </c>
      <c r="Q27" s="205">
        <v>45106</v>
      </c>
      <c r="R27" s="206">
        <v>45106</v>
      </c>
      <c r="S27" s="206">
        <v>45136</v>
      </c>
      <c r="T27" s="35"/>
      <c r="U27" s="3"/>
      <c r="V27" s="3"/>
      <c r="W27" s="3"/>
      <c r="X27" s="9">
        <v>0</v>
      </c>
      <c r="Y27" s="9">
        <v>4059000</v>
      </c>
      <c r="Z27" s="203">
        <v>0</v>
      </c>
      <c r="AA27" s="200">
        <v>51913961</v>
      </c>
      <c r="AB27" s="70" t="s">
        <v>4936</v>
      </c>
      <c r="AC27" s="1" t="s">
        <v>196</v>
      </c>
      <c r="AD27" s="1" t="s">
        <v>196</v>
      </c>
      <c r="AE27" s="3"/>
      <c r="AF27" s="207" t="s">
        <v>4950</v>
      </c>
      <c r="AG27" s="15" t="s">
        <v>192</v>
      </c>
      <c r="AH27" s="15" t="s">
        <v>191</v>
      </c>
    </row>
    <row r="28" spans="1:34" s="4" customFormat="1" x14ac:dyDescent="0.25">
      <c r="A28" s="16">
        <v>891780111</v>
      </c>
      <c r="B28" s="16" t="s">
        <v>54</v>
      </c>
      <c r="C28" s="14" t="s">
        <v>57</v>
      </c>
      <c r="D28" s="16"/>
      <c r="E28" s="70" t="s">
        <v>4951</v>
      </c>
      <c r="F28" s="16" t="s">
        <v>61</v>
      </c>
      <c r="G28" s="1" t="s">
        <v>61</v>
      </c>
      <c r="H28" s="1" t="s">
        <v>79</v>
      </c>
      <c r="I28" s="9">
        <v>9142000</v>
      </c>
      <c r="J28" s="94"/>
      <c r="K28" s="2"/>
      <c r="L28" s="2"/>
      <c r="M28" s="30">
        <v>9142000</v>
      </c>
      <c r="N28" s="200">
        <v>900428481</v>
      </c>
      <c r="O28" s="201" t="s">
        <v>4952</v>
      </c>
      <c r="P28" s="70" t="s">
        <v>4953</v>
      </c>
      <c r="Q28" s="70" t="s">
        <v>4954</v>
      </c>
      <c r="R28" s="70" t="s">
        <v>4954</v>
      </c>
      <c r="S28" s="70" t="s">
        <v>4955</v>
      </c>
      <c r="T28" s="35"/>
      <c r="U28" s="3"/>
      <c r="V28" s="3"/>
      <c r="W28" s="3"/>
      <c r="X28" s="9">
        <v>0</v>
      </c>
      <c r="Y28" s="9">
        <v>9142000</v>
      </c>
      <c r="Z28" s="203">
        <v>0</v>
      </c>
      <c r="AA28" s="200">
        <v>45498601</v>
      </c>
      <c r="AB28" s="70" t="s">
        <v>4946</v>
      </c>
      <c r="AC28" s="1" t="s">
        <v>196</v>
      </c>
      <c r="AD28" s="1" t="s">
        <v>196</v>
      </c>
      <c r="AE28" s="3"/>
      <c r="AF28" s="266" t="s">
        <v>4956</v>
      </c>
      <c r="AG28" s="15" t="s">
        <v>192</v>
      </c>
      <c r="AH28" s="15" t="s">
        <v>191</v>
      </c>
    </row>
    <row r="29" spans="1:34" s="4" customFormat="1" x14ac:dyDescent="0.25">
      <c r="A29" s="16">
        <v>891780111</v>
      </c>
      <c r="B29" s="16" t="s">
        <v>54</v>
      </c>
      <c r="C29" s="14" t="s">
        <v>57</v>
      </c>
      <c r="D29" s="16"/>
      <c r="E29" s="70" t="s">
        <v>4957</v>
      </c>
      <c r="F29" s="16" t="s">
        <v>61</v>
      </c>
      <c r="G29" s="1" t="s">
        <v>61</v>
      </c>
      <c r="H29" s="1" t="s">
        <v>79</v>
      </c>
      <c r="I29" s="9">
        <v>37076830</v>
      </c>
      <c r="J29" s="94"/>
      <c r="K29" s="2"/>
      <c r="L29" s="2"/>
      <c r="M29" s="30">
        <v>37076830</v>
      </c>
      <c r="N29" s="200">
        <v>900199867</v>
      </c>
      <c r="O29" s="201" t="s">
        <v>4958</v>
      </c>
      <c r="P29" s="70" t="s">
        <v>4959</v>
      </c>
      <c r="Q29" s="70" t="s">
        <v>4960</v>
      </c>
      <c r="R29" s="70" t="s">
        <v>4961</v>
      </c>
      <c r="S29" s="70" t="s">
        <v>4962</v>
      </c>
      <c r="T29" s="35"/>
      <c r="U29" s="3"/>
      <c r="V29" s="3"/>
      <c r="W29" s="3"/>
      <c r="X29" s="9">
        <v>0</v>
      </c>
      <c r="Y29" s="9">
        <v>37076830</v>
      </c>
      <c r="Z29" s="203">
        <v>0</v>
      </c>
      <c r="AA29" s="200">
        <v>85465146</v>
      </c>
      <c r="AB29" s="70" t="s">
        <v>4857</v>
      </c>
      <c r="AC29" s="1" t="s">
        <v>196</v>
      </c>
      <c r="AD29" s="1" t="s">
        <v>196</v>
      </c>
      <c r="AE29" s="3"/>
      <c r="AF29" s="266" t="s">
        <v>4963</v>
      </c>
      <c r="AG29" s="15" t="s">
        <v>192</v>
      </c>
      <c r="AH29" s="15" t="s">
        <v>191</v>
      </c>
    </row>
    <row r="30" spans="1:34" s="4" customFormat="1" x14ac:dyDescent="0.25">
      <c r="A30" s="16">
        <v>891780111</v>
      </c>
      <c r="B30" s="16" t="s">
        <v>54</v>
      </c>
      <c r="C30" s="14" t="s">
        <v>56</v>
      </c>
      <c r="D30" s="16" t="s">
        <v>60</v>
      </c>
      <c r="E30" s="70" t="s">
        <v>4964</v>
      </c>
      <c r="F30" s="16" t="s">
        <v>61</v>
      </c>
      <c r="G30" s="1" t="s">
        <v>61</v>
      </c>
      <c r="H30" s="1" t="s">
        <v>72</v>
      </c>
      <c r="I30" s="9">
        <v>45000000</v>
      </c>
      <c r="J30" s="94"/>
      <c r="K30" s="2"/>
      <c r="L30" s="2"/>
      <c r="M30" s="30">
        <f t="shared" si="0"/>
        <v>45000000</v>
      </c>
      <c r="N30" s="200">
        <v>7143983</v>
      </c>
      <c r="O30" s="201" t="s">
        <v>4965</v>
      </c>
      <c r="P30" s="70" t="s">
        <v>4966</v>
      </c>
      <c r="Q30" s="205">
        <v>44971</v>
      </c>
      <c r="R30" s="206">
        <v>44971</v>
      </c>
      <c r="S30" s="206">
        <v>44999</v>
      </c>
      <c r="T30" s="35"/>
      <c r="U30" s="3"/>
      <c r="V30" s="3"/>
      <c r="W30" s="3"/>
      <c r="X30" s="9">
        <v>45000000</v>
      </c>
      <c r="Y30" s="9">
        <v>0</v>
      </c>
      <c r="Z30" s="203">
        <f t="shared" si="1"/>
        <v>1</v>
      </c>
      <c r="AA30" s="70">
        <v>36722626</v>
      </c>
      <c r="AB30" s="72" t="s">
        <v>4967</v>
      </c>
      <c r="AC30" s="1" t="s">
        <v>196</v>
      </c>
      <c r="AD30" s="1" t="s">
        <v>196</v>
      </c>
      <c r="AE30" s="3"/>
      <c r="AF30" s="207" t="s">
        <v>4968</v>
      </c>
      <c r="AG30" s="15" t="s">
        <v>192</v>
      </c>
      <c r="AH30" s="15" t="s">
        <v>191</v>
      </c>
    </row>
    <row r="31" spans="1:34" s="4" customFormat="1" x14ac:dyDescent="0.25">
      <c r="A31" s="16">
        <v>891780111</v>
      </c>
      <c r="B31" s="16" t="s">
        <v>54</v>
      </c>
      <c r="C31" s="14" t="s">
        <v>56</v>
      </c>
      <c r="D31" s="16" t="s">
        <v>60</v>
      </c>
      <c r="E31" s="70" t="s">
        <v>4969</v>
      </c>
      <c r="F31" s="16" t="s">
        <v>61</v>
      </c>
      <c r="G31" s="1" t="s">
        <v>61</v>
      </c>
      <c r="H31" s="1" t="s">
        <v>72</v>
      </c>
      <c r="I31" s="9">
        <v>24841500</v>
      </c>
      <c r="J31" s="94">
        <v>1</v>
      </c>
      <c r="K31" s="2">
        <v>12181786</v>
      </c>
      <c r="L31" s="2"/>
      <c r="M31" s="30">
        <f t="shared" si="0"/>
        <v>37023286</v>
      </c>
      <c r="N31" s="200">
        <v>36560048</v>
      </c>
      <c r="O31" s="201" t="s">
        <v>4970</v>
      </c>
      <c r="P31" s="70" t="s">
        <v>4971</v>
      </c>
      <c r="Q31" s="202" t="s">
        <v>4862</v>
      </c>
      <c r="R31" s="72" t="s">
        <v>4972</v>
      </c>
      <c r="S31" s="72" t="s">
        <v>4973</v>
      </c>
      <c r="T31" s="35"/>
      <c r="U31" s="3"/>
      <c r="V31" s="3"/>
      <c r="W31" s="3">
        <v>45079</v>
      </c>
      <c r="X31" s="9">
        <v>37022116</v>
      </c>
      <c r="Y31" s="9">
        <v>1170</v>
      </c>
      <c r="Z31" s="203">
        <v>1</v>
      </c>
      <c r="AA31" s="200">
        <v>85152695</v>
      </c>
      <c r="AB31" s="70" t="s">
        <v>4890</v>
      </c>
      <c r="AC31" s="1" t="s">
        <v>196</v>
      </c>
      <c r="AD31" s="1" t="s">
        <v>196</v>
      </c>
      <c r="AE31" s="3"/>
      <c r="AF31" s="207" t="s">
        <v>4974</v>
      </c>
      <c r="AG31" s="15" t="s">
        <v>192</v>
      </c>
      <c r="AH31" s="15" t="s">
        <v>191</v>
      </c>
    </row>
    <row r="32" spans="1:34" s="4" customFormat="1" x14ac:dyDescent="0.25">
      <c r="A32" s="16">
        <v>891780111</v>
      </c>
      <c r="B32" s="16" t="s">
        <v>54</v>
      </c>
      <c r="C32" s="14" t="s">
        <v>57</v>
      </c>
      <c r="D32" s="16" t="s">
        <v>60</v>
      </c>
      <c r="E32" s="70" t="s">
        <v>4975</v>
      </c>
      <c r="F32" s="16" t="s">
        <v>61</v>
      </c>
      <c r="G32" s="1" t="s">
        <v>61</v>
      </c>
      <c r="H32" s="1" t="s">
        <v>72</v>
      </c>
      <c r="I32" s="9">
        <v>38730081</v>
      </c>
      <c r="J32" s="94"/>
      <c r="K32" s="2"/>
      <c r="L32" s="2"/>
      <c r="M32" s="30">
        <f t="shared" si="0"/>
        <v>38730081</v>
      </c>
      <c r="N32" s="200">
        <v>860000018</v>
      </c>
      <c r="O32" s="201" t="s">
        <v>4976</v>
      </c>
      <c r="P32" s="70" t="s">
        <v>4977</v>
      </c>
      <c r="Q32" s="205">
        <v>45036</v>
      </c>
      <c r="R32" s="206">
        <v>45036</v>
      </c>
      <c r="S32" s="206">
        <v>45189</v>
      </c>
      <c r="T32" s="35"/>
      <c r="U32" s="3"/>
      <c r="V32" s="3"/>
      <c r="W32" s="3"/>
      <c r="X32" s="9"/>
      <c r="Y32" s="9">
        <v>38730081</v>
      </c>
      <c r="Z32" s="203">
        <f t="shared" si="1"/>
        <v>0</v>
      </c>
      <c r="AA32" s="200">
        <v>45498601</v>
      </c>
      <c r="AB32" t="s">
        <v>4946</v>
      </c>
      <c r="AC32" s="1" t="s">
        <v>196</v>
      </c>
      <c r="AD32" s="1" t="s">
        <v>196</v>
      </c>
      <c r="AE32" s="3"/>
      <c r="AF32" s="207" t="s">
        <v>4978</v>
      </c>
      <c r="AG32" s="15" t="s">
        <v>192</v>
      </c>
      <c r="AH32" s="15" t="s">
        <v>191</v>
      </c>
    </row>
    <row r="33" spans="1:34" s="4" customFormat="1" x14ac:dyDescent="0.25">
      <c r="A33" s="16">
        <v>891780111</v>
      </c>
      <c r="B33" s="16" t="s">
        <v>54</v>
      </c>
      <c r="C33" s="14" t="s">
        <v>57</v>
      </c>
      <c r="D33" s="16" t="s">
        <v>60</v>
      </c>
      <c r="E33" s="70" t="s">
        <v>4979</v>
      </c>
      <c r="F33" s="16" t="s">
        <v>61</v>
      </c>
      <c r="G33" s="1" t="s">
        <v>61</v>
      </c>
      <c r="H33" s="1" t="s">
        <v>72</v>
      </c>
      <c r="I33" s="9">
        <v>68868000</v>
      </c>
      <c r="J33" s="94"/>
      <c r="K33" s="2"/>
      <c r="L33" s="2"/>
      <c r="M33" s="30">
        <f t="shared" si="0"/>
        <v>68868000</v>
      </c>
      <c r="N33" s="200">
        <v>36560048</v>
      </c>
      <c r="O33" s="201" t="s">
        <v>4980</v>
      </c>
      <c r="P33" s="70" t="s">
        <v>4981</v>
      </c>
      <c r="Q33" s="205">
        <v>45086</v>
      </c>
      <c r="R33" s="206">
        <v>45086</v>
      </c>
      <c r="S33" s="206">
        <v>45169</v>
      </c>
      <c r="T33" s="35"/>
      <c r="U33" s="3"/>
      <c r="V33" s="3"/>
      <c r="W33" s="3"/>
      <c r="X33" s="9">
        <v>0</v>
      </c>
      <c r="Y33" s="217">
        <v>68868000</v>
      </c>
      <c r="Z33" s="203">
        <f t="shared" si="1"/>
        <v>0</v>
      </c>
      <c r="AA33" s="208">
        <v>85152695</v>
      </c>
      <c r="AB33" s="70" t="s">
        <v>4852</v>
      </c>
      <c r="AC33" s="1" t="s">
        <v>196</v>
      </c>
      <c r="AD33" s="1" t="s">
        <v>196</v>
      </c>
      <c r="AE33" s="3">
        <v>45086</v>
      </c>
      <c r="AF33" s="216" t="s">
        <v>4982</v>
      </c>
      <c r="AG33" s="15" t="s">
        <v>192</v>
      </c>
      <c r="AH33" s="15" t="s">
        <v>191</v>
      </c>
    </row>
    <row r="34" spans="1:34" s="4" customFormat="1" x14ac:dyDescent="0.25">
      <c r="A34" s="16">
        <v>891780111</v>
      </c>
      <c r="B34" s="16" t="s">
        <v>54</v>
      </c>
      <c r="C34" s="14" t="s">
        <v>56</v>
      </c>
      <c r="D34" s="16" t="s">
        <v>60</v>
      </c>
      <c r="E34" s="70" t="s">
        <v>4983</v>
      </c>
      <c r="F34" s="16" t="s">
        <v>61</v>
      </c>
      <c r="G34" s="1" t="s">
        <v>61</v>
      </c>
      <c r="H34" s="1" t="s">
        <v>72</v>
      </c>
      <c r="I34" s="9">
        <v>19999332</v>
      </c>
      <c r="J34" s="94"/>
      <c r="K34" s="2"/>
      <c r="L34" s="2"/>
      <c r="M34" s="30">
        <f t="shared" si="0"/>
        <v>19999332</v>
      </c>
      <c r="N34" s="200">
        <v>900173983</v>
      </c>
      <c r="O34" s="201" t="s">
        <v>4850</v>
      </c>
      <c r="P34" s="70" t="s">
        <v>4984</v>
      </c>
      <c r="Q34" s="205">
        <v>45104</v>
      </c>
      <c r="R34" s="206">
        <v>45106</v>
      </c>
      <c r="S34" s="206">
        <v>45291</v>
      </c>
      <c r="T34" s="35"/>
      <c r="U34" s="3"/>
      <c r="V34" s="3"/>
      <c r="W34" s="3"/>
      <c r="X34" s="9">
        <v>0</v>
      </c>
      <c r="Y34" s="9">
        <v>19999332</v>
      </c>
      <c r="Z34" s="203">
        <f t="shared" si="1"/>
        <v>0</v>
      </c>
      <c r="AA34" s="200">
        <v>12560219</v>
      </c>
      <c r="AB34" s="70" t="s">
        <v>4985</v>
      </c>
      <c r="AC34" s="1" t="s">
        <v>196</v>
      </c>
      <c r="AD34" s="1" t="s">
        <v>196</v>
      </c>
      <c r="AE34" s="3">
        <v>45105</v>
      </c>
      <c r="AF34" s="207" t="s">
        <v>4986</v>
      </c>
      <c r="AG34" s="15" t="s">
        <v>192</v>
      </c>
      <c r="AH34" s="15" t="s">
        <v>191</v>
      </c>
    </row>
    <row r="35" spans="1:34" s="4" customFormat="1" x14ac:dyDescent="0.25">
      <c r="A35" s="16">
        <v>891780111</v>
      </c>
      <c r="B35" s="16" t="s">
        <v>54</v>
      </c>
      <c r="C35" s="14" t="s">
        <v>56</v>
      </c>
      <c r="D35" s="16"/>
      <c r="E35" s="70" t="s">
        <v>4987</v>
      </c>
      <c r="F35" s="16" t="s">
        <v>61</v>
      </c>
      <c r="G35" s="1" t="s">
        <v>61</v>
      </c>
      <c r="H35" s="1" t="s">
        <v>72</v>
      </c>
      <c r="I35" s="9">
        <v>60000000</v>
      </c>
      <c r="J35" s="94"/>
      <c r="K35" s="2"/>
      <c r="L35" s="2"/>
      <c r="M35" s="30">
        <v>60000000</v>
      </c>
      <c r="N35" s="99">
        <v>7143983</v>
      </c>
      <c r="O35" s="201" t="s">
        <v>4988</v>
      </c>
      <c r="P35" s="70" t="s">
        <v>4989</v>
      </c>
      <c r="Q35" s="205">
        <v>45117</v>
      </c>
      <c r="R35" s="206">
        <v>45124</v>
      </c>
      <c r="S35" s="206">
        <v>45186</v>
      </c>
      <c r="T35" s="35"/>
      <c r="U35" s="3"/>
      <c r="V35" s="3"/>
      <c r="W35" s="3"/>
      <c r="X35" s="9"/>
      <c r="Y35" s="217">
        <v>60000000</v>
      </c>
      <c r="Z35" s="203">
        <v>0</v>
      </c>
      <c r="AA35" s="70">
        <v>36722626</v>
      </c>
      <c r="AB35" s="72" t="s">
        <v>4967</v>
      </c>
      <c r="AC35" s="1" t="s">
        <v>192</v>
      </c>
      <c r="AD35" s="1" t="s">
        <v>196</v>
      </c>
      <c r="AE35" s="3">
        <v>45119</v>
      </c>
      <c r="AF35" s="216" t="s">
        <v>4990</v>
      </c>
      <c r="AG35" s="15" t="s">
        <v>192</v>
      </c>
      <c r="AH35" s="15" t="s">
        <v>191</v>
      </c>
    </row>
    <row r="36" spans="1:34" s="4" customFormat="1" x14ac:dyDescent="0.25">
      <c r="A36" s="16">
        <v>891780111</v>
      </c>
      <c r="B36" s="16" t="s">
        <v>54</v>
      </c>
      <c r="C36" s="14" t="s">
        <v>57</v>
      </c>
      <c r="D36" s="16" t="s">
        <v>60</v>
      </c>
      <c r="E36" s="70" t="s">
        <v>4991</v>
      </c>
      <c r="F36" s="16" t="s">
        <v>61</v>
      </c>
      <c r="G36" s="1" t="s">
        <v>61</v>
      </c>
      <c r="H36" s="1" t="s">
        <v>79</v>
      </c>
      <c r="I36" s="9">
        <v>26077649.620000001</v>
      </c>
      <c r="J36" s="94"/>
      <c r="K36" s="2"/>
      <c r="L36" s="2"/>
      <c r="M36" s="30">
        <f t="shared" si="0"/>
        <v>26077649.620000001</v>
      </c>
      <c r="N36" s="200">
        <v>8485541</v>
      </c>
      <c r="O36" s="201" t="s">
        <v>4992</v>
      </c>
      <c r="P36" s="70" t="s">
        <v>4993</v>
      </c>
      <c r="Q36" s="205">
        <v>45016</v>
      </c>
      <c r="R36" s="206">
        <v>45016</v>
      </c>
      <c r="S36" s="206">
        <v>45025</v>
      </c>
      <c r="T36" s="35"/>
      <c r="U36" s="3"/>
      <c r="V36" s="3"/>
      <c r="W36" s="3"/>
      <c r="X36" s="9">
        <v>26077649.620000001</v>
      </c>
      <c r="Y36" s="1">
        <v>0</v>
      </c>
      <c r="Z36" s="203">
        <f t="shared" si="1"/>
        <v>1</v>
      </c>
      <c r="AA36" s="200">
        <v>72220242</v>
      </c>
      <c r="AB36" s="70" t="s">
        <v>4072</v>
      </c>
      <c r="AC36" s="1" t="s">
        <v>196</v>
      </c>
      <c r="AD36" s="1" t="s">
        <v>196</v>
      </c>
      <c r="AE36" s="3"/>
      <c r="AF36" s="207" t="s">
        <v>4994</v>
      </c>
      <c r="AG36" s="15" t="s">
        <v>192</v>
      </c>
      <c r="AH36" s="15" t="s">
        <v>191</v>
      </c>
    </row>
    <row r="37" spans="1:34" s="4" customFormat="1" x14ac:dyDescent="0.25">
      <c r="A37" s="16">
        <v>891780111</v>
      </c>
      <c r="B37" s="16" t="s">
        <v>54</v>
      </c>
      <c r="C37" s="14" t="s">
        <v>56</v>
      </c>
      <c r="D37" s="16" t="s">
        <v>60</v>
      </c>
      <c r="E37" s="70" t="s">
        <v>4995</v>
      </c>
      <c r="F37" s="16" t="s">
        <v>61</v>
      </c>
      <c r="G37" s="1" t="s">
        <v>61</v>
      </c>
      <c r="H37" s="1" t="s">
        <v>79</v>
      </c>
      <c r="I37" s="9">
        <v>85680000</v>
      </c>
      <c r="J37" s="94"/>
      <c r="K37" s="2"/>
      <c r="L37" s="2"/>
      <c r="M37" s="30">
        <f t="shared" si="0"/>
        <v>85680000</v>
      </c>
      <c r="N37" s="200">
        <v>901667375</v>
      </c>
      <c r="O37" s="201" t="s">
        <v>4996</v>
      </c>
      <c r="P37" s="70" t="s">
        <v>4997</v>
      </c>
      <c r="Q37" s="205">
        <v>45040</v>
      </c>
      <c r="R37" s="206">
        <v>45040</v>
      </c>
      <c r="S37" s="206">
        <v>45291</v>
      </c>
      <c r="T37" s="35"/>
      <c r="U37" s="3"/>
      <c r="V37" s="3"/>
      <c r="W37" s="3"/>
      <c r="X37" s="9"/>
      <c r="Y37" s="9">
        <v>85680000</v>
      </c>
      <c r="Z37" s="203">
        <f t="shared" si="1"/>
        <v>0</v>
      </c>
      <c r="AA37" s="200">
        <v>57400977</v>
      </c>
      <c r="AB37" s="70" t="s">
        <v>4924</v>
      </c>
      <c r="AC37" s="1" t="s">
        <v>196</v>
      </c>
      <c r="AD37" s="1" t="s">
        <v>196</v>
      </c>
      <c r="AE37" s="3"/>
      <c r="AF37" s="207" t="s">
        <v>4998</v>
      </c>
      <c r="AG37" s="15" t="s">
        <v>192</v>
      </c>
      <c r="AH37" s="15" t="s">
        <v>191</v>
      </c>
    </row>
    <row r="38" spans="1:34" s="4" customFormat="1" x14ac:dyDescent="0.25">
      <c r="A38" s="16">
        <v>891780111</v>
      </c>
      <c r="B38" s="16" t="s">
        <v>54</v>
      </c>
      <c r="C38" s="14" t="s">
        <v>56</v>
      </c>
      <c r="D38" s="16" t="s">
        <v>60</v>
      </c>
      <c r="E38" s="70" t="s">
        <v>4999</v>
      </c>
      <c r="F38" s="16" t="s">
        <v>61</v>
      </c>
      <c r="G38" s="1" t="s">
        <v>61</v>
      </c>
      <c r="H38" s="1" t="s">
        <v>79</v>
      </c>
      <c r="I38" s="9">
        <v>50000000</v>
      </c>
      <c r="J38" s="94"/>
      <c r="K38" s="2"/>
      <c r="L38" s="2"/>
      <c r="M38" s="30">
        <f t="shared" si="0"/>
        <v>50000000</v>
      </c>
      <c r="N38" s="200">
        <v>819006702</v>
      </c>
      <c r="O38" s="201" t="s">
        <v>5000</v>
      </c>
      <c r="P38" s="70" t="s">
        <v>5001</v>
      </c>
      <c r="Q38" s="205">
        <v>45040</v>
      </c>
      <c r="R38" s="206">
        <v>45042</v>
      </c>
      <c r="S38" s="206">
        <v>45138</v>
      </c>
      <c r="T38" s="35"/>
      <c r="U38" s="3"/>
      <c r="V38" s="3"/>
      <c r="W38" s="3"/>
      <c r="X38" s="9">
        <v>3003316</v>
      </c>
      <c r="Y38" s="9">
        <v>46996684</v>
      </c>
      <c r="Z38" s="203">
        <f t="shared" si="1"/>
        <v>6.0066319999999999E-2</v>
      </c>
      <c r="AA38" s="200">
        <v>57461757</v>
      </c>
      <c r="AB38" s="70" t="s">
        <v>5002</v>
      </c>
      <c r="AC38" s="1" t="s">
        <v>196</v>
      </c>
      <c r="AD38" s="1" t="s">
        <v>196</v>
      </c>
      <c r="AE38" s="3"/>
      <c r="AF38" s="207" t="s">
        <v>5003</v>
      </c>
      <c r="AG38" s="15" t="s">
        <v>192</v>
      </c>
      <c r="AH38" s="15" t="s">
        <v>191</v>
      </c>
    </row>
    <row r="39" spans="1:34" s="4" customFormat="1" x14ac:dyDescent="0.25">
      <c r="A39" s="16">
        <v>891780111</v>
      </c>
      <c r="B39" s="16" t="s">
        <v>54</v>
      </c>
      <c r="C39" s="14" t="s">
        <v>57</v>
      </c>
      <c r="D39" s="16" t="s">
        <v>60</v>
      </c>
      <c r="E39" s="70" t="s">
        <v>5004</v>
      </c>
      <c r="F39" s="16" t="s">
        <v>61</v>
      </c>
      <c r="G39" s="1" t="s">
        <v>61</v>
      </c>
      <c r="H39" s="1" t="s">
        <v>79</v>
      </c>
      <c r="I39" s="9">
        <v>160770000</v>
      </c>
      <c r="J39" s="94"/>
      <c r="K39" s="2"/>
      <c r="L39" s="2"/>
      <c r="M39" s="30">
        <f t="shared" si="0"/>
        <v>160770000</v>
      </c>
      <c r="N39" s="200">
        <v>36560048</v>
      </c>
      <c r="O39" s="201" t="s">
        <v>4970</v>
      </c>
      <c r="P39" s="70" t="s">
        <v>5005</v>
      </c>
      <c r="Q39" s="70" t="s">
        <v>5006</v>
      </c>
      <c r="R39" s="70" t="s">
        <v>5007</v>
      </c>
      <c r="S39" s="70" t="s">
        <v>5008</v>
      </c>
      <c r="T39" s="35"/>
      <c r="U39" s="3"/>
      <c r="V39" s="3"/>
      <c r="W39" s="3"/>
      <c r="X39" s="9">
        <v>157001690</v>
      </c>
      <c r="Y39" s="9">
        <v>3768310</v>
      </c>
      <c r="Z39" s="203">
        <f t="shared" si="1"/>
        <v>0.97656086334515146</v>
      </c>
      <c r="AA39" s="200">
        <v>85152695</v>
      </c>
      <c r="AB39" s="70" t="s">
        <v>4890</v>
      </c>
      <c r="AC39" s="1" t="s">
        <v>196</v>
      </c>
      <c r="AD39" s="1" t="s">
        <v>196</v>
      </c>
      <c r="AE39" s="3">
        <v>45049</v>
      </c>
      <c r="AF39" s="207" t="s">
        <v>5009</v>
      </c>
      <c r="AG39" s="15" t="s">
        <v>192</v>
      </c>
      <c r="AH39" s="15" t="s">
        <v>191</v>
      </c>
    </row>
    <row r="40" spans="1:34" s="4" customFormat="1" x14ac:dyDescent="0.25">
      <c r="A40" s="16">
        <v>891780111</v>
      </c>
      <c r="B40" s="16" t="s">
        <v>54</v>
      </c>
      <c r="C40" s="14" t="s">
        <v>57</v>
      </c>
      <c r="D40" s="16" t="s">
        <v>60</v>
      </c>
      <c r="E40" s="70" t="s">
        <v>5010</v>
      </c>
      <c r="F40" s="16" t="s">
        <v>61</v>
      </c>
      <c r="G40" s="1" t="s">
        <v>61</v>
      </c>
      <c r="H40" s="1" t="s">
        <v>79</v>
      </c>
      <c r="I40" s="9">
        <v>88550000</v>
      </c>
      <c r="J40" s="94"/>
      <c r="K40" s="2"/>
      <c r="L40" s="2"/>
      <c r="M40" s="30">
        <f t="shared" si="0"/>
        <v>88550000</v>
      </c>
      <c r="N40" s="200">
        <v>1083015306</v>
      </c>
      <c r="O40" s="201" t="s">
        <v>5011</v>
      </c>
      <c r="P40" s="70" t="s">
        <v>5012</v>
      </c>
      <c r="Q40" s="70" t="s">
        <v>5006</v>
      </c>
      <c r="R40" s="70" t="s">
        <v>5007</v>
      </c>
      <c r="S40" s="70" t="s">
        <v>4934</v>
      </c>
      <c r="T40" s="35"/>
      <c r="U40" s="3"/>
      <c r="V40" s="3"/>
      <c r="W40" s="3"/>
      <c r="X40" s="9">
        <v>88550000</v>
      </c>
      <c r="Y40" s="9">
        <v>0</v>
      </c>
      <c r="Z40" s="203">
        <f t="shared" si="1"/>
        <v>1</v>
      </c>
      <c r="AA40" s="200">
        <v>85152695</v>
      </c>
      <c r="AB40" s="70" t="s">
        <v>4890</v>
      </c>
      <c r="AC40" s="1" t="s">
        <v>192</v>
      </c>
      <c r="AD40" s="1" t="s">
        <v>196</v>
      </c>
      <c r="AE40" s="3">
        <v>45048</v>
      </c>
      <c r="AF40" s="207" t="s">
        <v>5013</v>
      </c>
      <c r="AG40" s="15" t="s">
        <v>192</v>
      </c>
      <c r="AH40" s="15" t="s">
        <v>191</v>
      </c>
    </row>
    <row r="41" spans="1:34" s="4" customFormat="1" x14ac:dyDescent="0.25">
      <c r="A41" s="16">
        <v>891780111</v>
      </c>
      <c r="B41" s="16" t="s">
        <v>54</v>
      </c>
      <c r="C41" s="14" t="s">
        <v>57</v>
      </c>
      <c r="D41" s="16" t="s">
        <v>60</v>
      </c>
      <c r="E41" s="70" t="s">
        <v>5014</v>
      </c>
      <c r="F41" s="16" t="s">
        <v>61</v>
      </c>
      <c r="G41" s="1" t="s">
        <v>61</v>
      </c>
      <c r="H41" s="1" t="s">
        <v>79</v>
      </c>
      <c r="I41" s="9">
        <v>117150000</v>
      </c>
      <c r="J41" s="94"/>
      <c r="K41" s="2"/>
      <c r="L41" s="2"/>
      <c r="M41" s="30">
        <f t="shared" si="0"/>
        <v>117150000</v>
      </c>
      <c r="N41" s="200">
        <v>85471449</v>
      </c>
      <c r="O41" s="201" t="s">
        <v>5015</v>
      </c>
      <c r="P41" s="70" t="s">
        <v>5016</v>
      </c>
      <c r="Q41" s="70" t="s">
        <v>5006</v>
      </c>
      <c r="R41" s="70" t="s">
        <v>5007</v>
      </c>
      <c r="S41" s="70" t="s">
        <v>4934</v>
      </c>
      <c r="T41" s="35"/>
      <c r="U41" s="3"/>
      <c r="V41" s="3"/>
      <c r="W41" s="3"/>
      <c r="X41" s="9">
        <v>117150000</v>
      </c>
      <c r="Y41" s="9">
        <v>0</v>
      </c>
      <c r="Z41" s="203">
        <f t="shared" si="1"/>
        <v>1</v>
      </c>
      <c r="AA41" s="200">
        <v>85152695</v>
      </c>
      <c r="AB41" s="70" t="s">
        <v>4890</v>
      </c>
      <c r="AC41" s="1" t="s">
        <v>192</v>
      </c>
      <c r="AD41" s="1" t="s">
        <v>196</v>
      </c>
      <c r="AE41" s="3">
        <v>45048</v>
      </c>
      <c r="AF41" s="207" t="s">
        <v>5017</v>
      </c>
      <c r="AG41" s="15" t="s">
        <v>192</v>
      </c>
      <c r="AH41" s="15" t="s">
        <v>191</v>
      </c>
    </row>
    <row r="42" spans="1:34" s="4" customFormat="1" x14ac:dyDescent="0.25">
      <c r="A42" s="16">
        <v>891780111</v>
      </c>
      <c r="B42" s="16" t="s">
        <v>54</v>
      </c>
      <c r="C42" s="14" t="s">
        <v>57</v>
      </c>
      <c r="D42" s="16" t="s">
        <v>60</v>
      </c>
      <c r="E42" s="70" t="s">
        <v>5018</v>
      </c>
      <c r="F42" s="16" t="s">
        <v>61</v>
      </c>
      <c r="G42" s="1" t="s">
        <v>61</v>
      </c>
      <c r="H42" s="1" t="s">
        <v>79</v>
      </c>
      <c r="I42" s="9">
        <v>11400000</v>
      </c>
      <c r="J42" s="94"/>
      <c r="K42" s="2"/>
      <c r="L42" s="2"/>
      <c r="M42" s="30">
        <f t="shared" si="0"/>
        <v>11400000</v>
      </c>
      <c r="N42" s="200">
        <v>1082880143</v>
      </c>
      <c r="O42" s="201" t="s">
        <v>5019</v>
      </c>
      <c r="P42" s="70" t="s">
        <v>5020</v>
      </c>
      <c r="Q42" s="205">
        <v>45083</v>
      </c>
      <c r="R42" s="206">
        <v>45083</v>
      </c>
      <c r="S42" s="206">
        <v>45291</v>
      </c>
      <c r="T42" s="35"/>
      <c r="U42" s="3"/>
      <c r="V42" s="3"/>
      <c r="W42" s="3"/>
      <c r="X42" s="9">
        <v>0</v>
      </c>
      <c r="Y42" s="9">
        <v>11400000</v>
      </c>
      <c r="Z42" s="203">
        <v>0</v>
      </c>
      <c r="AA42" s="70">
        <v>51913961</v>
      </c>
      <c r="AB42" s="72" t="s">
        <v>5021</v>
      </c>
      <c r="AC42" s="1" t="s">
        <v>196</v>
      </c>
      <c r="AD42" s="1" t="s">
        <v>196</v>
      </c>
      <c r="AE42" s="3"/>
      <c r="AF42" s="207" t="s">
        <v>5022</v>
      </c>
      <c r="AG42" s="15" t="s">
        <v>192</v>
      </c>
      <c r="AH42" s="15" t="s">
        <v>191</v>
      </c>
    </row>
    <row r="43" spans="1:34" s="4" customFormat="1" x14ac:dyDescent="0.25">
      <c r="A43" s="16">
        <v>891780111</v>
      </c>
      <c r="B43" s="16" t="s">
        <v>54</v>
      </c>
      <c r="C43" s="14" t="s">
        <v>57</v>
      </c>
      <c r="D43" s="16" t="s">
        <v>60</v>
      </c>
      <c r="E43" s="70" t="s">
        <v>5023</v>
      </c>
      <c r="F43" s="16" t="s">
        <v>61</v>
      </c>
      <c r="G43" s="1" t="s">
        <v>61</v>
      </c>
      <c r="H43" s="1" t="s">
        <v>79</v>
      </c>
      <c r="I43" s="9">
        <v>3648000</v>
      </c>
      <c r="J43" s="94"/>
      <c r="K43" s="2"/>
      <c r="L43" s="2"/>
      <c r="M43" s="30">
        <f t="shared" si="0"/>
        <v>3648000</v>
      </c>
      <c r="N43" s="200">
        <v>901690236</v>
      </c>
      <c r="O43" s="201" t="s">
        <v>5024</v>
      </c>
      <c r="P43" s="70" t="s">
        <v>5025</v>
      </c>
      <c r="Q43" s="205">
        <v>45104</v>
      </c>
      <c r="R43" s="206">
        <v>45104</v>
      </c>
      <c r="S43" s="206">
        <v>45134</v>
      </c>
      <c r="T43" s="35"/>
      <c r="U43" s="3"/>
      <c r="V43" s="3"/>
      <c r="W43" s="3">
        <v>45149</v>
      </c>
      <c r="X43" s="9">
        <v>0</v>
      </c>
      <c r="Y43" s="9">
        <v>3648000</v>
      </c>
      <c r="Z43" s="203">
        <v>0</v>
      </c>
      <c r="AA43" s="70">
        <v>51913961</v>
      </c>
      <c r="AB43" s="72" t="s">
        <v>5021</v>
      </c>
      <c r="AC43" s="1" t="s">
        <v>196</v>
      </c>
      <c r="AD43" s="1" t="s">
        <v>196</v>
      </c>
      <c r="AE43" s="3"/>
      <c r="AF43" s="207" t="s">
        <v>5026</v>
      </c>
      <c r="AG43" s="15" t="s">
        <v>192</v>
      </c>
      <c r="AH43" s="15" t="s">
        <v>191</v>
      </c>
    </row>
    <row r="44" spans="1:34" s="4" customFormat="1" x14ac:dyDescent="0.25">
      <c r="A44" s="16">
        <v>891780111</v>
      </c>
      <c r="B44" s="16" t="s">
        <v>54</v>
      </c>
      <c r="C44" s="14" t="s">
        <v>57</v>
      </c>
      <c r="D44" s="16" t="s">
        <v>60</v>
      </c>
      <c r="E44" s="70" t="s">
        <v>5027</v>
      </c>
      <c r="F44" s="16" t="s">
        <v>61</v>
      </c>
      <c r="G44" s="1" t="s">
        <v>61</v>
      </c>
      <c r="H44" s="1" t="s">
        <v>79</v>
      </c>
      <c r="I44" s="9">
        <v>18510450</v>
      </c>
      <c r="J44" s="94"/>
      <c r="K44" s="2"/>
      <c r="L44" s="2"/>
      <c r="M44" s="30">
        <v>18510450</v>
      </c>
      <c r="N44" s="200">
        <v>901257038</v>
      </c>
      <c r="O44" s="201" t="s">
        <v>5028</v>
      </c>
      <c r="P44" s="70" t="s">
        <v>5029</v>
      </c>
      <c r="Q44" s="205">
        <v>45107</v>
      </c>
      <c r="R44" s="206">
        <v>45114</v>
      </c>
      <c r="S44" s="206">
        <v>45115</v>
      </c>
      <c r="T44" s="35"/>
      <c r="U44" s="3"/>
      <c r="V44" s="3"/>
      <c r="W44" s="3"/>
      <c r="X44" s="9">
        <v>18510450</v>
      </c>
      <c r="Y44" s="9"/>
      <c r="Z44" s="203">
        <v>1</v>
      </c>
      <c r="AA44" s="200">
        <v>26668285</v>
      </c>
      <c r="AB44" s="70" t="s">
        <v>5030</v>
      </c>
      <c r="AC44" s="1" t="s">
        <v>196</v>
      </c>
      <c r="AD44" s="1" t="s">
        <v>192</v>
      </c>
      <c r="AE44" s="3">
        <v>45112</v>
      </c>
      <c r="AF44" s="207" t="s">
        <v>5031</v>
      </c>
      <c r="AG44" s="15" t="s">
        <v>192</v>
      </c>
      <c r="AH44" s="15" t="s">
        <v>191</v>
      </c>
    </row>
    <row r="45" spans="1:34" s="4" customFormat="1" x14ac:dyDescent="0.25">
      <c r="A45" s="16">
        <v>891780111</v>
      </c>
      <c r="B45" s="16" t="s">
        <v>54</v>
      </c>
      <c r="C45" s="14" t="s">
        <v>56</v>
      </c>
      <c r="D45" s="16" t="s">
        <v>60</v>
      </c>
      <c r="E45" s="70" t="s">
        <v>5032</v>
      </c>
      <c r="F45" s="16" t="s">
        <v>61</v>
      </c>
      <c r="G45" s="1" t="s">
        <v>61</v>
      </c>
      <c r="H45" s="1" t="s">
        <v>79</v>
      </c>
      <c r="I45" s="9">
        <v>19860000</v>
      </c>
      <c r="J45" s="94"/>
      <c r="K45" s="2"/>
      <c r="L45" s="2"/>
      <c r="M45" s="30">
        <v>19860000</v>
      </c>
      <c r="N45" s="200">
        <v>7144967</v>
      </c>
      <c r="O45" s="201" t="s">
        <v>5033</v>
      </c>
      <c r="P45" s="70" t="s">
        <v>5034</v>
      </c>
      <c r="Q45" s="70" t="s">
        <v>5035</v>
      </c>
      <c r="R45" s="70" t="s">
        <v>5036</v>
      </c>
      <c r="S45" s="70" t="s">
        <v>5037</v>
      </c>
      <c r="T45" s="35"/>
      <c r="U45" s="3"/>
      <c r="V45" s="3"/>
      <c r="W45" s="3"/>
      <c r="X45" s="9">
        <v>0</v>
      </c>
      <c r="Y45" s="9">
        <v>19860000</v>
      </c>
      <c r="Z45" s="203">
        <v>0</v>
      </c>
      <c r="AA45" s="200">
        <v>26668285</v>
      </c>
      <c r="AB45" s="70" t="s">
        <v>5038</v>
      </c>
      <c r="AC45" s="1" t="s">
        <v>196</v>
      </c>
      <c r="AD45" s="1" t="s">
        <v>196</v>
      </c>
      <c r="AE45" s="3">
        <v>45113</v>
      </c>
      <c r="AF45" s="207" t="s">
        <v>5039</v>
      </c>
      <c r="AG45" s="15" t="s">
        <v>192</v>
      </c>
      <c r="AH45" s="15" t="s">
        <v>191</v>
      </c>
    </row>
    <row r="46" spans="1:34" s="4" customFormat="1" x14ac:dyDescent="0.25">
      <c r="A46" s="16">
        <v>891780111</v>
      </c>
      <c r="B46" s="16" t="s">
        <v>54</v>
      </c>
      <c r="C46" s="14" t="s">
        <v>56</v>
      </c>
      <c r="D46" s="16" t="s">
        <v>60</v>
      </c>
      <c r="E46" s="70" t="s">
        <v>5040</v>
      </c>
      <c r="F46" s="16" t="s">
        <v>61</v>
      </c>
      <c r="G46" s="1" t="s">
        <v>61</v>
      </c>
      <c r="H46" s="1" t="s">
        <v>79</v>
      </c>
      <c r="I46" s="9">
        <v>270000290</v>
      </c>
      <c r="J46" s="94"/>
      <c r="K46" s="2"/>
      <c r="L46" s="2"/>
      <c r="M46" s="30">
        <v>270000290</v>
      </c>
      <c r="N46" s="200">
        <v>901337523</v>
      </c>
      <c r="O46" s="201" t="s">
        <v>5041</v>
      </c>
      <c r="P46" s="70" t="s">
        <v>5042</v>
      </c>
      <c r="Q46" s="70" t="s">
        <v>5043</v>
      </c>
      <c r="R46" s="70" t="s">
        <v>4962</v>
      </c>
      <c r="S46" s="70" t="s">
        <v>4836</v>
      </c>
      <c r="T46" s="35"/>
      <c r="U46" s="3"/>
      <c r="V46" s="3"/>
      <c r="W46" s="3"/>
      <c r="X46" s="9">
        <v>0</v>
      </c>
      <c r="Y46" s="9">
        <v>270000290</v>
      </c>
      <c r="Z46" s="203">
        <v>0</v>
      </c>
      <c r="AA46" s="200">
        <v>85449357</v>
      </c>
      <c r="AB46" s="70" t="s">
        <v>5044</v>
      </c>
      <c r="AC46" s="1" t="s">
        <v>192</v>
      </c>
      <c r="AD46" s="1" t="s">
        <v>196</v>
      </c>
      <c r="AE46" s="3">
        <v>45121</v>
      </c>
      <c r="AF46" s="207" t="s">
        <v>5045</v>
      </c>
      <c r="AG46" s="15" t="s">
        <v>192</v>
      </c>
      <c r="AH46" s="15" t="s">
        <v>191</v>
      </c>
    </row>
    <row r="47" spans="1:34" s="4" customFormat="1" x14ac:dyDescent="0.25">
      <c r="A47" s="16">
        <v>891780111</v>
      </c>
      <c r="B47" s="16" t="s">
        <v>54</v>
      </c>
      <c r="C47" s="14" t="s">
        <v>57</v>
      </c>
      <c r="D47" s="16" t="s">
        <v>60</v>
      </c>
      <c r="E47" s="70" t="s">
        <v>5046</v>
      </c>
      <c r="F47" s="16" t="s">
        <v>61</v>
      </c>
      <c r="G47" s="1" t="s">
        <v>61</v>
      </c>
      <c r="H47" s="1" t="s">
        <v>79</v>
      </c>
      <c r="I47" s="9">
        <v>50801042.880000003</v>
      </c>
      <c r="J47" s="94"/>
      <c r="K47" s="2"/>
      <c r="L47" s="2"/>
      <c r="M47" s="30">
        <v>50801042.880000003</v>
      </c>
      <c r="N47" s="200">
        <v>8485541</v>
      </c>
      <c r="O47" s="201" t="s">
        <v>4992</v>
      </c>
      <c r="P47" s="70" t="s">
        <v>5047</v>
      </c>
      <c r="Q47" s="206">
        <v>45121</v>
      </c>
      <c r="R47" s="206">
        <v>45139</v>
      </c>
      <c r="S47" s="206">
        <v>45138</v>
      </c>
      <c r="T47" s="35"/>
      <c r="U47" s="3"/>
      <c r="V47" s="3"/>
      <c r="W47" s="3"/>
      <c r="X47" s="9">
        <v>0</v>
      </c>
      <c r="Y47" s="9">
        <v>50801042.880000003</v>
      </c>
      <c r="Z47" s="203">
        <v>0</v>
      </c>
      <c r="AA47" s="200">
        <v>72220242</v>
      </c>
      <c r="AB47" s="70" t="s">
        <v>4072</v>
      </c>
      <c r="AC47" s="1" t="s">
        <v>192</v>
      </c>
      <c r="AD47" s="1" t="s">
        <v>196</v>
      </c>
      <c r="AE47" s="3">
        <v>45129</v>
      </c>
      <c r="AF47" s="207" t="s">
        <v>5048</v>
      </c>
      <c r="AG47" s="15" t="s">
        <v>192</v>
      </c>
      <c r="AH47" s="15" t="s">
        <v>191</v>
      </c>
    </row>
    <row r="48" spans="1:34" s="4" customFormat="1" x14ac:dyDescent="0.25">
      <c r="A48" s="16">
        <v>891780111</v>
      </c>
      <c r="B48" s="16" t="s">
        <v>54</v>
      </c>
      <c r="C48" s="14" t="s">
        <v>57</v>
      </c>
      <c r="D48" s="16" t="s">
        <v>60</v>
      </c>
      <c r="E48" s="70" t="s">
        <v>5049</v>
      </c>
      <c r="F48" s="16" t="s">
        <v>61</v>
      </c>
      <c r="G48" s="1" t="s">
        <v>61</v>
      </c>
      <c r="H48" s="1" t="s">
        <v>79</v>
      </c>
      <c r="I48" s="9">
        <v>2100000</v>
      </c>
      <c r="J48" s="94"/>
      <c r="K48" s="2"/>
      <c r="L48" s="2"/>
      <c r="M48" s="30">
        <v>2100000</v>
      </c>
      <c r="N48" s="200">
        <v>819000635</v>
      </c>
      <c r="O48" s="201" t="s">
        <v>5050</v>
      </c>
      <c r="P48" s="70" t="s">
        <v>5051</v>
      </c>
      <c r="Q48" s="72" t="s">
        <v>5052</v>
      </c>
      <c r="R48" s="72" t="s">
        <v>5052</v>
      </c>
      <c r="S48" s="72" t="s">
        <v>5053</v>
      </c>
      <c r="T48" s="35"/>
      <c r="U48" s="3"/>
      <c r="V48" s="3"/>
      <c r="W48" s="3"/>
      <c r="X48" s="9">
        <v>0</v>
      </c>
      <c r="Y48" s="9">
        <v>2100000</v>
      </c>
      <c r="Z48" s="203">
        <v>0</v>
      </c>
      <c r="AA48" s="99">
        <v>51913961</v>
      </c>
      <c r="AB48" t="s">
        <v>4936</v>
      </c>
      <c r="AC48" s="1" t="s">
        <v>196</v>
      </c>
      <c r="AD48" s="1" t="s">
        <v>196</v>
      </c>
      <c r="AE48" s="3"/>
      <c r="AF48" s="207" t="s">
        <v>5054</v>
      </c>
      <c r="AG48" s="15" t="s">
        <v>192</v>
      </c>
      <c r="AH48" s="15" t="s">
        <v>191</v>
      </c>
    </row>
    <row r="49" spans="1:37" s="4" customFormat="1" x14ac:dyDescent="0.25">
      <c r="A49" s="16">
        <v>891780111</v>
      </c>
      <c r="B49" s="16" t="s">
        <v>54</v>
      </c>
      <c r="C49" s="14" t="s">
        <v>57</v>
      </c>
      <c r="D49" s="16" t="s">
        <v>60</v>
      </c>
      <c r="E49" s="70" t="s">
        <v>5055</v>
      </c>
      <c r="F49" s="16" t="s">
        <v>61</v>
      </c>
      <c r="G49" s="1" t="s">
        <v>61</v>
      </c>
      <c r="H49" s="1" t="s">
        <v>79</v>
      </c>
      <c r="I49" s="9">
        <v>26319997</v>
      </c>
      <c r="J49" s="94"/>
      <c r="K49" s="2"/>
      <c r="L49" s="2"/>
      <c r="M49" s="30">
        <f t="shared" si="0"/>
        <v>26319997</v>
      </c>
      <c r="N49" s="200">
        <v>1082998052</v>
      </c>
      <c r="O49" s="201" t="s">
        <v>5056</v>
      </c>
      <c r="P49" s="70" t="s">
        <v>5057</v>
      </c>
      <c r="Q49" s="205">
        <v>44974</v>
      </c>
      <c r="R49" s="206">
        <v>44974</v>
      </c>
      <c r="S49" s="206">
        <v>45291</v>
      </c>
      <c r="T49" s="35"/>
      <c r="U49" s="3"/>
      <c r="V49" s="3"/>
      <c r="W49" s="3"/>
      <c r="X49" s="71">
        <v>9570904</v>
      </c>
      <c r="Y49" s="9">
        <v>16749093</v>
      </c>
      <c r="Z49" s="203">
        <v>0.3</v>
      </c>
      <c r="AA49" s="70">
        <v>51913961</v>
      </c>
      <c r="AB49" s="72" t="s">
        <v>5021</v>
      </c>
      <c r="AC49" s="1" t="s">
        <v>196</v>
      </c>
      <c r="AD49" s="1" t="s">
        <v>196</v>
      </c>
      <c r="AE49" s="3"/>
      <c r="AF49" s="207" t="s">
        <v>5058</v>
      </c>
      <c r="AG49" s="15" t="s">
        <v>192</v>
      </c>
      <c r="AH49" s="15" t="s">
        <v>192</v>
      </c>
      <c r="AI49" s="218"/>
      <c r="AJ49" s="219"/>
      <c r="AK49" s="220"/>
    </row>
    <row r="50" spans="1:37" s="4" customFormat="1" x14ac:dyDescent="0.25">
      <c r="A50" s="16">
        <v>891780111</v>
      </c>
      <c r="B50" s="16" t="s">
        <v>54</v>
      </c>
      <c r="C50" s="14" t="s">
        <v>57</v>
      </c>
      <c r="D50" s="16" t="s">
        <v>60</v>
      </c>
      <c r="E50" s="70" t="s">
        <v>5059</v>
      </c>
      <c r="F50" s="16" t="s">
        <v>61</v>
      </c>
      <c r="G50" s="1" t="s">
        <v>61</v>
      </c>
      <c r="H50" s="1" t="s">
        <v>79</v>
      </c>
      <c r="I50" s="9">
        <v>26319997</v>
      </c>
      <c r="J50" s="94"/>
      <c r="K50" s="2"/>
      <c r="L50" s="2"/>
      <c r="M50" s="30">
        <f t="shared" si="0"/>
        <v>26319997</v>
      </c>
      <c r="N50" s="200">
        <v>1082848119</v>
      </c>
      <c r="O50" s="201" t="s">
        <v>5060</v>
      </c>
      <c r="P50" s="70" t="s">
        <v>5061</v>
      </c>
      <c r="Q50" s="205">
        <v>44974</v>
      </c>
      <c r="R50" s="206">
        <v>44974</v>
      </c>
      <c r="S50" s="206">
        <v>45291</v>
      </c>
      <c r="T50" s="35"/>
      <c r="U50" s="3"/>
      <c r="V50" s="3"/>
      <c r="W50" s="3"/>
      <c r="X50" s="71">
        <v>9570904</v>
      </c>
      <c r="Y50" s="9">
        <v>16749093</v>
      </c>
      <c r="Z50" s="203">
        <v>0.3</v>
      </c>
      <c r="AA50" s="70">
        <v>51913961</v>
      </c>
      <c r="AB50" s="72" t="s">
        <v>5021</v>
      </c>
      <c r="AC50" s="1" t="s">
        <v>196</v>
      </c>
      <c r="AD50" s="1" t="s">
        <v>196</v>
      </c>
      <c r="AE50" s="3"/>
      <c r="AF50" s="207" t="s">
        <v>5062</v>
      </c>
      <c r="AG50" s="15" t="s">
        <v>192</v>
      </c>
      <c r="AH50" s="15" t="s">
        <v>192</v>
      </c>
      <c r="AI50" s="218"/>
      <c r="AJ50" s="219"/>
      <c r="AK50" s="220"/>
    </row>
    <row r="51" spans="1:37" s="4" customFormat="1" x14ac:dyDescent="0.25">
      <c r="A51" s="16">
        <v>891780111</v>
      </c>
      <c r="B51" s="16" t="s">
        <v>54</v>
      </c>
      <c r="C51" s="14" t="s">
        <v>57</v>
      </c>
      <c r="D51" s="16" t="s">
        <v>60</v>
      </c>
      <c r="E51" s="70" t="s">
        <v>5063</v>
      </c>
      <c r="F51" s="16" t="s">
        <v>61</v>
      </c>
      <c r="G51" s="1" t="s">
        <v>61</v>
      </c>
      <c r="H51" s="1" t="s">
        <v>79</v>
      </c>
      <c r="I51" s="9">
        <v>26319997</v>
      </c>
      <c r="J51" s="94"/>
      <c r="K51" s="2"/>
      <c r="L51" s="2"/>
      <c r="M51" s="30">
        <f t="shared" si="0"/>
        <v>26319997</v>
      </c>
      <c r="N51" s="200">
        <v>1083005312</v>
      </c>
      <c r="O51" s="201" t="s">
        <v>5064</v>
      </c>
      <c r="P51" s="70" t="s">
        <v>5065</v>
      </c>
      <c r="Q51" s="205">
        <v>44974</v>
      </c>
      <c r="R51" s="206">
        <v>44974</v>
      </c>
      <c r="S51" s="206">
        <v>45291</v>
      </c>
      <c r="T51" s="35"/>
      <c r="U51" s="3"/>
      <c r="V51" s="3"/>
      <c r="W51" s="3"/>
      <c r="X51" s="71">
        <v>9570904</v>
      </c>
      <c r="Y51" s="9">
        <v>16749093</v>
      </c>
      <c r="Z51" s="203">
        <v>0.3</v>
      </c>
      <c r="AA51" s="70">
        <v>51913961</v>
      </c>
      <c r="AB51" s="72" t="s">
        <v>5021</v>
      </c>
      <c r="AC51" s="1" t="s">
        <v>196</v>
      </c>
      <c r="AD51" s="1" t="s">
        <v>196</v>
      </c>
      <c r="AE51" s="3"/>
      <c r="AF51" s="207" t="s">
        <v>5066</v>
      </c>
      <c r="AG51" s="15" t="s">
        <v>192</v>
      </c>
      <c r="AH51" s="15" t="s">
        <v>192</v>
      </c>
      <c r="AI51" s="218"/>
      <c r="AJ51" s="219"/>
      <c r="AK51" s="220"/>
    </row>
    <row r="52" spans="1:37" s="4" customFormat="1" x14ac:dyDescent="0.25">
      <c r="A52" s="16">
        <v>891780111</v>
      </c>
      <c r="B52" s="16" t="s">
        <v>54</v>
      </c>
      <c r="C52" s="14" t="s">
        <v>57</v>
      </c>
      <c r="D52" s="16" t="s">
        <v>60</v>
      </c>
      <c r="E52" s="70" t="s">
        <v>5067</v>
      </c>
      <c r="F52" s="16" t="s">
        <v>61</v>
      </c>
      <c r="G52" s="1" t="s">
        <v>61</v>
      </c>
      <c r="H52" s="1" t="s">
        <v>79</v>
      </c>
      <c r="I52" s="9">
        <v>26319997</v>
      </c>
      <c r="J52" s="94"/>
      <c r="K52" s="2"/>
      <c r="L52" s="2"/>
      <c r="M52" s="30">
        <f t="shared" si="0"/>
        <v>26319997</v>
      </c>
      <c r="N52" s="200">
        <v>1065632947</v>
      </c>
      <c r="O52" s="201" t="s">
        <v>5068</v>
      </c>
      <c r="P52" s="70" t="s">
        <v>5069</v>
      </c>
      <c r="Q52" s="205">
        <v>44974</v>
      </c>
      <c r="R52" s="206">
        <v>44974</v>
      </c>
      <c r="S52" s="206">
        <v>45291</v>
      </c>
      <c r="T52" s="35"/>
      <c r="U52" s="3"/>
      <c r="V52" s="3"/>
      <c r="W52" s="3"/>
      <c r="X52" s="71">
        <v>9570908</v>
      </c>
      <c r="Y52" s="9">
        <v>16749089</v>
      </c>
      <c r="Z52" s="203">
        <v>0.3</v>
      </c>
      <c r="AA52" s="70">
        <v>51913961</v>
      </c>
      <c r="AB52" s="72" t="s">
        <v>5021</v>
      </c>
      <c r="AC52" s="1" t="s">
        <v>196</v>
      </c>
      <c r="AD52" s="1" t="s">
        <v>196</v>
      </c>
      <c r="AE52" s="3"/>
      <c r="AF52" s="207" t="s">
        <v>5070</v>
      </c>
      <c r="AG52" s="15" t="s">
        <v>192</v>
      </c>
      <c r="AH52" s="15" t="s">
        <v>192</v>
      </c>
      <c r="AI52" s="218"/>
      <c r="AJ52" s="219"/>
      <c r="AK52" s="220"/>
    </row>
    <row r="53" spans="1:37" s="4" customFormat="1" x14ac:dyDescent="0.25">
      <c r="A53" s="16">
        <v>891780111</v>
      </c>
      <c r="B53" s="16" t="s">
        <v>54</v>
      </c>
      <c r="C53" s="14" t="s">
        <v>57</v>
      </c>
      <c r="D53" s="16" t="s">
        <v>60</v>
      </c>
      <c r="E53" s="70" t="s">
        <v>5071</v>
      </c>
      <c r="F53" s="16" t="s">
        <v>61</v>
      </c>
      <c r="G53" s="1" t="s">
        <v>61</v>
      </c>
      <c r="H53" s="1" t="s">
        <v>79</v>
      </c>
      <c r="I53" s="9">
        <v>26319997</v>
      </c>
      <c r="J53" s="94"/>
      <c r="K53" s="2"/>
      <c r="L53" s="2"/>
      <c r="M53" s="30">
        <f t="shared" si="0"/>
        <v>26319997</v>
      </c>
      <c r="N53" s="200">
        <v>1119816325</v>
      </c>
      <c r="O53" s="201" t="s">
        <v>5072</v>
      </c>
      <c r="P53" s="70" t="s">
        <v>5073</v>
      </c>
      <c r="Q53" s="205">
        <v>44974</v>
      </c>
      <c r="R53" s="206">
        <v>44974</v>
      </c>
      <c r="S53" s="206">
        <v>45291</v>
      </c>
      <c r="T53" s="35"/>
      <c r="U53" s="3"/>
      <c r="V53" s="3"/>
      <c r="W53" s="3"/>
      <c r="X53" s="71">
        <v>9570904</v>
      </c>
      <c r="Y53" s="9">
        <v>16749093</v>
      </c>
      <c r="Z53" s="203">
        <v>0.3</v>
      </c>
      <c r="AA53" s="70">
        <v>51913961</v>
      </c>
      <c r="AB53" s="72" t="s">
        <v>5021</v>
      </c>
      <c r="AC53" s="1" t="s">
        <v>196</v>
      </c>
      <c r="AD53" s="1" t="s">
        <v>196</v>
      </c>
      <c r="AE53" s="3"/>
      <c r="AF53" s="207" t="s">
        <v>5074</v>
      </c>
      <c r="AG53" s="15" t="s">
        <v>192</v>
      </c>
      <c r="AH53" s="15" t="s">
        <v>192</v>
      </c>
      <c r="AI53" s="218"/>
      <c r="AJ53" s="219"/>
      <c r="AK53" s="220"/>
    </row>
    <row r="54" spans="1:37" s="4" customFormat="1" x14ac:dyDescent="0.25">
      <c r="A54" s="16">
        <v>891780111</v>
      </c>
      <c r="B54" s="16" t="s">
        <v>54</v>
      </c>
      <c r="C54" s="14" t="s">
        <v>57</v>
      </c>
      <c r="D54" s="16" t="s">
        <v>60</v>
      </c>
      <c r="E54" s="70" t="s">
        <v>5075</v>
      </c>
      <c r="F54" s="16" t="s">
        <v>61</v>
      </c>
      <c r="G54" s="1" t="s">
        <v>61</v>
      </c>
      <c r="H54" s="1" t="s">
        <v>79</v>
      </c>
      <c r="I54" s="9">
        <v>26319997</v>
      </c>
      <c r="J54" s="94"/>
      <c r="K54" s="2"/>
      <c r="L54" s="2"/>
      <c r="M54" s="30">
        <f t="shared" si="0"/>
        <v>26319997</v>
      </c>
      <c r="N54" s="200">
        <v>85470095</v>
      </c>
      <c r="O54" s="201" t="s">
        <v>5076</v>
      </c>
      <c r="P54" s="70" t="s">
        <v>5077</v>
      </c>
      <c r="Q54" s="205">
        <v>44974</v>
      </c>
      <c r="R54" s="206">
        <v>44974</v>
      </c>
      <c r="S54" s="206">
        <v>45291</v>
      </c>
      <c r="T54" s="35"/>
      <c r="U54" s="3"/>
      <c r="V54" s="3"/>
      <c r="W54" s="3"/>
      <c r="X54" s="71">
        <v>9570904</v>
      </c>
      <c r="Y54" s="9">
        <v>16749093</v>
      </c>
      <c r="Z54" s="203">
        <v>0.3</v>
      </c>
      <c r="AA54" s="70">
        <v>12448927</v>
      </c>
      <c r="AB54" s="72" t="s">
        <v>5078</v>
      </c>
      <c r="AC54" s="1" t="s">
        <v>196</v>
      </c>
      <c r="AD54" s="1" t="s">
        <v>196</v>
      </c>
      <c r="AE54" s="3"/>
      <c r="AF54" s="207" t="s">
        <v>5079</v>
      </c>
      <c r="AG54" s="15" t="s">
        <v>192</v>
      </c>
      <c r="AH54" s="15" t="s">
        <v>192</v>
      </c>
      <c r="AI54" s="218"/>
      <c r="AJ54" s="219"/>
      <c r="AK54" s="220"/>
    </row>
    <row r="55" spans="1:37" s="4" customFormat="1" x14ac:dyDescent="0.25">
      <c r="A55" s="16">
        <v>891780111</v>
      </c>
      <c r="B55" s="16" t="s">
        <v>54</v>
      </c>
      <c r="C55" s="14" t="s">
        <v>57</v>
      </c>
      <c r="D55" s="16" t="s">
        <v>60</v>
      </c>
      <c r="E55" s="70" t="s">
        <v>5080</v>
      </c>
      <c r="F55" s="16" t="s">
        <v>61</v>
      </c>
      <c r="G55" s="1" t="s">
        <v>61</v>
      </c>
      <c r="H55" s="1" t="s">
        <v>79</v>
      </c>
      <c r="I55" s="9">
        <v>26319997</v>
      </c>
      <c r="J55" s="94"/>
      <c r="K55" s="2"/>
      <c r="L55" s="2"/>
      <c r="M55" s="30">
        <f t="shared" si="0"/>
        <v>26319997</v>
      </c>
      <c r="N55" s="200">
        <v>1082984745</v>
      </c>
      <c r="O55" s="201" t="s">
        <v>5081</v>
      </c>
      <c r="P55" s="70" t="s">
        <v>5082</v>
      </c>
      <c r="Q55" s="205">
        <v>44974</v>
      </c>
      <c r="R55" s="206">
        <v>44974</v>
      </c>
      <c r="S55" s="206">
        <v>45291</v>
      </c>
      <c r="T55" s="35"/>
      <c r="U55" s="3"/>
      <c r="V55" s="3"/>
      <c r="W55" s="3"/>
      <c r="X55" s="71">
        <v>9570904</v>
      </c>
      <c r="Y55" s="9">
        <v>16749093</v>
      </c>
      <c r="Z55" s="203">
        <v>0.3</v>
      </c>
      <c r="AA55" s="70">
        <v>12448927</v>
      </c>
      <c r="AB55" s="72" t="s">
        <v>5078</v>
      </c>
      <c r="AC55" s="1" t="s">
        <v>196</v>
      </c>
      <c r="AD55" s="1" t="s">
        <v>196</v>
      </c>
      <c r="AE55" s="3"/>
      <c r="AF55" s="207" t="s">
        <v>5083</v>
      </c>
      <c r="AG55" s="15" t="s">
        <v>192</v>
      </c>
      <c r="AH55" s="15" t="s">
        <v>192</v>
      </c>
      <c r="AI55" s="218"/>
      <c r="AJ55" s="219"/>
      <c r="AK55" s="220"/>
    </row>
    <row r="56" spans="1:37" s="4" customFormat="1" x14ac:dyDescent="0.25">
      <c r="A56" s="16">
        <v>891780111</v>
      </c>
      <c r="B56" s="16" t="s">
        <v>54</v>
      </c>
      <c r="C56" s="14" t="s">
        <v>57</v>
      </c>
      <c r="D56" s="16" t="s">
        <v>60</v>
      </c>
      <c r="E56" s="70" t="s">
        <v>5084</v>
      </c>
      <c r="F56" s="16" t="s">
        <v>61</v>
      </c>
      <c r="G56" s="1" t="s">
        <v>61</v>
      </c>
      <c r="H56" s="1" t="s">
        <v>79</v>
      </c>
      <c r="I56" s="9">
        <v>32856559.789999999</v>
      </c>
      <c r="J56" s="94"/>
      <c r="K56" s="2"/>
      <c r="L56" s="2"/>
      <c r="M56" s="30">
        <f t="shared" si="0"/>
        <v>32856559.789999999</v>
      </c>
      <c r="N56" s="200">
        <v>1082858570</v>
      </c>
      <c r="O56" s="201" t="s">
        <v>5085</v>
      </c>
      <c r="P56" s="70" t="s">
        <v>5086</v>
      </c>
      <c r="Q56" s="206">
        <v>44985</v>
      </c>
      <c r="R56" s="206">
        <v>44985</v>
      </c>
      <c r="S56" s="206">
        <v>45260</v>
      </c>
      <c r="T56" s="35"/>
      <c r="U56" s="3"/>
      <c r="V56" s="3"/>
      <c r="W56" s="3"/>
      <c r="X56" s="71">
        <v>8960877</v>
      </c>
      <c r="Y56" s="9">
        <v>23895682.789999999</v>
      </c>
      <c r="Z56" s="203">
        <v>0.27</v>
      </c>
      <c r="AA56" s="200">
        <v>45498601</v>
      </c>
      <c r="AB56" s="70" t="s">
        <v>4946</v>
      </c>
      <c r="AC56" s="1" t="s">
        <v>196</v>
      </c>
      <c r="AD56" s="1" t="s">
        <v>196</v>
      </c>
      <c r="AE56" s="3"/>
      <c r="AF56" s="207" t="s">
        <v>5087</v>
      </c>
      <c r="AG56" s="15" t="s">
        <v>192</v>
      </c>
      <c r="AH56" s="15" t="s">
        <v>192</v>
      </c>
      <c r="AI56" s="218"/>
      <c r="AJ56" s="219"/>
      <c r="AK56" s="220"/>
    </row>
    <row r="57" spans="1:37" s="4" customFormat="1" x14ac:dyDescent="0.25">
      <c r="A57" s="16">
        <v>891780111</v>
      </c>
      <c r="B57" s="16" t="s">
        <v>54</v>
      </c>
      <c r="C57" s="14" t="s">
        <v>57</v>
      </c>
      <c r="D57" s="16" t="s">
        <v>60</v>
      </c>
      <c r="E57" s="70" t="s">
        <v>5088</v>
      </c>
      <c r="F57" s="16" t="s">
        <v>61</v>
      </c>
      <c r="G57" s="1" t="s">
        <v>61</v>
      </c>
      <c r="H57" s="1" t="s">
        <v>79</v>
      </c>
      <c r="I57" s="9">
        <v>33167799</v>
      </c>
      <c r="J57" s="94"/>
      <c r="K57" s="2"/>
      <c r="L57" s="2"/>
      <c r="M57" s="30">
        <f t="shared" si="0"/>
        <v>33167799</v>
      </c>
      <c r="N57" s="200">
        <v>1082968741</v>
      </c>
      <c r="O57" s="201" t="s">
        <v>5089</v>
      </c>
      <c r="P57" s="70" t="s">
        <v>5086</v>
      </c>
      <c r="Q57" s="206">
        <v>44985</v>
      </c>
      <c r="R57" s="206">
        <v>44985</v>
      </c>
      <c r="S57" s="206">
        <v>45253</v>
      </c>
      <c r="T57" s="35"/>
      <c r="U57" s="3"/>
      <c r="V57" s="3"/>
      <c r="W57" s="3"/>
      <c r="X57" s="71">
        <v>11055933</v>
      </c>
      <c r="Y57" s="9">
        <v>22111866</v>
      </c>
      <c r="Z57" s="203">
        <v>0.27</v>
      </c>
      <c r="AA57" s="200">
        <v>45498601</v>
      </c>
      <c r="AB57" s="70" t="s">
        <v>4946</v>
      </c>
      <c r="AC57" s="1" t="s">
        <v>196</v>
      </c>
      <c r="AD57" s="1" t="s">
        <v>196</v>
      </c>
      <c r="AE57" s="3"/>
      <c r="AF57" s="207" t="s">
        <v>5090</v>
      </c>
      <c r="AG57" s="15" t="s">
        <v>192</v>
      </c>
      <c r="AH57" s="15" t="s">
        <v>192</v>
      </c>
      <c r="AI57" s="218"/>
      <c r="AJ57" s="219"/>
      <c r="AK57" s="220"/>
    </row>
    <row r="58" spans="1:37" s="4" customFormat="1" x14ac:dyDescent="0.25">
      <c r="A58" s="16">
        <v>891780111</v>
      </c>
      <c r="B58" s="16" t="s">
        <v>54</v>
      </c>
      <c r="C58" s="14" t="s">
        <v>57</v>
      </c>
      <c r="D58" s="16" t="s">
        <v>60</v>
      </c>
      <c r="E58" s="70" t="s">
        <v>5091</v>
      </c>
      <c r="F58" s="16" t="s">
        <v>61</v>
      </c>
      <c r="G58" s="1" t="s">
        <v>61</v>
      </c>
      <c r="H58" s="1" t="s">
        <v>79</v>
      </c>
      <c r="I58" s="9">
        <v>40000000</v>
      </c>
      <c r="J58" s="94"/>
      <c r="K58" s="2"/>
      <c r="L58" s="2">
        <v>37777778</v>
      </c>
      <c r="M58" s="30">
        <f t="shared" si="0"/>
        <v>2222222</v>
      </c>
      <c r="N58" s="200">
        <v>1123407292</v>
      </c>
      <c r="O58" s="201" t="s">
        <v>5092</v>
      </c>
      <c r="P58" s="70" t="s">
        <v>5093</v>
      </c>
      <c r="Q58" s="72" t="s">
        <v>4923</v>
      </c>
      <c r="R58" s="72" t="s">
        <v>4923</v>
      </c>
      <c r="S58" s="72" t="s">
        <v>5094</v>
      </c>
      <c r="T58" s="35"/>
      <c r="U58" s="3"/>
      <c r="V58" s="3"/>
      <c r="W58" s="3"/>
      <c r="X58" s="71">
        <v>2222222</v>
      </c>
      <c r="Y58" s="9">
        <v>0</v>
      </c>
      <c r="Z58" s="203">
        <f t="shared" si="1"/>
        <v>1</v>
      </c>
      <c r="AA58" s="200">
        <v>72220242</v>
      </c>
      <c r="AB58" s="70" t="s">
        <v>4072</v>
      </c>
      <c r="AC58" s="1" t="s">
        <v>196</v>
      </c>
      <c r="AD58" s="1" t="s">
        <v>196</v>
      </c>
      <c r="AE58" s="3"/>
      <c r="AF58" s="207" t="s">
        <v>5095</v>
      </c>
      <c r="AG58" s="15" t="s">
        <v>192</v>
      </c>
      <c r="AH58" s="15" t="s">
        <v>192</v>
      </c>
      <c r="AI58" s="218"/>
      <c r="AJ58" s="219"/>
      <c r="AK58" s="220"/>
    </row>
    <row r="59" spans="1:37" s="4" customFormat="1" x14ac:dyDescent="0.25">
      <c r="A59" s="16">
        <v>891780111</v>
      </c>
      <c r="B59" s="16" t="s">
        <v>54</v>
      </c>
      <c r="C59" s="14" t="s">
        <v>57</v>
      </c>
      <c r="D59" s="16" t="s">
        <v>60</v>
      </c>
      <c r="E59" s="70" t="s">
        <v>5096</v>
      </c>
      <c r="F59" s="16" t="s">
        <v>61</v>
      </c>
      <c r="G59" s="1" t="s">
        <v>61</v>
      </c>
      <c r="H59" s="1" t="s">
        <v>79</v>
      </c>
      <c r="I59" s="9">
        <v>32727276</v>
      </c>
      <c r="J59" s="94"/>
      <c r="K59" s="2"/>
      <c r="L59" s="2">
        <v>31200003</v>
      </c>
      <c r="M59" s="30">
        <f t="shared" si="0"/>
        <v>1527273</v>
      </c>
      <c r="N59" s="200">
        <v>1064715357</v>
      </c>
      <c r="O59" s="201" t="s">
        <v>5097</v>
      </c>
      <c r="P59" s="70" t="s">
        <v>5098</v>
      </c>
      <c r="Q59" s="72" t="s">
        <v>4923</v>
      </c>
      <c r="R59" s="72" t="s">
        <v>4923</v>
      </c>
      <c r="S59" s="72" t="s">
        <v>4836</v>
      </c>
      <c r="T59" s="35"/>
      <c r="U59" s="3"/>
      <c r="V59" s="3"/>
      <c r="W59" s="3"/>
      <c r="X59" s="71">
        <v>1527273</v>
      </c>
      <c r="Y59" s="9">
        <v>0</v>
      </c>
      <c r="Z59" s="203">
        <f t="shared" si="1"/>
        <v>1</v>
      </c>
      <c r="AA59" s="200">
        <v>72220242</v>
      </c>
      <c r="AB59" s="70" t="s">
        <v>4072</v>
      </c>
      <c r="AC59" s="1" t="s">
        <v>196</v>
      </c>
      <c r="AD59" s="1" t="s">
        <v>196</v>
      </c>
      <c r="AE59" s="3"/>
      <c r="AF59" s="207" t="s">
        <v>5099</v>
      </c>
      <c r="AG59" s="15" t="s">
        <v>192</v>
      </c>
      <c r="AH59" s="15" t="s">
        <v>192</v>
      </c>
      <c r="AI59" s="218"/>
      <c r="AJ59" s="219"/>
      <c r="AK59" s="220"/>
    </row>
    <row r="60" spans="1:37" s="4" customFormat="1" x14ac:dyDescent="0.25">
      <c r="A60" s="16">
        <v>891780111</v>
      </c>
      <c r="B60" s="16" t="s">
        <v>54</v>
      </c>
      <c r="C60" s="14" t="s">
        <v>56</v>
      </c>
      <c r="D60" s="16" t="s">
        <v>60</v>
      </c>
      <c r="E60" s="70" t="s">
        <v>5100</v>
      </c>
      <c r="F60" s="16" t="s">
        <v>61</v>
      </c>
      <c r="G60" s="1" t="s">
        <v>61</v>
      </c>
      <c r="H60" s="1" t="s">
        <v>79</v>
      </c>
      <c r="I60" s="9">
        <v>37500000</v>
      </c>
      <c r="J60" s="94"/>
      <c r="K60" s="2"/>
      <c r="L60" s="2"/>
      <c r="M60" s="30">
        <f t="shared" si="0"/>
        <v>37500000</v>
      </c>
      <c r="N60" s="200">
        <v>900333004</v>
      </c>
      <c r="O60" s="201" t="s">
        <v>5101</v>
      </c>
      <c r="P60" s="70" t="s">
        <v>5102</v>
      </c>
      <c r="Q60" s="72" t="s">
        <v>5103</v>
      </c>
      <c r="R60" s="72" t="s">
        <v>5103</v>
      </c>
      <c r="S60" s="72" t="s">
        <v>5104</v>
      </c>
      <c r="T60" s="35"/>
      <c r="U60" s="3"/>
      <c r="V60" s="3"/>
      <c r="W60" s="3"/>
      <c r="X60" s="9">
        <v>17016806</v>
      </c>
      <c r="Y60" s="9">
        <v>20483194</v>
      </c>
      <c r="Z60" s="203">
        <f t="shared" si="1"/>
        <v>0.45378149333333334</v>
      </c>
      <c r="AA60" s="200">
        <v>12621405</v>
      </c>
      <c r="AB60" s="70" t="s">
        <v>5105</v>
      </c>
      <c r="AC60" s="1" t="s">
        <v>196</v>
      </c>
      <c r="AD60" s="1" t="s">
        <v>196</v>
      </c>
      <c r="AE60" s="3"/>
      <c r="AF60" s="207" t="s">
        <v>5106</v>
      </c>
      <c r="AG60" s="15" t="s">
        <v>192</v>
      </c>
      <c r="AH60" s="15" t="s">
        <v>191</v>
      </c>
      <c r="AI60" s="218"/>
      <c r="AJ60" s="219"/>
      <c r="AK60" s="220"/>
    </row>
    <row r="61" spans="1:37" s="4" customFormat="1" x14ac:dyDescent="0.25">
      <c r="A61" s="16">
        <v>891780111</v>
      </c>
      <c r="B61" s="16" t="s">
        <v>54</v>
      </c>
      <c r="C61" s="14" t="s">
        <v>57</v>
      </c>
      <c r="D61" s="16" t="s">
        <v>60</v>
      </c>
      <c r="E61" s="70" t="s">
        <v>5107</v>
      </c>
      <c r="F61" s="16" t="s">
        <v>61</v>
      </c>
      <c r="G61" s="1" t="s">
        <v>61</v>
      </c>
      <c r="H61" s="1" t="s">
        <v>79</v>
      </c>
      <c r="I61" s="9">
        <v>2196000</v>
      </c>
      <c r="J61" s="94"/>
      <c r="K61" s="2"/>
      <c r="L61" s="2"/>
      <c r="M61" s="30">
        <f t="shared" si="0"/>
        <v>2196000</v>
      </c>
      <c r="N61" s="200">
        <v>39143300</v>
      </c>
      <c r="O61" s="201" t="s">
        <v>5108</v>
      </c>
      <c r="P61" s="70" t="s">
        <v>5109</v>
      </c>
      <c r="Q61" s="72" t="s">
        <v>5110</v>
      </c>
      <c r="R61" s="72" t="s">
        <v>5110</v>
      </c>
      <c r="S61" s="72" t="s">
        <v>5006</v>
      </c>
      <c r="T61" s="35"/>
      <c r="U61" s="3"/>
      <c r="V61" s="3"/>
      <c r="W61" s="3"/>
      <c r="X61" s="71">
        <v>2196000</v>
      </c>
      <c r="Y61" s="9">
        <v>0</v>
      </c>
      <c r="Z61" s="203">
        <f t="shared" si="1"/>
        <v>1</v>
      </c>
      <c r="AA61" s="200">
        <v>51913961</v>
      </c>
      <c r="AB61" s="70" t="s">
        <v>4936</v>
      </c>
      <c r="AC61" s="1" t="s">
        <v>196</v>
      </c>
      <c r="AD61" s="1" t="s">
        <v>196</v>
      </c>
      <c r="AE61" s="3"/>
      <c r="AF61" s="207" t="s">
        <v>5111</v>
      </c>
      <c r="AG61" s="15" t="s">
        <v>192</v>
      </c>
      <c r="AH61" s="15" t="s">
        <v>192</v>
      </c>
      <c r="AI61" s="218"/>
      <c r="AJ61" s="219"/>
      <c r="AK61" s="220"/>
    </row>
    <row r="62" spans="1:37" s="4" customFormat="1" x14ac:dyDescent="0.25">
      <c r="A62" s="16">
        <v>891780111</v>
      </c>
      <c r="B62" s="16" t="s">
        <v>54</v>
      </c>
      <c r="C62" s="14" t="s">
        <v>57</v>
      </c>
      <c r="D62" s="16" t="s">
        <v>60</v>
      </c>
      <c r="E62" s="70" t="s">
        <v>5112</v>
      </c>
      <c r="F62" s="16" t="s">
        <v>61</v>
      </c>
      <c r="G62" s="1" t="s">
        <v>61</v>
      </c>
      <c r="H62" s="1" t="s">
        <v>79</v>
      </c>
      <c r="I62" s="9">
        <v>110000000</v>
      </c>
      <c r="J62" s="94"/>
      <c r="K62" s="2"/>
      <c r="L62" s="2"/>
      <c r="M62" s="30">
        <f t="shared" si="0"/>
        <v>110000000</v>
      </c>
      <c r="N62" s="200">
        <v>1081905679</v>
      </c>
      <c r="O62" s="201" t="s">
        <v>5113</v>
      </c>
      <c r="P62" s="70" t="s">
        <v>5114</v>
      </c>
      <c r="Q62" s="72" t="s">
        <v>5115</v>
      </c>
      <c r="R62" s="72" t="s">
        <v>5115</v>
      </c>
      <c r="S62" s="72" t="s">
        <v>5094</v>
      </c>
      <c r="T62" s="35"/>
      <c r="U62" s="3"/>
      <c r="V62" s="3"/>
      <c r="W62" s="3"/>
      <c r="X62" s="71">
        <v>18333330</v>
      </c>
      <c r="Y62" s="9">
        <v>91666670</v>
      </c>
      <c r="Z62" s="203">
        <f t="shared" si="1"/>
        <v>0.16666663636363635</v>
      </c>
      <c r="AA62" s="200">
        <v>72220242</v>
      </c>
      <c r="AB62" s="70" t="s">
        <v>4072</v>
      </c>
      <c r="AC62" s="1" t="s">
        <v>196</v>
      </c>
      <c r="AD62" s="1" t="s">
        <v>196</v>
      </c>
      <c r="AE62" s="3"/>
      <c r="AF62" s="207" t="s">
        <v>5116</v>
      </c>
      <c r="AG62" s="15" t="s">
        <v>192</v>
      </c>
      <c r="AH62" s="15" t="s">
        <v>192</v>
      </c>
      <c r="AI62" s="218"/>
      <c r="AJ62" s="219"/>
      <c r="AK62" s="220"/>
    </row>
    <row r="63" spans="1:37" s="4" customFormat="1" x14ac:dyDescent="0.25">
      <c r="A63" s="16">
        <v>891780111</v>
      </c>
      <c r="B63" s="16" t="s">
        <v>54</v>
      </c>
      <c r="C63" s="14" t="s">
        <v>57</v>
      </c>
      <c r="D63" s="16" t="s">
        <v>60</v>
      </c>
      <c r="E63" s="70" t="s">
        <v>5117</v>
      </c>
      <c r="F63" s="16" t="s">
        <v>61</v>
      </c>
      <c r="G63" s="1" t="s">
        <v>61</v>
      </c>
      <c r="H63" s="1" t="s">
        <v>79</v>
      </c>
      <c r="I63" s="9">
        <v>10750000</v>
      </c>
      <c r="J63" s="94"/>
      <c r="K63" s="2"/>
      <c r="L63" s="2"/>
      <c r="M63" s="30">
        <f t="shared" si="0"/>
        <v>10750000</v>
      </c>
      <c r="N63" s="200">
        <v>57460690</v>
      </c>
      <c r="O63" s="201" t="s">
        <v>5118</v>
      </c>
      <c r="P63" s="70" t="s">
        <v>5119</v>
      </c>
      <c r="Q63" s="72" t="s">
        <v>5115</v>
      </c>
      <c r="R63" s="72" t="s">
        <v>5115</v>
      </c>
      <c r="S63" s="72" t="s">
        <v>5120</v>
      </c>
      <c r="T63" s="35"/>
      <c r="U63" s="3"/>
      <c r="V63" s="3"/>
      <c r="W63" s="3"/>
      <c r="X63" s="71">
        <v>10750000</v>
      </c>
      <c r="Y63" s="9">
        <v>0</v>
      </c>
      <c r="Z63" s="203">
        <f t="shared" si="1"/>
        <v>1</v>
      </c>
      <c r="AA63" s="200">
        <v>72220242</v>
      </c>
      <c r="AB63" s="70" t="s">
        <v>4072</v>
      </c>
      <c r="AC63" s="1" t="s">
        <v>196</v>
      </c>
      <c r="AD63" s="1" t="s">
        <v>196</v>
      </c>
      <c r="AE63" s="3"/>
      <c r="AF63" s="207" t="s">
        <v>5121</v>
      </c>
      <c r="AG63" s="15" t="s">
        <v>192</v>
      </c>
      <c r="AH63" s="15" t="s">
        <v>192</v>
      </c>
      <c r="AI63" s="218"/>
      <c r="AJ63" s="219"/>
      <c r="AK63" s="220"/>
    </row>
    <row r="64" spans="1:37" s="4" customFormat="1" x14ac:dyDescent="0.25">
      <c r="A64" s="16">
        <v>891780111</v>
      </c>
      <c r="B64" s="16" t="s">
        <v>54</v>
      </c>
      <c r="C64" s="14" t="s">
        <v>57</v>
      </c>
      <c r="D64" s="16" t="s">
        <v>60</v>
      </c>
      <c r="E64" s="70" t="s">
        <v>5122</v>
      </c>
      <c r="F64" s="16" t="s">
        <v>61</v>
      </c>
      <c r="G64" s="1" t="s">
        <v>61</v>
      </c>
      <c r="H64" s="1" t="s">
        <v>79</v>
      </c>
      <c r="I64" s="9">
        <v>26000003</v>
      </c>
      <c r="J64" s="94"/>
      <c r="K64" s="2"/>
      <c r="L64" s="2">
        <v>20272729</v>
      </c>
      <c r="M64" s="30">
        <f t="shared" si="0"/>
        <v>5727274</v>
      </c>
      <c r="N64" s="200">
        <v>1045723246</v>
      </c>
      <c r="O64" s="201" t="s">
        <v>5123</v>
      </c>
      <c r="P64" s="70" t="s">
        <v>5124</v>
      </c>
      <c r="Q64" s="72" t="s">
        <v>5115</v>
      </c>
      <c r="R64" s="72" t="s">
        <v>5115</v>
      </c>
      <c r="S64" s="72" t="s">
        <v>4836</v>
      </c>
      <c r="T64" s="35"/>
      <c r="U64" s="3"/>
      <c r="V64" s="3"/>
      <c r="W64" s="3"/>
      <c r="X64" s="71">
        <v>5727274</v>
      </c>
      <c r="Y64" s="9">
        <v>0</v>
      </c>
      <c r="Z64" s="203">
        <f t="shared" si="1"/>
        <v>1</v>
      </c>
      <c r="AA64" s="200">
        <v>72220242</v>
      </c>
      <c r="AB64" s="70" t="s">
        <v>4072</v>
      </c>
      <c r="AC64" s="1" t="s">
        <v>196</v>
      </c>
      <c r="AD64" s="1" t="s">
        <v>196</v>
      </c>
      <c r="AE64" s="3"/>
      <c r="AF64" s="207" t="s">
        <v>5125</v>
      </c>
      <c r="AG64" s="15" t="s">
        <v>192</v>
      </c>
      <c r="AH64" s="15" t="s">
        <v>192</v>
      </c>
      <c r="AI64" s="218"/>
      <c r="AJ64" s="219"/>
      <c r="AK64" s="220"/>
    </row>
    <row r="65" spans="1:37" s="4" customFormat="1" x14ac:dyDescent="0.25">
      <c r="A65" s="16">
        <v>891780111</v>
      </c>
      <c r="B65" s="16" t="s">
        <v>54</v>
      </c>
      <c r="C65" s="14" t="s">
        <v>57</v>
      </c>
      <c r="D65" s="16" t="s">
        <v>60</v>
      </c>
      <c r="E65" s="70" t="s">
        <v>5126</v>
      </c>
      <c r="F65" s="16" t="s">
        <v>61</v>
      </c>
      <c r="G65" s="1" t="s">
        <v>61</v>
      </c>
      <c r="H65" s="1" t="s">
        <v>79</v>
      </c>
      <c r="I65" s="9">
        <v>32727276</v>
      </c>
      <c r="J65" s="94"/>
      <c r="K65" s="2"/>
      <c r="L65" s="2"/>
      <c r="M65" s="30">
        <f t="shared" si="0"/>
        <v>32727276</v>
      </c>
      <c r="N65" s="200">
        <v>1083010278</v>
      </c>
      <c r="O65" s="201" t="s">
        <v>5127</v>
      </c>
      <c r="P65" s="70" t="s">
        <v>5128</v>
      </c>
      <c r="Q65" s="72" t="s">
        <v>5115</v>
      </c>
      <c r="R65" s="72" t="s">
        <v>5115</v>
      </c>
      <c r="S65" s="72" t="s">
        <v>4836</v>
      </c>
      <c r="T65" s="35"/>
      <c r="U65" s="3"/>
      <c r="V65" s="3"/>
      <c r="W65" s="3"/>
      <c r="X65" s="71">
        <v>9818181</v>
      </c>
      <c r="Y65" s="9">
        <v>22909095</v>
      </c>
      <c r="Z65" s="203">
        <f t="shared" si="1"/>
        <v>0.29999994500000549</v>
      </c>
      <c r="AA65" s="200">
        <v>72220242</v>
      </c>
      <c r="AB65" s="70" t="s">
        <v>4072</v>
      </c>
      <c r="AC65" s="1" t="s">
        <v>196</v>
      </c>
      <c r="AD65" s="1" t="s">
        <v>196</v>
      </c>
      <c r="AE65" s="3"/>
      <c r="AF65" s="207" t="s">
        <v>5129</v>
      </c>
      <c r="AG65" s="15" t="s">
        <v>192</v>
      </c>
      <c r="AH65" s="15" t="s">
        <v>192</v>
      </c>
      <c r="AI65" s="218"/>
      <c r="AJ65" s="219"/>
      <c r="AK65" s="220"/>
    </row>
    <row r="66" spans="1:37" s="4" customFormat="1" x14ac:dyDescent="0.25">
      <c r="A66" s="16">
        <v>891780111</v>
      </c>
      <c r="B66" s="16" t="s">
        <v>54</v>
      </c>
      <c r="C66" s="14" t="s">
        <v>57</v>
      </c>
      <c r="D66" s="16" t="s">
        <v>60</v>
      </c>
      <c r="E66" s="70" t="s">
        <v>5130</v>
      </c>
      <c r="F66" s="16" t="s">
        <v>61</v>
      </c>
      <c r="G66" s="1" t="s">
        <v>61</v>
      </c>
      <c r="H66" s="1" t="s">
        <v>79</v>
      </c>
      <c r="I66" s="9">
        <v>31200003</v>
      </c>
      <c r="J66" s="94"/>
      <c r="K66" s="2"/>
      <c r="L66" s="2"/>
      <c r="M66" s="30">
        <f t="shared" si="0"/>
        <v>31200003</v>
      </c>
      <c r="N66" s="200">
        <v>1064715357</v>
      </c>
      <c r="O66" s="201" t="s">
        <v>5097</v>
      </c>
      <c r="P66" s="70" t="s">
        <v>5131</v>
      </c>
      <c r="Q66" s="72" t="s">
        <v>5115</v>
      </c>
      <c r="R66" s="72" t="s">
        <v>5115</v>
      </c>
      <c r="S66" s="72" t="s">
        <v>4836</v>
      </c>
      <c r="T66" s="35"/>
      <c r="U66" s="3"/>
      <c r="V66" s="3"/>
      <c r="W66" s="3"/>
      <c r="X66" s="71">
        <v>8290908</v>
      </c>
      <c r="Y66" s="9">
        <v>22909095</v>
      </c>
      <c r="Z66" s="203">
        <f t="shared" si="1"/>
        <v>0.26573420521786489</v>
      </c>
      <c r="AA66" s="200">
        <v>72220242</v>
      </c>
      <c r="AB66" s="70" t="s">
        <v>4072</v>
      </c>
      <c r="AC66" s="1" t="s">
        <v>196</v>
      </c>
      <c r="AD66" s="1" t="s">
        <v>196</v>
      </c>
      <c r="AE66" s="3"/>
      <c r="AF66" s="207" t="s">
        <v>5132</v>
      </c>
      <c r="AG66" s="15" t="s">
        <v>192</v>
      </c>
      <c r="AH66" s="15" t="s">
        <v>192</v>
      </c>
      <c r="AI66" s="218"/>
      <c r="AJ66" s="219"/>
      <c r="AK66" s="220"/>
    </row>
    <row r="67" spans="1:37" s="4" customFormat="1" x14ac:dyDescent="0.25">
      <c r="A67" s="16">
        <v>891780111</v>
      </c>
      <c r="B67" s="16" t="s">
        <v>54</v>
      </c>
      <c r="C67" s="14" t="s">
        <v>57</v>
      </c>
      <c r="D67" s="16" t="s">
        <v>60</v>
      </c>
      <c r="E67" s="70" t="s">
        <v>5133</v>
      </c>
      <c r="F67" s="16" t="s">
        <v>61</v>
      </c>
      <c r="G67" s="1" t="s">
        <v>61</v>
      </c>
      <c r="H67" s="1" t="s">
        <v>79</v>
      </c>
      <c r="I67" s="9">
        <v>26000003</v>
      </c>
      <c r="J67" s="94"/>
      <c r="K67" s="2"/>
      <c r="L67" s="2"/>
      <c r="M67" s="30">
        <f t="shared" si="0"/>
        <v>26000003</v>
      </c>
      <c r="N67" s="200">
        <v>1082886224</v>
      </c>
      <c r="O67" s="201" t="s">
        <v>5134</v>
      </c>
      <c r="P67" s="70" t="s">
        <v>5135</v>
      </c>
      <c r="Q67" s="72" t="s">
        <v>5115</v>
      </c>
      <c r="R67" s="72" t="s">
        <v>5115</v>
      </c>
      <c r="S67" s="72" t="s">
        <v>4836</v>
      </c>
      <c r="T67" s="35"/>
      <c r="U67" s="3"/>
      <c r="V67" s="3"/>
      <c r="W67" s="3"/>
      <c r="X67" s="71">
        <v>0</v>
      </c>
      <c r="Y67" s="9">
        <v>26000003</v>
      </c>
      <c r="Z67" s="203">
        <f t="shared" si="1"/>
        <v>0</v>
      </c>
      <c r="AA67" s="200">
        <v>72220242</v>
      </c>
      <c r="AB67" s="70" t="s">
        <v>4072</v>
      </c>
      <c r="AC67" s="1" t="s">
        <v>196</v>
      </c>
      <c r="AD67" s="1" t="s">
        <v>196</v>
      </c>
      <c r="AE67" s="3"/>
      <c r="AF67" s="207" t="s">
        <v>5136</v>
      </c>
      <c r="AG67" s="15" t="s">
        <v>192</v>
      </c>
      <c r="AH67" s="15" t="s">
        <v>192</v>
      </c>
      <c r="AI67" s="218"/>
      <c r="AJ67" s="219"/>
      <c r="AK67" s="220"/>
    </row>
    <row r="68" spans="1:37" s="4" customFormat="1" x14ac:dyDescent="0.25">
      <c r="A68" s="16">
        <v>891780111</v>
      </c>
      <c r="B68" s="16" t="s">
        <v>54</v>
      </c>
      <c r="C68" s="14" t="s">
        <v>57</v>
      </c>
      <c r="D68" s="16" t="s">
        <v>60</v>
      </c>
      <c r="E68" s="70" t="s">
        <v>5137</v>
      </c>
      <c r="F68" s="16" t="s">
        <v>61</v>
      </c>
      <c r="G68" s="1" t="s">
        <v>61</v>
      </c>
      <c r="H68" s="1" t="s">
        <v>79</v>
      </c>
      <c r="I68" s="9">
        <v>26000003</v>
      </c>
      <c r="J68" s="94"/>
      <c r="K68" s="2"/>
      <c r="L68" s="2"/>
      <c r="M68" s="30">
        <f t="shared" si="0"/>
        <v>26000003</v>
      </c>
      <c r="N68" s="200">
        <v>85466642</v>
      </c>
      <c r="O68" s="201" t="s">
        <v>5138</v>
      </c>
      <c r="P68" s="70" t="s">
        <v>5139</v>
      </c>
      <c r="Q68" s="72" t="s">
        <v>5115</v>
      </c>
      <c r="R68" s="72" t="s">
        <v>5115</v>
      </c>
      <c r="S68" s="72" t="s">
        <v>4836</v>
      </c>
      <c r="T68" s="35"/>
      <c r="U68" s="3"/>
      <c r="V68" s="3"/>
      <c r="W68" s="3"/>
      <c r="X68" s="71">
        <v>0</v>
      </c>
      <c r="Y68" s="9">
        <v>26000003</v>
      </c>
      <c r="Z68" s="203">
        <f t="shared" si="1"/>
        <v>0</v>
      </c>
      <c r="AA68" s="200">
        <v>72220242</v>
      </c>
      <c r="AB68" s="70" t="s">
        <v>4072</v>
      </c>
      <c r="AC68" s="1" t="s">
        <v>196</v>
      </c>
      <c r="AD68" s="1" t="s">
        <v>196</v>
      </c>
      <c r="AE68" s="3"/>
      <c r="AF68" s="207" t="s">
        <v>5140</v>
      </c>
      <c r="AG68" s="15" t="s">
        <v>192</v>
      </c>
      <c r="AH68" s="15" t="s">
        <v>192</v>
      </c>
      <c r="AI68" s="218"/>
      <c r="AJ68" s="219"/>
      <c r="AK68" s="220"/>
    </row>
    <row r="69" spans="1:37" s="4" customFormat="1" x14ac:dyDescent="0.25">
      <c r="A69" s="16">
        <v>891780111</v>
      </c>
      <c r="B69" s="16" t="s">
        <v>54</v>
      </c>
      <c r="C69" s="14" t="s">
        <v>57</v>
      </c>
      <c r="D69" s="16" t="s">
        <v>60</v>
      </c>
      <c r="E69" s="70" t="s">
        <v>5141</v>
      </c>
      <c r="F69" s="16" t="s">
        <v>61</v>
      </c>
      <c r="G69" s="1" t="s">
        <v>61</v>
      </c>
      <c r="H69" s="1" t="s">
        <v>79</v>
      </c>
      <c r="I69" s="9">
        <v>26000003</v>
      </c>
      <c r="J69" s="94"/>
      <c r="K69" s="2"/>
      <c r="L69" s="2"/>
      <c r="M69" s="30">
        <f t="shared" si="0"/>
        <v>26000003</v>
      </c>
      <c r="N69" s="200">
        <v>5159197</v>
      </c>
      <c r="O69" s="201" t="s">
        <v>5142</v>
      </c>
      <c r="P69" s="70" t="s">
        <v>5143</v>
      </c>
      <c r="Q69" s="72" t="s">
        <v>5115</v>
      </c>
      <c r="R69" s="72" t="s">
        <v>5115</v>
      </c>
      <c r="S69" s="72" t="s">
        <v>4836</v>
      </c>
      <c r="T69" s="35"/>
      <c r="U69" s="3"/>
      <c r="V69" s="3"/>
      <c r="W69" s="3"/>
      <c r="X69" s="71">
        <v>6909092</v>
      </c>
      <c r="Y69" s="9">
        <v>19090911</v>
      </c>
      <c r="Z69" s="203">
        <f t="shared" si="1"/>
        <v>0.26573427703066033</v>
      </c>
      <c r="AA69" s="200">
        <v>72220242</v>
      </c>
      <c r="AB69" s="70" t="s">
        <v>4072</v>
      </c>
      <c r="AC69" s="1" t="s">
        <v>196</v>
      </c>
      <c r="AD69" s="1" t="s">
        <v>196</v>
      </c>
      <c r="AE69" s="3"/>
      <c r="AF69" s="207" t="s">
        <v>5144</v>
      </c>
      <c r="AG69" s="15" t="s">
        <v>192</v>
      </c>
      <c r="AH69" s="15" t="s">
        <v>192</v>
      </c>
      <c r="AI69" s="218"/>
      <c r="AJ69" s="219"/>
      <c r="AK69" s="220"/>
    </row>
    <row r="70" spans="1:37" s="4" customFormat="1" x14ac:dyDescent="0.25">
      <c r="A70" s="16">
        <v>891780111</v>
      </c>
      <c r="B70" s="16" t="s">
        <v>54</v>
      </c>
      <c r="C70" s="14" t="s">
        <v>57</v>
      </c>
      <c r="D70" s="16" t="s">
        <v>60</v>
      </c>
      <c r="E70" s="70" t="s">
        <v>5145</v>
      </c>
      <c r="F70" s="16" t="s">
        <v>61</v>
      </c>
      <c r="G70" s="1" t="s">
        <v>61</v>
      </c>
      <c r="H70" s="1" t="s">
        <v>79</v>
      </c>
      <c r="I70" s="9">
        <v>28652560</v>
      </c>
      <c r="J70" s="94"/>
      <c r="K70" s="2"/>
      <c r="L70" s="2"/>
      <c r="M70" s="30">
        <f t="shared" si="0"/>
        <v>28652560</v>
      </c>
      <c r="N70" s="200">
        <v>39143300</v>
      </c>
      <c r="O70" s="201" t="s">
        <v>5108</v>
      </c>
      <c r="P70" s="70" t="s">
        <v>5146</v>
      </c>
      <c r="Q70" s="206">
        <v>45030</v>
      </c>
      <c r="R70" s="206">
        <v>45030</v>
      </c>
      <c r="S70" s="206">
        <v>45291</v>
      </c>
      <c r="T70" s="35"/>
      <c r="U70" s="3"/>
      <c r="V70" s="3"/>
      <c r="W70" s="3"/>
      <c r="X70" s="71">
        <v>6367234</v>
      </c>
      <c r="Y70" s="9">
        <v>22285326</v>
      </c>
      <c r="Z70" s="203">
        <f t="shared" si="1"/>
        <v>0.22222216793194047</v>
      </c>
      <c r="AA70" s="70">
        <v>51913961</v>
      </c>
      <c r="AB70" s="72" t="s">
        <v>5021</v>
      </c>
      <c r="AC70" s="1" t="s">
        <v>196</v>
      </c>
      <c r="AD70" s="1" t="s">
        <v>196</v>
      </c>
      <c r="AE70" s="3"/>
      <c r="AF70" s="207" t="s">
        <v>5147</v>
      </c>
      <c r="AG70" s="15" t="s">
        <v>192</v>
      </c>
      <c r="AH70" s="15" t="s">
        <v>192</v>
      </c>
      <c r="AI70" s="218"/>
      <c r="AJ70" s="219"/>
      <c r="AK70" s="220"/>
    </row>
    <row r="71" spans="1:37" s="4" customFormat="1" x14ac:dyDescent="0.25">
      <c r="A71" s="16">
        <v>891780111</v>
      </c>
      <c r="B71" s="16" t="s">
        <v>54</v>
      </c>
      <c r="C71" s="14" t="s">
        <v>57</v>
      </c>
      <c r="D71" s="16" t="s">
        <v>60</v>
      </c>
      <c r="E71" s="70" t="s">
        <v>5148</v>
      </c>
      <c r="F71" s="16" t="s">
        <v>61</v>
      </c>
      <c r="G71" s="1" t="s">
        <v>61</v>
      </c>
      <c r="H71" s="1" t="s">
        <v>79</v>
      </c>
      <c r="I71" s="9">
        <v>37777778</v>
      </c>
      <c r="J71" s="94"/>
      <c r="K71" s="2"/>
      <c r="L71" s="2"/>
      <c r="M71" s="30">
        <f t="shared" si="0"/>
        <v>37777778</v>
      </c>
      <c r="N71" s="200">
        <v>1123407292</v>
      </c>
      <c r="O71" s="201" t="s">
        <v>5092</v>
      </c>
      <c r="P71" s="70" t="s">
        <v>5149</v>
      </c>
      <c r="Q71" s="206">
        <v>45035</v>
      </c>
      <c r="R71" s="206">
        <v>45035</v>
      </c>
      <c r="S71" s="206">
        <v>45535</v>
      </c>
      <c r="T71" s="35"/>
      <c r="U71" s="3"/>
      <c r="V71" s="3"/>
      <c r="W71" s="3"/>
      <c r="X71" s="71">
        <v>4444440</v>
      </c>
      <c r="Y71" s="9">
        <v>33333338</v>
      </c>
      <c r="Z71" s="203">
        <f t="shared" si="1"/>
        <v>0.11764694048442977</v>
      </c>
      <c r="AA71" s="200">
        <v>72220242</v>
      </c>
      <c r="AB71" s="70" t="s">
        <v>4072</v>
      </c>
      <c r="AC71" s="1" t="s">
        <v>196</v>
      </c>
      <c r="AD71" s="1" t="s">
        <v>196</v>
      </c>
      <c r="AE71" s="3"/>
      <c r="AF71" s="207" t="s">
        <v>5150</v>
      </c>
      <c r="AG71" s="15" t="s">
        <v>192</v>
      </c>
      <c r="AH71" s="15" t="s">
        <v>192</v>
      </c>
      <c r="AI71" s="218"/>
      <c r="AJ71" s="219"/>
      <c r="AK71" s="220"/>
    </row>
    <row r="72" spans="1:37" s="4" customFormat="1" x14ac:dyDescent="0.25">
      <c r="A72" s="16">
        <v>891780111</v>
      </c>
      <c r="B72" s="16" t="s">
        <v>54</v>
      </c>
      <c r="C72" s="14" t="s">
        <v>57</v>
      </c>
      <c r="D72" s="16" t="s">
        <v>60</v>
      </c>
      <c r="E72" s="70" t="s">
        <v>5151</v>
      </c>
      <c r="F72" s="16" t="s">
        <v>61</v>
      </c>
      <c r="G72" s="1" t="s">
        <v>61</v>
      </c>
      <c r="H72" s="1" t="s">
        <v>79</v>
      </c>
      <c r="I72" s="9">
        <v>2184000</v>
      </c>
      <c r="J72" s="94"/>
      <c r="K72" s="2"/>
      <c r="L72" s="2"/>
      <c r="M72" s="30">
        <f t="shared" si="0"/>
        <v>2184000</v>
      </c>
      <c r="N72" s="200">
        <v>1065632947</v>
      </c>
      <c r="O72" s="201" t="s">
        <v>5068</v>
      </c>
      <c r="P72" s="70" t="s">
        <v>5152</v>
      </c>
      <c r="Q72" s="206">
        <v>45041</v>
      </c>
      <c r="R72" s="206">
        <v>45041</v>
      </c>
      <c r="S72" s="206">
        <v>45083</v>
      </c>
      <c r="T72" s="35"/>
      <c r="U72" s="3"/>
      <c r="V72" s="3"/>
      <c r="W72" s="3"/>
      <c r="X72" s="71">
        <v>2184000</v>
      </c>
      <c r="Y72" s="9">
        <v>0</v>
      </c>
      <c r="Z72" s="203">
        <f t="shared" si="1"/>
        <v>1</v>
      </c>
      <c r="AA72" s="70">
        <v>51913961</v>
      </c>
      <c r="AB72" s="72" t="s">
        <v>5021</v>
      </c>
      <c r="AC72" s="1" t="s">
        <v>196</v>
      </c>
      <c r="AD72" s="1" t="s">
        <v>196</v>
      </c>
      <c r="AE72" s="3"/>
      <c r="AF72" s="207" t="s">
        <v>5153</v>
      </c>
      <c r="AG72" s="15" t="s">
        <v>192</v>
      </c>
      <c r="AH72" s="15" t="s">
        <v>192</v>
      </c>
      <c r="AI72" s="218"/>
      <c r="AJ72" s="219"/>
      <c r="AK72" s="220"/>
    </row>
    <row r="73" spans="1:37" s="4" customFormat="1" x14ac:dyDescent="0.25">
      <c r="A73" s="16">
        <v>891780111</v>
      </c>
      <c r="B73" s="16" t="s">
        <v>54</v>
      </c>
      <c r="C73" s="14" t="s">
        <v>57</v>
      </c>
      <c r="D73" s="16" t="s">
        <v>60</v>
      </c>
      <c r="E73" s="70" t="s">
        <v>5154</v>
      </c>
      <c r="F73" s="16" t="s">
        <v>61</v>
      </c>
      <c r="G73" s="1" t="s">
        <v>61</v>
      </c>
      <c r="H73" s="1" t="s">
        <v>79</v>
      </c>
      <c r="I73" s="9">
        <v>32856559.789999999</v>
      </c>
      <c r="J73" s="94"/>
      <c r="K73" s="2"/>
      <c r="L73" s="2"/>
      <c r="M73" s="30">
        <f t="shared" si="0"/>
        <v>32856559.789999999</v>
      </c>
      <c r="N73" s="200">
        <v>1082860590</v>
      </c>
      <c r="O73" s="201" t="s">
        <v>5155</v>
      </c>
      <c r="P73" s="70" t="s">
        <v>5156</v>
      </c>
      <c r="Q73" s="206">
        <v>45042</v>
      </c>
      <c r="R73" s="206">
        <v>45042</v>
      </c>
      <c r="S73" s="206">
        <v>45374</v>
      </c>
      <c r="T73" s="35"/>
      <c r="U73" s="3"/>
      <c r="V73" s="3"/>
      <c r="W73" s="3"/>
      <c r="X73" s="71">
        <v>0</v>
      </c>
      <c r="Y73" s="9">
        <v>32856559.789999999</v>
      </c>
      <c r="Z73" s="203">
        <f t="shared" si="1"/>
        <v>0</v>
      </c>
      <c r="AA73" s="200">
        <v>45498601</v>
      </c>
      <c r="AB73" s="70" t="s">
        <v>4946</v>
      </c>
      <c r="AC73" s="1" t="s">
        <v>196</v>
      </c>
      <c r="AD73" s="1" t="s">
        <v>196</v>
      </c>
      <c r="AE73" s="3"/>
      <c r="AF73" s="207" t="s">
        <v>5157</v>
      </c>
      <c r="AG73" s="15" t="s">
        <v>192</v>
      </c>
      <c r="AH73" s="15" t="s">
        <v>192</v>
      </c>
      <c r="AI73" s="218"/>
      <c r="AJ73" s="219"/>
      <c r="AK73" s="220"/>
    </row>
    <row r="74" spans="1:37" s="4" customFormat="1" x14ac:dyDescent="0.25">
      <c r="A74" s="16">
        <v>891780111</v>
      </c>
      <c r="B74" s="16" t="s">
        <v>54</v>
      </c>
      <c r="C74" s="14" t="s">
        <v>57</v>
      </c>
      <c r="D74" s="16" t="s">
        <v>60</v>
      </c>
      <c r="E74" s="70" t="s">
        <v>5158</v>
      </c>
      <c r="F74" s="16" t="s">
        <v>61</v>
      </c>
      <c r="G74" s="1" t="s">
        <v>61</v>
      </c>
      <c r="H74" s="1" t="s">
        <v>79</v>
      </c>
      <c r="I74" s="9">
        <v>48790000</v>
      </c>
      <c r="J74" s="94"/>
      <c r="K74" s="2"/>
      <c r="L74" s="2"/>
      <c r="M74" s="30">
        <f t="shared" si="0"/>
        <v>48790000</v>
      </c>
      <c r="N74" s="200">
        <v>800214001</v>
      </c>
      <c r="O74" s="201" t="s">
        <v>5159</v>
      </c>
      <c r="P74" s="70" t="s">
        <v>5160</v>
      </c>
      <c r="Q74" s="206">
        <v>45043</v>
      </c>
      <c r="R74" s="206">
        <v>45044</v>
      </c>
      <c r="S74" s="206">
        <v>45086</v>
      </c>
      <c r="T74" s="35"/>
      <c r="U74" s="3"/>
      <c r="V74" s="3"/>
      <c r="W74" s="3"/>
      <c r="X74" s="9">
        <v>48790000</v>
      </c>
      <c r="Y74" s="4">
        <v>0</v>
      </c>
      <c r="Z74" s="203">
        <f t="shared" si="1"/>
        <v>1</v>
      </c>
      <c r="AA74" s="200">
        <v>85449357</v>
      </c>
      <c r="AB74" s="70" t="s">
        <v>5161</v>
      </c>
      <c r="AC74" s="1" t="s">
        <v>196</v>
      </c>
      <c r="AD74" s="1" t="s">
        <v>196</v>
      </c>
      <c r="AE74" s="3"/>
      <c r="AF74" s="207" t="s">
        <v>5162</v>
      </c>
      <c r="AG74" s="15" t="s">
        <v>192</v>
      </c>
      <c r="AH74" s="15" t="s">
        <v>191</v>
      </c>
      <c r="AI74" s="218"/>
      <c r="AJ74" s="219"/>
      <c r="AK74" s="220"/>
    </row>
    <row r="75" spans="1:37" s="4" customFormat="1" x14ac:dyDescent="0.25">
      <c r="A75" s="16">
        <v>891780111</v>
      </c>
      <c r="B75" s="16" t="s">
        <v>54</v>
      </c>
      <c r="C75" s="14" t="s">
        <v>57</v>
      </c>
      <c r="D75" s="16" t="s">
        <v>60</v>
      </c>
      <c r="E75" s="70" t="s">
        <v>5163</v>
      </c>
      <c r="F75" s="16" t="s">
        <v>61</v>
      </c>
      <c r="G75" s="1" t="s">
        <v>61</v>
      </c>
      <c r="H75" s="1" t="s">
        <v>79</v>
      </c>
      <c r="I75" s="9">
        <v>53750000</v>
      </c>
      <c r="J75" s="94"/>
      <c r="K75" s="2"/>
      <c r="L75" s="2"/>
      <c r="M75" s="30">
        <f t="shared" si="0"/>
        <v>53750000</v>
      </c>
      <c r="N75" s="200">
        <v>1082944582</v>
      </c>
      <c r="O75" s="201" t="s">
        <v>5164</v>
      </c>
      <c r="P75" s="70" t="s">
        <v>5165</v>
      </c>
      <c r="Q75" s="206">
        <v>45079</v>
      </c>
      <c r="R75" s="206">
        <v>45079</v>
      </c>
      <c r="S75" s="206">
        <v>45535</v>
      </c>
      <c r="T75" s="35"/>
      <c r="U75" s="3"/>
      <c r="V75" s="3"/>
      <c r="W75" s="3"/>
      <c r="X75" s="9">
        <v>0</v>
      </c>
      <c r="Y75" s="9">
        <v>53750000</v>
      </c>
      <c r="Z75" s="203">
        <v>0</v>
      </c>
      <c r="AA75" s="200">
        <v>72220242</v>
      </c>
      <c r="AB75" s="70" t="s">
        <v>4072</v>
      </c>
      <c r="AC75" s="1" t="s">
        <v>196</v>
      </c>
      <c r="AD75" s="1" t="s">
        <v>196</v>
      </c>
      <c r="AE75" s="3"/>
      <c r="AF75" s="207" t="s">
        <v>5166</v>
      </c>
      <c r="AG75" s="15" t="s">
        <v>192</v>
      </c>
      <c r="AH75" s="15" t="s">
        <v>192</v>
      </c>
      <c r="AI75" s="218"/>
      <c r="AJ75" s="219"/>
      <c r="AK75" s="220"/>
    </row>
    <row r="76" spans="1:37" s="4" customFormat="1" x14ac:dyDescent="0.25">
      <c r="A76" s="16">
        <v>891780111</v>
      </c>
      <c r="B76" s="16" t="s">
        <v>54</v>
      </c>
      <c r="C76" s="14" t="s">
        <v>57</v>
      </c>
      <c r="D76" s="16" t="s">
        <v>60</v>
      </c>
      <c r="E76" s="70" t="s">
        <v>5167</v>
      </c>
      <c r="F76" s="16" t="s">
        <v>61</v>
      </c>
      <c r="G76" s="1" t="s">
        <v>61</v>
      </c>
      <c r="H76" s="1" t="s">
        <v>79</v>
      </c>
      <c r="I76" s="9">
        <v>20272729</v>
      </c>
      <c r="J76" s="94"/>
      <c r="K76" s="2"/>
      <c r="L76" s="2"/>
      <c r="M76" s="30">
        <v>20272729</v>
      </c>
      <c r="N76" s="200">
        <v>1082969196</v>
      </c>
      <c r="O76" s="201" t="s">
        <v>5168</v>
      </c>
      <c r="P76" s="70" t="s">
        <v>5169</v>
      </c>
      <c r="Q76" s="206">
        <v>45097</v>
      </c>
      <c r="R76" s="206">
        <v>45098</v>
      </c>
      <c r="S76" s="206">
        <v>45291</v>
      </c>
      <c r="T76" s="35"/>
      <c r="U76" s="3"/>
      <c r="V76" s="3"/>
      <c r="W76" s="3"/>
      <c r="X76" s="9">
        <v>0</v>
      </c>
      <c r="Y76" s="9">
        <v>20272729</v>
      </c>
      <c r="Z76" s="203">
        <v>0</v>
      </c>
      <c r="AA76" s="200">
        <v>72220242</v>
      </c>
      <c r="AB76" s="70" t="s">
        <v>4072</v>
      </c>
      <c r="AC76" s="1" t="s">
        <v>196</v>
      </c>
      <c r="AD76" s="1" t="s">
        <v>196</v>
      </c>
      <c r="AE76" s="3"/>
      <c r="AF76" s="207" t="s">
        <v>5170</v>
      </c>
      <c r="AG76" s="15" t="s">
        <v>192</v>
      </c>
      <c r="AH76" s="15" t="s">
        <v>192</v>
      </c>
      <c r="AI76" s="218"/>
      <c r="AJ76" s="219"/>
      <c r="AK76" s="220"/>
    </row>
    <row r="77" spans="1:37" s="4" customFormat="1" x14ac:dyDescent="0.25">
      <c r="A77" s="16">
        <v>891780111</v>
      </c>
      <c r="B77" s="16" t="s">
        <v>54</v>
      </c>
      <c r="C77" s="14" t="s">
        <v>56</v>
      </c>
      <c r="D77" s="16"/>
      <c r="E77" s="70" t="s">
        <v>5171</v>
      </c>
      <c r="F77" s="16"/>
      <c r="G77" s="1" t="s">
        <v>61</v>
      </c>
      <c r="H77" s="1" t="s">
        <v>79</v>
      </c>
      <c r="I77" s="9">
        <v>41250000</v>
      </c>
      <c r="J77" s="94"/>
      <c r="K77" s="2"/>
      <c r="L77" s="2"/>
      <c r="M77" s="30">
        <v>41250000</v>
      </c>
      <c r="N77" s="99">
        <v>900333004</v>
      </c>
      <c r="O77" s="201" t="s">
        <v>5101</v>
      </c>
      <c r="P77" t="s">
        <v>5172</v>
      </c>
      <c r="Q77" s="70" t="s">
        <v>5173</v>
      </c>
      <c r="R77" s="70" t="s">
        <v>5173</v>
      </c>
      <c r="S77" t="s">
        <v>5174</v>
      </c>
      <c r="T77" s="35"/>
      <c r="U77" s="3"/>
      <c r="V77" s="3"/>
      <c r="W77" s="3"/>
      <c r="X77" s="9">
        <v>0</v>
      </c>
      <c r="Y77" s="221">
        <v>41250000</v>
      </c>
      <c r="Z77" s="203">
        <v>0</v>
      </c>
      <c r="AA77" s="200">
        <v>12621405</v>
      </c>
      <c r="AB77" s="70" t="s">
        <v>5105</v>
      </c>
      <c r="AC77" s="1" t="s">
        <v>196</v>
      </c>
      <c r="AD77" s="1" t="s">
        <v>196</v>
      </c>
      <c r="AE77" s="3"/>
      <c r="AF77" s="216" t="s">
        <v>5175</v>
      </c>
      <c r="AG77" s="15" t="s">
        <v>192</v>
      </c>
      <c r="AH77" s="15" t="s">
        <v>191</v>
      </c>
      <c r="AI77" s="218"/>
      <c r="AJ77" s="219"/>
      <c r="AK77" s="220"/>
    </row>
    <row r="78" spans="1:37" s="4" customFormat="1" x14ac:dyDescent="0.25">
      <c r="A78" s="16">
        <v>891780111</v>
      </c>
      <c r="B78" s="16" t="s">
        <v>54</v>
      </c>
      <c r="C78" s="14" t="s">
        <v>57</v>
      </c>
      <c r="D78" s="16" t="s">
        <v>60</v>
      </c>
      <c r="E78" s="70" t="s">
        <v>5176</v>
      </c>
      <c r="F78" s="16" t="s">
        <v>61</v>
      </c>
      <c r="G78" s="1" t="s">
        <v>61</v>
      </c>
      <c r="H78" s="1" t="s">
        <v>79</v>
      </c>
      <c r="I78" s="9">
        <v>18901520</v>
      </c>
      <c r="J78" s="94"/>
      <c r="K78" s="2"/>
      <c r="L78" s="2"/>
      <c r="M78" s="30">
        <f t="shared" si="0"/>
        <v>18901520</v>
      </c>
      <c r="N78" s="200">
        <v>1083006847</v>
      </c>
      <c r="O78" s="201" t="s">
        <v>5177</v>
      </c>
      <c r="P78" s="70" t="s">
        <v>5178</v>
      </c>
      <c r="Q78" s="206">
        <v>44974</v>
      </c>
      <c r="R78" s="206">
        <v>44974</v>
      </c>
      <c r="S78" s="206">
        <v>45291</v>
      </c>
      <c r="T78" s="35"/>
      <c r="U78" s="3"/>
      <c r="V78" s="3"/>
      <c r="W78" s="3"/>
      <c r="X78" s="222">
        <v>6873276</v>
      </c>
      <c r="Y78" s="223">
        <v>12028244</v>
      </c>
      <c r="Z78" s="203">
        <f t="shared" si="1"/>
        <v>0.36363615201317145</v>
      </c>
      <c r="AA78" s="70">
        <v>51913961</v>
      </c>
      <c r="AB78" s="72" t="s">
        <v>5021</v>
      </c>
      <c r="AC78" s="1" t="s">
        <v>196</v>
      </c>
      <c r="AD78" s="1" t="s">
        <v>196</v>
      </c>
      <c r="AE78" s="3"/>
      <c r="AF78" s="207" t="s">
        <v>5179</v>
      </c>
      <c r="AG78" s="15" t="s">
        <v>192</v>
      </c>
      <c r="AH78" s="15" t="s">
        <v>192</v>
      </c>
      <c r="AI78" s="218"/>
      <c r="AJ78" s="219"/>
      <c r="AK78" s="220"/>
    </row>
    <row r="79" spans="1:37" s="4" customFormat="1" x14ac:dyDescent="0.25">
      <c r="A79" s="16">
        <v>891780111</v>
      </c>
      <c r="B79" s="16" t="s">
        <v>54</v>
      </c>
      <c r="C79" s="14" t="s">
        <v>57</v>
      </c>
      <c r="D79" s="16" t="s">
        <v>60</v>
      </c>
      <c r="E79" s="70" t="s">
        <v>5180</v>
      </c>
      <c r="F79" s="16" t="s">
        <v>61</v>
      </c>
      <c r="G79" s="1" t="s">
        <v>61</v>
      </c>
      <c r="H79" s="1" t="s">
        <v>79</v>
      </c>
      <c r="I79" s="9">
        <v>15000000</v>
      </c>
      <c r="J79" s="94"/>
      <c r="K79" s="2"/>
      <c r="L79" s="2"/>
      <c r="M79" s="30">
        <f t="shared" si="0"/>
        <v>15000000</v>
      </c>
      <c r="N79" s="200">
        <v>19594169</v>
      </c>
      <c r="O79" s="201" t="s">
        <v>5181</v>
      </c>
      <c r="P79" s="70" t="s">
        <v>5182</v>
      </c>
      <c r="Q79" s="72" t="s">
        <v>5183</v>
      </c>
      <c r="R79" s="72" t="s">
        <v>5183</v>
      </c>
      <c r="S79" s="72" t="s">
        <v>4836</v>
      </c>
      <c r="T79" s="35"/>
      <c r="U79" s="3"/>
      <c r="V79" s="3"/>
      <c r="W79" s="3"/>
      <c r="X79" s="71">
        <v>4500000</v>
      </c>
      <c r="Y79" s="9">
        <v>10500000</v>
      </c>
      <c r="Z79" s="203">
        <f t="shared" si="1"/>
        <v>0.3</v>
      </c>
      <c r="AA79" s="200">
        <v>72220242</v>
      </c>
      <c r="AB79" s="70" t="s">
        <v>4072</v>
      </c>
      <c r="AC79" s="1" t="s">
        <v>196</v>
      </c>
      <c r="AD79" s="1" t="s">
        <v>196</v>
      </c>
      <c r="AE79" s="3"/>
      <c r="AF79" s="207" t="s">
        <v>5184</v>
      </c>
      <c r="AG79" s="15" t="s">
        <v>192</v>
      </c>
      <c r="AH79" s="15" t="s">
        <v>192</v>
      </c>
      <c r="AI79" s="218"/>
      <c r="AJ79" s="219"/>
      <c r="AK79" s="220"/>
    </row>
    <row r="80" spans="1:37" s="4" customFormat="1" x14ac:dyDescent="0.25">
      <c r="A80" s="16">
        <v>891780111</v>
      </c>
      <c r="B80" s="16" t="s">
        <v>54</v>
      </c>
      <c r="C80" s="14" t="s">
        <v>57</v>
      </c>
      <c r="D80" s="16" t="s">
        <v>60</v>
      </c>
      <c r="E80" s="70" t="s">
        <v>5185</v>
      </c>
      <c r="F80" s="16" t="s">
        <v>61</v>
      </c>
      <c r="G80" s="1" t="s">
        <v>61</v>
      </c>
      <c r="H80" s="1" t="s">
        <v>79</v>
      </c>
      <c r="I80" s="9">
        <v>15000000</v>
      </c>
      <c r="J80" s="94"/>
      <c r="K80" s="2"/>
      <c r="L80" s="2"/>
      <c r="M80" s="30">
        <f t="shared" si="0"/>
        <v>15000000</v>
      </c>
      <c r="N80" s="200">
        <v>1082409369</v>
      </c>
      <c r="O80" s="201" t="s">
        <v>5186</v>
      </c>
      <c r="P80" s="70" t="s">
        <v>5187</v>
      </c>
      <c r="Q80" s="72" t="s">
        <v>5183</v>
      </c>
      <c r="R80" s="72" t="s">
        <v>5183</v>
      </c>
      <c r="S80" s="72" t="s">
        <v>4836</v>
      </c>
      <c r="T80" s="35"/>
      <c r="U80" s="3"/>
      <c r="V80" s="3"/>
      <c r="W80" s="3"/>
      <c r="X80" s="71">
        <v>0</v>
      </c>
      <c r="Y80" s="9">
        <v>15000000</v>
      </c>
      <c r="Z80" s="203">
        <f t="shared" si="1"/>
        <v>0</v>
      </c>
      <c r="AA80" s="200">
        <v>72220242</v>
      </c>
      <c r="AB80" s="70" t="s">
        <v>4072</v>
      </c>
      <c r="AC80" s="1" t="s">
        <v>196</v>
      </c>
      <c r="AD80" s="1" t="s">
        <v>196</v>
      </c>
      <c r="AE80" s="3"/>
      <c r="AF80" s="207" t="s">
        <v>5188</v>
      </c>
      <c r="AG80" s="15" t="s">
        <v>192</v>
      </c>
      <c r="AH80" s="15" t="s">
        <v>192</v>
      </c>
      <c r="AI80" s="218"/>
      <c r="AJ80" s="219"/>
      <c r="AK80" s="220"/>
    </row>
    <row r="81" spans="1:37" s="4" customFormat="1" x14ac:dyDescent="0.25">
      <c r="A81" s="16">
        <v>891780111</v>
      </c>
      <c r="B81" s="16" t="s">
        <v>54</v>
      </c>
      <c r="C81" s="14" t="s">
        <v>57</v>
      </c>
      <c r="D81" s="16" t="s">
        <v>60</v>
      </c>
      <c r="E81" s="70" t="s">
        <v>5189</v>
      </c>
      <c r="F81" s="16" t="s">
        <v>61</v>
      </c>
      <c r="G81" s="1" t="s">
        <v>61</v>
      </c>
      <c r="H81" s="1" t="s">
        <v>79</v>
      </c>
      <c r="I81" s="9">
        <v>15000000</v>
      </c>
      <c r="J81" s="94"/>
      <c r="K81" s="2"/>
      <c r="L81" s="2"/>
      <c r="M81" s="30">
        <f t="shared" si="0"/>
        <v>15000000</v>
      </c>
      <c r="N81" s="200">
        <v>17958170</v>
      </c>
      <c r="O81" s="201" t="s">
        <v>5190</v>
      </c>
      <c r="P81" s="70" t="s">
        <v>5191</v>
      </c>
      <c r="Q81" s="72" t="s">
        <v>5183</v>
      </c>
      <c r="R81" s="72" t="s">
        <v>5183</v>
      </c>
      <c r="S81" s="72" t="s">
        <v>4836</v>
      </c>
      <c r="T81" s="35"/>
      <c r="U81" s="3"/>
      <c r="V81" s="3"/>
      <c r="W81" s="3"/>
      <c r="X81" s="71">
        <v>4500000</v>
      </c>
      <c r="Y81" s="9">
        <v>10500000</v>
      </c>
      <c r="Z81" s="203">
        <f t="shared" si="1"/>
        <v>0.3</v>
      </c>
      <c r="AA81" s="200">
        <v>72220242</v>
      </c>
      <c r="AB81" s="70" t="s">
        <v>4072</v>
      </c>
      <c r="AC81" s="1" t="s">
        <v>196</v>
      </c>
      <c r="AD81" s="1" t="s">
        <v>196</v>
      </c>
      <c r="AE81" s="3"/>
      <c r="AF81" s="207" t="s">
        <v>5192</v>
      </c>
      <c r="AG81" s="15" t="s">
        <v>192</v>
      </c>
      <c r="AH81" s="15" t="s">
        <v>192</v>
      </c>
      <c r="AI81" s="218"/>
      <c r="AJ81" s="219"/>
      <c r="AK81" s="220"/>
    </row>
    <row r="82" spans="1:37" s="4" customFormat="1" x14ac:dyDescent="0.25">
      <c r="A82" s="16">
        <v>891780111</v>
      </c>
      <c r="B82" s="16" t="s">
        <v>54</v>
      </c>
      <c r="C82" s="14" t="s">
        <v>57</v>
      </c>
      <c r="D82" s="16" t="s">
        <v>60</v>
      </c>
      <c r="E82" s="70" t="s">
        <v>5193</v>
      </c>
      <c r="F82" s="16" t="s">
        <v>61</v>
      </c>
      <c r="G82" s="1" t="s">
        <v>61</v>
      </c>
      <c r="H82" s="1" t="s">
        <v>79</v>
      </c>
      <c r="I82" s="9">
        <v>15000000</v>
      </c>
      <c r="J82" s="94"/>
      <c r="K82" s="2"/>
      <c r="L82" s="2"/>
      <c r="M82" s="30">
        <f t="shared" si="0"/>
        <v>15000000</v>
      </c>
      <c r="N82" s="200">
        <v>1124005920</v>
      </c>
      <c r="O82" s="201" t="s">
        <v>5194</v>
      </c>
      <c r="P82" s="70" t="s">
        <v>5195</v>
      </c>
      <c r="Q82" s="206">
        <v>45035</v>
      </c>
      <c r="R82" s="206">
        <v>45035</v>
      </c>
      <c r="S82" s="206">
        <v>45291</v>
      </c>
      <c r="T82" s="35"/>
      <c r="U82" s="3"/>
      <c r="V82" s="3"/>
      <c r="W82" s="3"/>
      <c r="X82" s="71">
        <v>1666667</v>
      </c>
      <c r="Y82" s="9">
        <v>13333333</v>
      </c>
      <c r="Z82" s="203">
        <f t="shared" si="1"/>
        <v>0.11111113333333333</v>
      </c>
      <c r="AA82" s="200">
        <v>72220242</v>
      </c>
      <c r="AB82" s="70" t="s">
        <v>4072</v>
      </c>
      <c r="AC82" s="1" t="s">
        <v>196</v>
      </c>
      <c r="AD82" s="1" t="s">
        <v>196</v>
      </c>
      <c r="AE82" s="3"/>
      <c r="AF82" s="207" t="s">
        <v>5196</v>
      </c>
      <c r="AG82" s="15" t="s">
        <v>192</v>
      </c>
      <c r="AH82" s="15" t="s">
        <v>192</v>
      </c>
      <c r="AI82" s="218"/>
      <c r="AJ82" s="219"/>
      <c r="AK82" s="220"/>
    </row>
    <row r="83" spans="1:37" s="4" customFormat="1" x14ac:dyDescent="0.25">
      <c r="A83" s="16">
        <v>891780111</v>
      </c>
      <c r="B83" s="16" t="s">
        <v>54</v>
      </c>
      <c r="C83" s="14" t="s">
        <v>57</v>
      </c>
      <c r="D83" s="16" t="s">
        <v>60</v>
      </c>
      <c r="E83" s="70" t="s">
        <v>5197</v>
      </c>
      <c r="F83" s="16" t="s">
        <v>61</v>
      </c>
      <c r="G83" s="1" t="s">
        <v>61</v>
      </c>
      <c r="H83" s="1" t="s">
        <v>79</v>
      </c>
      <c r="I83" s="9">
        <v>15000000</v>
      </c>
      <c r="J83" s="94"/>
      <c r="K83" s="2"/>
      <c r="L83" s="2"/>
      <c r="M83" s="30">
        <f t="shared" si="0"/>
        <v>15000000</v>
      </c>
      <c r="N83" s="200">
        <v>85050226</v>
      </c>
      <c r="O83" s="201" t="s">
        <v>5198</v>
      </c>
      <c r="P83" s="70" t="s">
        <v>5199</v>
      </c>
      <c r="Q83" s="70" t="s">
        <v>4887</v>
      </c>
      <c r="R83" s="70" t="s">
        <v>4887</v>
      </c>
      <c r="S83" s="70" t="s">
        <v>4836</v>
      </c>
      <c r="T83" s="35"/>
      <c r="U83" s="3"/>
      <c r="V83" s="3"/>
      <c r="W83" s="3"/>
      <c r="X83" s="71">
        <v>1875000</v>
      </c>
      <c r="Y83" s="9">
        <v>13125000</v>
      </c>
      <c r="Z83" s="203">
        <f t="shared" si="1"/>
        <v>0.125</v>
      </c>
      <c r="AA83" s="200">
        <v>72220242</v>
      </c>
      <c r="AB83" s="70" t="s">
        <v>4072</v>
      </c>
      <c r="AC83" s="1" t="s">
        <v>196</v>
      </c>
      <c r="AD83" s="1" t="s">
        <v>196</v>
      </c>
      <c r="AE83" s="3"/>
      <c r="AF83" s="207" t="s">
        <v>5200</v>
      </c>
      <c r="AG83" s="15" t="s">
        <v>192</v>
      </c>
      <c r="AH83" s="15" t="s">
        <v>192</v>
      </c>
      <c r="AI83" s="218"/>
      <c r="AJ83" s="219"/>
      <c r="AK83" s="220"/>
    </row>
    <row r="84" spans="1:37" s="4" customFormat="1" x14ac:dyDescent="0.25">
      <c r="A84" s="16">
        <v>891780111</v>
      </c>
      <c r="B84" s="16" t="s">
        <v>54</v>
      </c>
      <c r="C84" s="14" t="s">
        <v>57</v>
      </c>
      <c r="D84" s="16" t="s">
        <v>60</v>
      </c>
      <c r="E84" s="70" t="s">
        <v>5201</v>
      </c>
      <c r="F84" s="16" t="s">
        <v>61</v>
      </c>
      <c r="G84" s="1" t="s">
        <v>61</v>
      </c>
      <c r="H84" s="1" t="s">
        <v>79</v>
      </c>
      <c r="I84" s="9">
        <v>15000000</v>
      </c>
      <c r="J84" s="94"/>
      <c r="K84" s="2"/>
      <c r="L84" s="2"/>
      <c r="M84" s="30">
        <f t="shared" si="0"/>
        <v>15000000</v>
      </c>
      <c r="N84" s="200">
        <v>5166144</v>
      </c>
      <c r="O84" s="201" t="s">
        <v>5202</v>
      </c>
      <c r="P84" s="70" t="s">
        <v>5203</v>
      </c>
      <c r="Q84" s="70" t="s">
        <v>5204</v>
      </c>
      <c r="R84" s="70" t="s">
        <v>5204</v>
      </c>
      <c r="S84" s="70" t="s">
        <v>4836</v>
      </c>
      <c r="T84" s="35"/>
      <c r="U84" s="3"/>
      <c r="V84" s="3"/>
      <c r="W84" s="3"/>
      <c r="X84" s="71">
        <v>750000</v>
      </c>
      <c r="Y84" s="9">
        <v>14250000</v>
      </c>
      <c r="Z84" s="203">
        <f t="shared" si="1"/>
        <v>0.05</v>
      </c>
      <c r="AA84" s="200">
        <v>72220242</v>
      </c>
      <c r="AB84" s="70" t="s">
        <v>4072</v>
      </c>
      <c r="AC84" s="1" t="s">
        <v>196</v>
      </c>
      <c r="AD84" s="1" t="s">
        <v>196</v>
      </c>
      <c r="AE84" s="3"/>
      <c r="AF84" s="207" t="s">
        <v>5205</v>
      </c>
      <c r="AG84" s="15" t="s">
        <v>192</v>
      </c>
      <c r="AH84" s="15" t="s">
        <v>192</v>
      </c>
      <c r="AI84" s="218"/>
      <c r="AJ84" s="219"/>
      <c r="AK84" s="220"/>
    </row>
    <row r="85" spans="1:37" s="5" customFormat="1" x14ac:dyDescent="0.25">
      <c r="A85" s="10"/>
      <c r="B85" s="11"/>
      <c r="C85" s="10" t="s">
        <v>311</v>
      </c>
      <c r="D85" s="12"/>
      <c r="E85" s="188">
        <f>COUNTA(E5:E84)</f>
        <v>80</v>
      </c>
      <c r="F85" s="11"/>
      <c r="G85" s="11"/>
      <c r="H85" s="12"/>
      <c r="I85" s="13">
        <f>SUM(I5:I84)</f>
        <v>14958018434.030001</v>
      </c>
      <c r="J85" s="188">
        <f>COUNTA(J5:J84)</f>
        <v>1</v>
      </c>
      <c r="K85" s="13">
        <f>SUM(K5:K84)</f>
        <v>12181786</v>
      </c>
      <c r="L85" s="13">
        <f>SUM(L5:L84)</f>
        <v>89250510</v>
      </c>
      <c r="M85" s="13">
        <f>SUM(M5:M84)</f>
        <v>14880949710.030001</v>
      </c>
      <c r="N85" s="11"/>
      <c r="O85" s="11"/>
      <c r="P85" s="11"/>
      <c r="Q85" s="11"/>
      <c r="R85" s="11"/>
      <c r="S85" s="11"/>
      <c r="T85" s="11"/>
      <c r="U85" s="11"/>
      <c r="V85" s="11"/>
      <c r="W85" s="11"/>
      <c r="X85" s="13">
        <f>SUM(X5:X84)</f>
        <v>5915100951.9299994</v>
      </c>
      <c r="Y85" s="13">
        <f>SUM(Y5:Y84)</f>
        <v>8965848757.7600002</v>
      </c>
      <c r="Z85" s="69"/>
      <c r="AA85" s="11"/>
      <c r="AB85" s="11"/>
      <c r="AC85" s="11"/>
      <c r="AD85" s="11"/>
      <c r="AE85" s="11"/>
      <c r="AF85" s="11"/>
      <c r="AG85" s="11"/>
      <c r="AH85" s="11"/>
    </row>
  </sheetData>
  <mergeCells count="7">
    <mergeCell ref="AF3:AH3"/>
    <mergeCell ref="A1:D1"/>
    <mergeCell ref="G1:H1"/>
    <mergeCell ref="A2:C2"/>
    <mergeCell ref="D2:F2"/>
    <mergeCell ref="G2:H3"/>
    <mergeCell ref="K2:P3"/>
  </mergeCells>
  <conditionalFormatting sqref="D2">
    <cfRule type="containsText" dxfId="10" priority="2" operator="containsText" text="Seleccione Ordenador">
      <formula>NOT(ISERROR(SEARCH("Seleccione Ordenador",D2)))</formula>
    </cfRule>
  </conditionalFormatting>
  <conditionalFormatting sqref="E1">
    <cfRule type="containsText" dxfId="9" priority="1" operator="containsText" text="Seleccione Periodo">
      <formula>NOT(ISERROR(SEARCH("Seleccione Periodo",E1)))</formula>
    </cfRule>
  </conditionalFormatting>
  <dataValidations count="9">
    <dataValidation type="list" allowBlank="1" showInputMessage="1" showErrorMessage="1" sqref="AC5:AD84" xr:uid="{854F7C6C-1A5F-4D6F-AC81-55F5920B2445}">
      <formula1>"SI,NO"</formula1>
    </dataValidation>
    <dataValidation type="list" allowBlank="1" showInputMessage="1" showErrorMessage="1" sqref="AH5:AH84" xr:uid="{6E55C51C-BA24-4461-918F-0E32BAE2FC5D}">
      <formula1>"SI,NA por TIPO Contrato"</formula1>
    </dataValidation>
    <dataValidation type="list" allowBlank="1" showInputMessage="1" showErrorMessage="1" sqref="AG5:AG84" xr:uid="{11AC7DE3-CECA-4606-899C-2CAA8D0BD556}">
      <formula1>"SI,NO HA INICIADO"</formula1>
    </dataValidation>
    <dataValidation type="list" allowBlank="1" showInputMessage="1" showErrorMessage="1" sqref="H5:H84" xr:uid="{3B40CD6E-A069-4F1D-97B4-7A92DF8C598B}">
      <formula1>tipologia</formula1>
    </dataValidation>
    <dataValidation type="list" allowBlank="1" showInputMessage="1" showErrorMessage="1" sqref="G5:G84" xr:uid="{85BA67DF-2E85-4D84-A76D-9F5832679512}">
      <formula1>modalidad</formula1>
    </dataValidation>
    <dataValidation type="list" allowBlank="1" showInputMessage="1" showErrorMessage="1" sqref="C5:C84" xr:uid="{A0A25122-70D6-4C03-B921-72588F1C5C35}">
      <formula1>rubro</formula1>
    </dataValidation>
    <dataValidation type="list" allowBlank="1" showInputMessage="1" showErrorMessage="1" sqref="T27:T84 T5:T25" xr:uid="{57F12163-4CB0-4AE1-9064-7291742A43F8}">
      <formula1>"SI,N/A"</formula1>
    </dataValidation>
    <dataValidation type="list" allowBlank="1" showInputMessage="1" showErrorMessage="1" sqref="E1" xr:uid="{F54EF4E4-F28C-4409-A8CD-D7B4B4B834CF}">
      <formula1>cortea</formula1>
    </dataValidation>
    <dataValidation type="list" allowBlank="1" showInputMessage="1" showErrorMessage="1" sqref="D2" xr:uid="{FF92D04C-CC72-4849-92FF-A72054DE8E44}">
      <formula1>Delegatarios</formula1>
    </dataValidation>
  </dataValidations>
  <hyperlinks>
    <hyperlink ref="AF36" r:id="rId1" xr:uid="{AD04402E-096E-4419-B836-219B3D1EC511}"/>
  </hyperlinks>
  <pageMargins left="0" right="0" top="0" bottom="0" header="0.3" footer="0.3"/>
  <pageSetup paperSize="5" scale="38"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3443-3E28-41A8-AEB7-82DDBBAEC018}">
  <sheetPr>
    <tabColor theme="8" tint="0.59999389629810485"/>
  </sheetPr>
  <dimension ref="A1:AH956"/>
  <sheetViews>
    <sheetView zoomScaleNormal="100" zoomScaleSheetLayoutView="100" workbookViewId="0">
      <selection activeCell="AF9" sqref="AF9"/>
    </sheetView>
  </sheetViews>
  <sheetFormatPr baseColWidth="10" defaultRowHeight="15" x14ac:dyDescent="0.25"/>
  <cols>
    <col min="1" max="1" width="11.42578125" style="199" customWidth="1"/>
    <col min="2" max="2" width="13" style="199" customWidth="1"/>
    <col min="3" max="3" width="22" style="191" customWidth="1"/>
    <col min="4" max="4" width="12.5703125" style="199" customWidth="1"/>
    <col min="5" max="5" width="23.42578125" style="191" customWidth="1"/>
    <col min="6" max="6" width="10.85546875" style="199" customWidth="1"/>
    <col min="7" max="7" width="14.7109375" style="199" customWidth="1"/>
    <col min="8" max="8" width="21.42578125" style="199" customWidth="1"/>
    <col min="9" max="9" width="19.7109375" style="318" customWidth="1"/>
    <col min="10" max="10" width="16.140625" style="191" customWidth="1"/>
    <col min="11" max="11" width="19.42578125" style="277" customWidth="1"/>
    <col min="12" max="12" width="19.140625" style="277" customWidth="1"/>
    <col min="13" max="13" width="21.28515625" style="199" customWidth="1"/>
    <col min="14" max="14" width="15.140625" style="199" customWidth="1"/>
    <col min="15" max="15" width="34.85546875" style="199" customWidth="1"/>
    <col min="16" max="16" width="11.42578125" style="199" customWidth="1"/>
    <col min="17" max="17" width="15.5703125" style="191" customWidth="1"/>
    <col min="18" max="18" width="14.42578125" style="191" customWidth="1"/>
    <col min="19" max="22" width="12.5703125" style="191" customWidth="1"/>
    <col min="23" max="23" width="26.85546875" style="191" customWidth="1"/>
    <col min="24" max="24" width="23.28515625" style="199" customWidth="1"/>
    <col min="25" max="25" width="23.42578125" style="199" customWidth="1"/>
    <col min="26" max="26" width="11.42578125" style="32" customWidth="1"/>
    <col min="27" max="27" width="14.42578125" style="199" customWidth="1"/>
    <col min="28" max="28" width="27" style="199" customWidth="1"/>
    <col min="29" max="30" width="7.85546875" style="191" customWidth="1"/>
    <col min="31" max="31" width="15.5703125" style="199" customWidth="1"/>
    <col min="32" max="32" width="15.7109375" style="199" customWidth="1"/>
    <col min="33" max="34" width="8.42578125" style="191" customWidth="1"/>
    <col min="35" max="16384" width="11.42578125" style="199"/>
  </cols>
  <sheetData>
    <row r="1" spans="1:34" x14ac:dyDescent="0.25">
      <c r="A1" s="273" t="s">
        <v>84</v>
      </c>
      <c r="B1" s="273"/>
      <c r="C1" s="274"/>
      <c r="D1" s="342" t="s">
        <v>46</v>
      </c>
      <c r="E1" s="342"/>
      <c r="G1" s="275" t="s">
        <v>6392</v>
      </c>
      <c r="H1" s="275"/>
      <c r="I1" s="276">
        <v>1160000</v>
      </c>
    </row>
    <row r="2" spans="1:34" ht="15" customHeight="1" x14ac:dyDescent="0.25">
      <c r="A2" s="278" t="s">
        <v>21</v>
      </c>
      <c r="B2" s="278"/>
      <c r="C2" s="279"/>
      <c r="D2" s="4" t="s">
        <v>24</v>
      </c>
      <c r="E2" s="280"/>
      <c r="F2" s="4"/>
      <c r="G2" s="343" t="s">
        <v>99</v>
      </c>
      <c r="H2" s="343"/>
      <c r="I2" s="281">
        <v>3000</v>
      </c>
      <c r="J2" s="282" t="s">
        <v>85</v>
      </c>
      <c r="K2" s="344" t="s">
        <v>87</v>
      </c>
      <c r="L2" s="344"/>
      <c r="M2" s="344"/>
      <c r="N2" s="344"/>
      <c r="O2" s="344"/>
      <c r="P2" s="344"/>
    </row>
    <row r="3" spans="1:34" ht="15.75" customHeight="1" x14ac:dyDescent="0.25">
      <c r="G3" s="345"/>
      <c r="H3" s="345"/>
      <c r="I3" s="281">
        <f>I2*I1</f>
        <v>3480000000</v>
      </c>
      <c r="J3" s="282" t="s">
        <v>93</v>
      </c>
      <c r="K3" s="344"/>
      <c r="L3" s="344"/>
      <c r="M3" s="344"/>
      <c r="N3" s="344"/>
      <c r="O3" s="344"/>
      <c r="P3" s="344"/>
      <c r="AF3" s="346" t="s">
        <v>80</v>
      </c>
      <c r="AG3" s="346"/>
      <c r="AH3" s="346"/>
    </row>
    <row r="4" spans="1:34" s="288" customFormat="1" ht="63" customHeight="1" x14ac:dyDescent="0.25">
      <c r="A4" s="283" t="s">
        <v>0</v>
      </c>
      <c r="B4" s="283" t="s">
        <v>1</v>
      </c>
      <c r="C4" s="283" t="s">
        <v>2</v>
      </c>
      <c r="D4" s="283" t="s">
        <v>3</v>
      </c>
      <c r="E4" s="283" t="s">
        <v>4</v>
      </c>
      <c r="F4" s="283" t="s">
        <v>5</v>
      </c>
      <c r="G4" s="283" t="s">
        <v>6</v>
      </c>
      <c r="H4" s="283" t="s">
        <v>7</v>
      </c>
      <c r="I4" s="284" t="s">
        <v>8</v>
      </c>
      <c r="J4" s="283" t="s">
        <v>102</v>
      </c>
      <c r="K4" s="285" t="s">
        <v>9</v>
      </c>
      <c r="L4" s="285" t="s">
        <v>10</v>
      </c>
      <c r="M4" s="284" t="s">
        <v>104</v>
      </c>
      <c r="N4" s="283" t="s">
        <v>11</v>
      </c>
      <c r="O4" s="283" t="s">
        <v>12</v>
      </c>
      <c r="P4" s="283" t="s">
        <v>13</v>
      </c>
      <c r="Q4" s="230" t="s">
        <v>14</v>
      </c>
      <c r="R4" s="230" t="s">
        <v>15</v>
      </c>
      <c r="S4" s="230" t="s">
        <v>103</v>
      </c>
      <c r="T4" s="283" t="s">
        <v>114</v>
      </c>
      <c r="U4" s="230" t="s">
        <v>112</v>
      </c>
      <c r="V4" s="230" t="s">
        <v>113</v>
      </c>
      <c r="W4" s="232" t="s">
        <v>115</v>
      </c>
      <c r="X4" s="286" t="s">
        <v>16</v>
      </c>
      <c r="Y4" s="287" t="s">
        <v>17</v>
      </c>
      <c r="Z4" s="33" t="s">
        <v>18</v>
      </c>
      <c r="AA4" s="283" t="s">
        <v>19</v>
      </c>
      <c r="AB4" s="283" t="s">
        <v>20</v>
      </c>
      <c r="AC4" s="283" t="s">
        <v>52</v>
      </c>
      <c r="AD4" s="283" t="s">
        <v>53</v>
      </c>
      <c r="AE4" s="230" t="s">
        <v>94</v>
      </c>
      <c r="AF4" s="283" t="s">
        <v>83</v>
      </c>
      <c r="AG4" s="283" t="s">
        <v>81</v>
      </c>
      <c r="AH4" s="283" t="s">
        <v>82</v>
      </c>
    </row>
    <row r="5" spans="1:34" s="297" customFormat="1" ht="15" customHeight="1" x14ac:dyDescent="0.25">
      <c r="A5" s="289">
        <v>891780111</v>
      </c>
      <c r="B5" s="289" t="s">
        <v>54</v>
      </c>
      <c r="C5" s="290" t="s">
        <v>56</v>
      </c>
      <c r="D5" s="289" t="s">
        <v>60</v>
      </c>
      <c r="E5" s="290" t="s">
        <v>6393</v>
      </c>
      <c r="F5" s="289" t="s">
        <v>61</v>
      </c>
      <c r="G5" s="85" t="s">
        <v>63</v>
      </c>
      <c r="H5" s="85" t="s">
        <v>73</v>
      </c>
      <c r="I5" s="237">
        <v>15500000</v>
      </c>
      <c r="J5" s="290"/>
      <c r="K5" s="291"/>
      <c r="L5" s="291"/>
      <c r="M5" s="292">
        <f t="shared" ref="M5:M68" si="0">I5+K5-L5</f>
        <v>15500000</v>
      </c>
      <c r="N5" s="85">
        <v>1045726836</v>
      </c>
      <c r="O5" s="85" t="s">
        <v>6394</v>
      </c>
      <c r="P5" s="85" t="s">
        <v>6395</v>
      </c>
      <c r="Q5" s="293">
        <v>44946</v>
      </c>
      <c r="R5" s="293">
        <v>44946</v>
      </c>
      <c r="S5" s="293">
        <v>45093</v>
      </c>
      <c r="T5" s="293" t="s">
        <v>192</v>
      </c>
      <c r="U5" s="293">
        <v>44978</v>
      </c>
      <c r="V5" s="293">
        <v>45067</v>
      </c>
      <c r="W5" s="294">
        <v>45184</v>
      </c>
      <c r="X5" s="237">
        <v>7543667</v>
      </c>
      <c r="Y5" s="295">
        <f t="shared" ref="Y5:Y68" si="1">M5-X5</f>
        <v>7956333</v>
      </c>
      <c r="Z5" s="296">
        <f t="shared" ref="Z5:Z68" si="2">+(X5/M5)</f>
        <v>0.4866881935483871</v>
      </c>
      <c r="AA5" s="85">
        <v>12621405</v>
      </c>
      <c r="AB5" s="85" t="s">
        <v>6396</v>
      </c>
      <c r="AC5" s="290" t="s">
        <v>196</v>
      </c>
      <c r="AD5" s="290" t="s">
        <v>196</v>
      </c>
      <c r="AE5" s="236"/>
      <c r="AF5" s="85" t="s">
        <v>6397</v>
      </c>
      <c r="AG5" s="290" t="s">
        <v>192</v>
      </c>
      <c r="AH5" s="290" t="s">
        <v>192</v>
      </c>
    </row>
    <row r="6" spans="1:34" s="297" customFormat="1" ht="15" customHeight="1" x14ac:dyDescent="0.25">
      <c r="A6" s="289">
        <v>891780111</v>
      </c>
      <c r="B6" s="289" t="s">
        <v>54</v>
      </c>
      <c r="C6" s="290" t="s">
        <v>56</v>
      </c>
      <c r="D6" s="289" t="s">
        <v>60</v>
      </c>
      <c r="E6" s="290" t="s">
        <v>6398</v>
      </c>
      <c r="F6" s="289" t="s">
        <v>61</v>
      </c>
      <c r="G6" s="85" t="s">
        <v>63</v>
      </c>
      <c r="H6" s="85" t="s">
        <v>73</v>
      </c>
      <c r="I6" s="237">
        <v>15603000</v>
      </c>
      <c r="J6" s="290">
        <v>1</v>
      </c>
      <c r="K6" s="291">
        <v>1447000</v>
      </c>
      <c r="L6" s="291"/>
      <c r="M6" s="292">
        <f t="shared" si="0"/>
        <v>17050000</v>
      </c>
      <c r="N6" s="85">
        <v>1082911157</v>
      </c>
      <c r="O6" s="85" t="s">
        <v>6399</v>
      </c>
      <c r="P6" s="85" t="s">
        <v>6400</v>
      </c>
      <c r="Q6" s="293">
        <v>44946</v>
      </c>
      <c r="R6" s="293">
        <v>44946</v>
      </c>
      <c r="S6" s="293">
        <v>45093</v>
      </c>
      <c r="T6" s="293"/>
      <c r="U6" s="293"/>
      <c r="V6" s="293"/>
      <c r="W6" s="294">
        <v>45107</v>
      </c>
      <c r="X6" s="237">
        <v>17050000</v>
      </c>
      <c r="Y6" s="295">
        <f t="shared" si="1"/>
        <v>0</v>
      </c>
      <c r="Z6" s="296">
        <f t="shared" si="2"/>
        <v>1</v>
      </c>
      <c r="AA6" s="85">
        <v>12621405</v>
      </c>
      <c r="AB6" s="85" t="s">
        <v>6396</v>
      </c>
      <c r="AC6" s="290" t="s">
        <v>196</v>
      </c>
      <c r="AD6" s="290" t="s">
        <v>196</v>
      </c>
      <c r="AE6" s="236"/>
      <c r="AF6" s="85" t="s">
        <v>6401</v>
      </c>
      <c r="AG6" s="290" t="s">
        <v>192</v>
      </c>
      <c r="AH6" s="290" t="s">
        <v>192</v>
      </c>
    </row>
    <row r="7" spans="1:34" s="297" customFormat="1" ht="15" customHeight="1" x14ac:dyDescent="0.25">
      <c r="A7" s="289">
        <v>891780111</v>
      </c>
      <c r="B7" s="289" t="s">
        <v>54</v>
      </c>
      <c r="C7" s="290" t="s">
        <v>56</v>
      </c>
      <c r="D7" s="289" t="s">
        <v>60</v>
      </c>
      <c r="E7" s="290" t="s">
        <v>6402</v>
      </c>
      <c r="F7" s="289" t="s">
        <v>61</v>
      </c>
      <c r="G7" s="85" t="s">
        <v>63</v>
      </c>
      <c r="H7" s="85" t="s">
        <v>73</v>
      </c>
      <c r="I7" s="237">
        <v>17113000</v>
      </c>
      <c r="J7" s="290">
        <v>2</v>
      </c>
      <c r="K7" s="291">
        <v>1587000</v>
      </c>
      <c r="L7" s="291"/>
      <c r="M7" s="292">
        <f t="shared" si="0"/>
        <v>18700000</v>
      </c>
      <c r="N7" s="85">
        <v>1015460393</v>
      </c>
      <c r="O7" s="85" t="s">
        <v>6403</v>
      </c>
      <c r="P7" s="85" t="s">
        <v>6404</v>
      </c>
      <c r="Q7" s="293">
        <v>44946</v>
      </c>
      <c r="R7" s="293">
        <v>44946</v>
      </c>
      <c r="S7" s="293">
        <v>45093</v>
      </c>
      <c r="T7" s="293"/>
      <c r="U7" s="293"/>
      <c r="V7" s="293"/>
      <c r="W7" s="294">
        <v>45107</v>
      </c>
      <c r="X7" s="237">
        <v>18700000</v>
      </c>
      <c r="Y7" s="295">
        <f t="shared" si="1"/>
        <v>0</v>
      </c>
      <c r="Z7" s="296">
        <f t="shared" si="2"/>
        <v>1</v>
      </c>
      <c r="AA7" s="85">
        <v>12621405</v>
      </c>
      <c r="AB7" s="85" t="s">
        <v>6396</v>
      </c>
      <c r="AC7" s="290" t="s">
        <v>196</v>
      </c>
      <c r="AD7" s="290" t="s">
        <v>196</v>
      </c>
      <c r="AE7" s="236"/>
      <c r="AF7" s="85" t="s">
        <v>6405</v>
      </c>
      <c r="AG7" s="290" t="s">
        <v>192</v>
      </c>
      <c r="AH7" s="290" t="s">
        <v>192</v>
      </c>
    </row>
    <row r="8" spans="1:34" s="297" customFormat="1" ht="15" customHeight="1" x14ac:dyDescent="0.25">
      <c r="A8" s="289">
        <v>891780111</v>
      </c>
      <c r="B8" s="289" t="s">
        <v>54</v>
      </c>
      <c r="C8" s="290" t="s">
        <v>56</v>
      </c>
      <c r="D8" s="289" t="s">
        <v>60</v>
      </c>
      <c r="E8" s="290" t="s">
        <v>6406</v>
      </c>
      <c r="F8" s="289" t="s">
        <v>61</v>
      </c>
      <c r="G8" s="85" t="s">
        <v>63</v>
      </c>
      <c r="H8" s="85" t="s">
        <v>73</v>
      </c>
      <c r="I8" s="237">
        <v>25000000</v>
      </c>
      <c r="J8" s="290">
        <v>1</v>
      </c>
      <c r="K8" s="291">
        <v>2333000</v>
      </c>
      <c r="L8" s="291"/>
      <c r="M8" s="292">
        <f t="shared" si="0"/>
        <v>27333000</v>
      </c>
      <c r="N8" s="85">
        <v>1082841776</v>
      </c>
      <c r="O8" s="85" t="s">
        <v>6407</v>
      </c>
      <c r="P8" s="85" t="s">
        <v>6408</v>
      </c>
      <c r="Q8" s="293">
        <v>44946</v>
      </c>
      <c r="R8" s="293">
        <v>44946</v>
      </c>
      <c r="S8" s="293">
        <v>45093</v>
      </c>
      <c r="T8" s="293"/>
      <c r="U8" s="293"/>
      <c r="V8" s="293"/>
      <c r="W8" s="294">
        <v>45107</v>
      </c>
      <c r="X8" s="237">
        <v>27333000</v>
      </c>
      <c r="Y8" s="295">
        <f t="shared" si="1"/>
        <v>0</v>
      </c>
      <c r="Z8" s="296">
        <f t="shared" si="2"/>
        <v>1</v>
      </c>
      <c r="AA8" s="85">
        <v>12621405</v>
      </c>
      <c r="AB8" s="85" t="s">
        <v>6396</v>
      </c>
      <c r="AC8" s="290" t="s">
        <v>196</v>
      </c>
      <c r="AD8" s="290" t="s">
        <v>196</v>
      </c>
      <c r="AE8" s="236"/>
      <c r="AF8" s="85" t="s">
        <v>6409</v>
      </c>
      <c r="AG8" s="290" t="s">
        <v>192</v>
      </c>
      <c r="AH8" s="290" t="s">
        <v>192</v>
      </c>
    </row>
    <row r="9" spans="1:34" s="297" customFormat="1" ht="15" customHeight="1" x14ac:dyDescent="0.25">
      <c r="A9" s="289">
        <v>891780111</v>
      </c>
      <c r="B9" s="289" t="s">
        <v>54</v>
      </c>
      <c r="C9" s="290" t="s">
        <v>56</v>
      </c>
      <c r="D9" s="289" t="s">
        <v>60</v>
      </c>
      <c r="E9" s="290" t="s">
        <v>6410</v>
      </c>
      <c r="F9" s="289" t="s">
        <v>61</v>
      </c>
      <c r="G9" s="85" t="s">
        <v>63</v>
      </c>
      <c r="H9" s="85" t="s">
        <v>73</v>
      </c>
      <c r="I9" s="237">
        <v>30703000</v>
      </c>
      <c r="J9" s="290">
        <v>1</v>
      </c>
      <c r="K9" s="291"/>
      <c r="L9" s="291"/>
      <c r="M9" s="292">
        <f t="shared" si="0"/>
        <v>30703000</v>
      </c>
      <c r="N9" s="85">
        <v>13542773</v>
      </c>
      <c r="O9" s="85" t="s">
        <v>6411</v>
      </c>
      <c r="P9" s="85" t="s">
        <v>6412</v>
      </c>
      <c r="Q9" s="293">
        <v>44946</v>
      </c>
      <c r="R9" s="293">
        <v>44946</v>
      </c>
      <c r="S9" s="293">
        <v>45093</v>
      </c>
      <c r="T9" s="293"/>
      <c r="U9" s="293"/>
      <c r="V9" s="293"/>
      <c r="W9" s="294">
        <v>45099</v>
      </c>
      <c r="X9" s="237">
        <v>27450000</v>
      </c>
      <c r="Y9" s="295">
        <f t="shared" si="1"/>
        <v>3253000</v>
      </c>
      <c r="Z9" s="296">
        <f t="shared" si="2"/>
        <v>0.89404944142266229</v>
      </c>
      <c r="AA9" s="85">
        <v>85455983</v>
      </c>
      <c r="AB9" s="85" t="s">
        <v>6413</v>
      </c>
      <c r="AC9" s="290" t="s">
        <v>196</v>
      </c>
      <c r="AD9" s="290" t="s">
        <v>196</v>
      </c>
      <c r="AE9" s="236"/>
      <c r="AF9" s="85" t="s">
        <v>6414</v>
      </c>
      <c r="AG9" s="290" t="s">
        <v>192</v>
      </c>
      <c r="AH9" s="290" t="s">
        <v>192</v>
      </c>
    </row>
    <row r="10" spans="1:34" s="297" customFormat="1" ht="15" customHeight="1" x14ac:dyDescent="0.25">
      <c r="A10" s="289">
        <v>891780111</v>
      </c>
      <c r="B10" s="289" t="s">
        <v>54</v>
      </c>
      <c r="C10" s="290" t="s">
        <v>56</v>
      </c>
      <c r="D10" s="289" t="s">
        <v>60</v>
      </c>
      <c r="E10" s="290" t="s">
        <v>6415</v>
      </c>
      <c r="F10" s="289" t="s">
        <v>61</v>
      </c>
      <c r="G10" s="85" t="s">
        <v>63</v>
      </c>
      <c r="H10" s="85" t="s">
        <v>73</v>
      </c>
      <c r="I10" s="237">
        <v>18083000</v>
      </c>
      <c r="J10" s="290">
        <v>1</v>
      </c>
      <c r="K10" s="291">
        <v>1634000</v>
      </c>
      <c r="L10" s="291"/>
      <c r="M10" s="292">
        <f t="shared" si="0"/>
        <v>19717000</v>
      </c>
      <c r="N10" s="85">
        <v>1098731749</v>
      </c>
      <c r="O10" s="85" t="s">
        <v>6416</v>
      </c>
      <c r="P10" s="85" t="s">
        <v>6417</v>
      </c>
      <c r="Q10" s="293">
        <v>44946</v>
      </c>
      <c r="R10" s="293">
        <v>44946</v>
      </c>
      <c r="S10" s="293">
        <v>45093</v>
      </c>
      <c r="T10" s="293"/>
      <c r="U10" s="293"/>
      <c r="V10" s="293"/>
      <c r="W10" s="294">
        <v>45107</v>
      </c>
      <c r="X10" s="237">
        <v>19717000</v>
      </c>
      <c r="Y10" s="295">
        <f t="shared" si="1"/>
        <v>0</v>
      </c>
      <c r="Z10" s="296">
        <f t="shared" si="2"/>
        <v>1</v>
      </c>
      <c r="AA10" s="85">
        <v>93400727</v>
      </c>
      <c r="AB10" s="85" t="s">
        <v>6418</v>
      </c>
      <c r="AC10" s="290" t="s">
        <v>196</v>
      </c>
      <c r="AD10" s="290" t="s">
        <v>196</v>
      </c>
      <c r="AE10" s="236"/>
      <c r="AF10" s="85" t="s">
        <v>6419</v>
      </c>
      <c r="AG10" s="290" t="s">
        <v>192</v>
      </c>
      <c r="AH10" s="290" t="s">
        <v>192</v>
      </c>
    </row>
    <row r="11" spans="1:34" s="297" customFormat="1" ht="15" customHeight="1" x14ac:dyDescent="0.25">
      <c r="A11" s="289">
        <v>891780111</v>
      </c>
      <c r="B11" s="289" t="s">
        <v>54</v>
      </c>
      <c r="C11" s="290" t="s">
        <v>56</v>
      </c>
      <c r="D11" s="289" t="s">
        <v>60</v>
      </c>
      <c r="E11" s="290" t="s">
        <v>6420</v>
      </c>
      <c r="F11" s="289" t="s">
        <v>61</v>
      </c>
      <c r="G11" s="85" t="s">
        <v>63</v>
      </c>
      <c r="H11" s="85" t="s">
        <v>73</v>
      </c>
      <c r="I11" s="237">
        <v>18083000</v>
      </c>
      <c r="J11" s="290">
        <v>1</v>
      </c>
      <c r="K11" s="291">
        <v>1634000</v>
      </c>
      <c r="L11" s="291"/>
      <c r="M11" s="292">
        <f t="shared" si="0"/>
        <v>19717000</v>
      </c>
      <c r="N11" s="85">
        <v>1083019267</v>
      </c>
      <c r="O11" s="85" t="s">
        <v>6421</v>
      </c>
      <c r="P11" s="85" t="s">
        <v>6422</v>
      </c>
      <c r="Q11" s="293">
        <v>44946</v>
      </c>
      <c r="R11" s="293">
        <v>44946</v>
      </c>
      <c r="S11" s="293">
        <v>45093</v>
      </c>
      <c r="T11" s="293"/>
      <c r="U11" s="293"/>
      <c r="V11" s="293"/>
      <c r="W11" s="294">
        <v>45107</v>
      </c>
      <c r="X11" s="237">
        <v>19717000</v>
      </c>
      <c r="Y11" s="295">
        <f t="shared" si="1"/>
        <v>0</v>
      </c>
      <c r="Z11" s="296">
        <f t="shared" si="2"/>
        <v>1</v>
      </c>
      <c r="AA11" s="85">
        <v>12621405</v>
      </c>
      <c r="AB11" s="85" t="s">
        <v>6396</v>
      </c>
      <c r="AC11" s="290" t="s">
        <v>196</v>
      </c>
      <c r="AD11" s="290" t="s">
        <v>196</v>
      </c>
      <c r="AE11" s="236"/>
      <c r="AF11" s="85" t="s">
        <v>6423</v>
      </c>
      <c r="AG11" s="290" t="s">
        <v>192</v>
      </c>
      <c r="AH11" s="290" t="s">
        <v>192</v>
      </c>
    </row>
    <row r="12" spans="1:34" s="297" customFormat="1" ht="15" customHeight="1" x14ac:dyDescent="0.25">
      <c r="A12" s="289">
        <v>891780111</v>
      </c>
      <c r="B12" s="289" t="s">
        <v>54</v>
      </c>
      <c r="C12" s="290" t="s">
        <v>56</v>
      </c>
      <c r="D12" s="289" t="s">
        <v>60</v>
      </c>
      <c r="E12" s="290" t="s">
        <v>6424</v>
      </c>
      <c r="F12" s="289" t="s">
        <v>61</v>
      </c>
      <c r="G12" s="85" t="s">
        <v>63</v>
      </c>
      <c r="H12" s="85" t="s">
        <v>73</v>
      </c>
      <c r="I12" s="237">
        <v>13000000</v>
      </c>
      <c r="J12" s="290">
        <v>1</v>
      </c>
      <c r="K12" s="291">
        <v>1167000</v>
      </c>
      <c r="L12" s="291"/>
      <c r="M12" s="292">
        <f t="shared" si="0"/>
        <v>14167000</v>
      </c>
      <c r="N12" s="85">
        <v>57428933</v>
      </c>
      <c r="O12" s="85" t="s">
        <v>6425</v>
      </c>
      <c r="P12" s="85" t="s">
        <v>6426</v>
      </c>
      <c r="Q12" s="293">
        <v>44946</v>
      </c>
      <c r="R12" s="293">
        <v>44946</v>
      </c>
      <c r="S12" s="293">
        <v>45093</v>
      </c>
      <c r="T12" s="293"/>
      <c r="U12" s="293"/>
      <c r="V12" s="293"/>
      <c r="W12" s="294">
        <v>45107</v>
      </c>
      <c r="X12" s="237">
        <v>14167000</v>
      </c>
      <c r="Y12" s="295">
        <f t="shared" si="1"/>
        <v>0</v>
      </c>
      <c r="Z12" s="296">
        <f t="shared" si="2"/>
        <v>1</v>
      </c>
      <c r="AA12" s="85">
        <v>57435262</v>
      </c>
      <c r="AB12" s="85" t="s">
        <v>6427</v>
      </c>
      <c r="AC12" s="290" t="s">
        <v>196</v>
      </c>
      <c r="AD12" s="290" t="s">
        <v>196</v>
      </c>
      <c r="AE12" s="236"/>
      <c r="AF12" s="85" t="s">
        <v>6428</v>
      </c>
      <c r="AG12" s="290" t="s">
        <v>192</v>
      </c>
      <c r="AH12" s="290" t="s">
        <v>192</v>
      </c>
    </row>
    <row r="13" spans="1:34" s="297" customFormat="1" ht="15" customHeight="1" x14ac:dyDescent="0.25">
      <c r="A13" s="289">
        <v>891780111</v>
      </c>
      <c r="B13" s="289" t="s">
        <v>54</v>
      </c>
      <c r="C13" s="290" t="s">
        <v>56</v>
      </c>
      <c r="D13" s="289" t="s">
        <v>60</v>
      </c>
      <c r="E13" s="290" t="s">
        <v>6429</v>
      </c>
      <c r="F13" s="289" t="s">
        <v>61</v>
      </c>
      <c r="G13" s="85" t="s">
        <v>63</v>
      </c>
      <c r="H13" s="85" t="s">
        <v>73</v>
      </c>
      <c r="I13" s="237">
        <v>13833000</v>
      </c>
      <c r="J13" s="290">
        <v>1</v>
      </c>
      <c r="K13" s="291">
        <v>1167000</v>
      </c>
      <c r="L13" s="291"/>
      <c r="M13" s="292">
        <f t="shared" si="0"/>
        <v>15000000</v>
      </c>
      <c r="N13" s="85">
        <v>1082941397</v>
      </c>
      <c r="O13" s="85" t="s">
        <v>6430</v>
      </c>
      <c r="P13" s="85" t="s">
        <v>6431</v>
      </c>
      <c r="Q13" s="293">
        <v>44946</v>
      </c>
      <c r="R13" s="293">
        <v>44946</v>
      </c>
      <c r="S13" s="293">
        <v>45093</v>
      </c>
      <c r="T13" s="293"/>
      <c r="U13" s="293"/>
      <c r="V13" s="293"/>
      <c r="W13" s="294">
        <v>45107</v>
      </c>
      <c r="X13" s="237">
        <v>15000000</v>
      </c>
      <c r="Y13" s="295">
        <f t="shared" si="1"/>
        <v>0</v>
      </c>
      <c r="Z13" s="296">
        <f t="shared" si="2"/>
        <v>1</v>
      </c>
      <c r="AA13" s="85">
        <v>57435262</v>
      </c>
      <c r="AB13" s="85" t="s">
        <v>6427</v>
      </c>
      <c r="AC13" s="290" t="s">
        <v>196</v>
      </c>
      <c r="AD13" s="290" t="s">
        <v>196</v>
      </c>
      <c r="AE13" s="236"/>
      <c r="AF13" s="85" t="s">
        <v>6432</v>
      </c>
      <c r="AG13" s="290" t="s">
        <v>192</v>
      </c>
      <c r="AH13" s="290" t="s">
        <v>192</v>
      </c>
    </row>
    <row r="14" spans="1:34" s="297" customFormat="1" ht="15" customHeight="1" x14ac:dyDescent="0.25">
      <c r="A14" s="289">
        <v>891780111</v>
      </c>
      <c r="B14" s="289" t="s">
        <v>54</v>
      </c>
      <c r="C14" s="290" t="s">
        <v>56</v>
      </c>
      <c r="D14" s="289" t="s">
        <v>60</v>
      </c>
      <c r="E14" s="290" t="s">
        <v>6433</v>
      </c>
      <c r="F14" s="289" t="s">
        <v>61</v>
      </c>
      <c r="G14" s="85" t="s">
        <v>63</v>
      </c>
      <c r="H14" s="85" t="s">
        <v>73</v>
      </c>
      <c r="I14" s="237">
        <v>35737000</v>
      </c>
      <c r="J14" s="290">
        <v>1</v>
      </c>
      <c r="K14" s="291">
        <v>3313000</v>
      </c>
      <c r="L14" s="291"/>
      <c r="M14" s="292">
        <f t="shared" si="0"/>
        <v>39050000</v>
      </c>
      <c r="N14" s="85">
        <v>85468614</v>
      </c>
      <c r="O14" s="85" t="s">
        <v>6434</v>
      </c>
      <c r="P14" s="85" t="s">
        <v>6435</v>
      </c>
      <c r="Q14" s="293">
        <v>44946</v>
      </c>
      <c r="R14" s="293">
        <v>44946</v>
      </c>
      <c r="S14" s="293">
        <v>45093</v>
      </c>
      <c r="T14" s="293"/>
      <c r="U14" s="293"/>
      <c r="V14" s="293"/>
      <c r="W14" s="294">
        <v>45107</v>
      </c>
      <c r="X14" s="237">
        <v>39050000</v>
      </c>
      <c r="Y14" s="295">
        <f t="shared" si="1"/>
        <v>0</v>
      </c>
      <c r="Z14" s="296">
        <f t="shared" si="2"/>
        <v>1</v>
      </c>
      <c r="AA14" s="85">
        <v>85455983</v>
      </c>
      <c r="AB14" s="85" t="s">
        <v>6413</v>
      </c>
      <c r="AC14" s="290" t="s">
        <v>196</v>
      </c>
      <c r="AD14" s="290" t="s">
        <v>196</v>
      </c>
      <c r="AE14" s="236"/>
      <c r="AF14" s="85" t="s">
        <v>6436</v>
      </c>
      <c r="AG14" s="290" t="s">
        <v>192</v>
      </c>
      <c r="AH14" s="290" t="s">
        <v>192</v>
      </c>
    </row>
    <row r="15" spans="1:34" s="297" customFormat="1" ht="15" customHeight="1" x14ac:dyDescent="0.25">
      <c r="A15" s="289">
        <v>891780111</v>
      </c>
      <c r="B15" s="289" t="s">
        <v>54</v>
      </c>
      <c r="C15" s="290" t="s">
        <v>56</v>
      </c>
      <c r="D15" s="289" t="s">
        <v>60</v>
      </c>
      <c r="E15" s="290" t="s">
        <v>6437</v>
      </c>
      <c r="F15" s="289" t="s">
        <v>61</v>
      </c>
      <c r="G15" s="85" t="s">
        <v>63</v>
      </c>
      <c r="H15" s="85" t="s">
        <v>73</v>
      </c>
      <c r="I15" s="237">
        <v>2700000</v>
      </c>
      <c r="J15" s="290"/>
      <c r="K15" s="291"/>
      <c r="L15" s="291"/>
      <c r="M15" s="292">
        <f t="shared" si="0"/>
        <v>2700000</v>
      </c>
      <c r="N15" s="85">
        <v>7601477</v>
      </c>
      <c r="O15" s="85" t="s">
        <v>6438</v>
      </c>
      <c r="P15" s="85" t="s">
        <v>6439</v>
      </c>
      <c r="Q15" s="293">
        <v>44946</v>
      </c>
      <c r="R15" s="293">
        <v>44946</v>
      </c>
      <c r="S15" s="293">
        <v>44952</v>
      </c>
      <c r="T15" s="293"/>
      <c r="U15" s="293"/>
      <c r="V15" s="293"/>
      <c r="W15" s="294"/>
      <c r="X15" s="237">
        <v>2700000</v>
      </c>
      <c r="Y15" s="295">
        <f t="shared" si="1"/>
        <v>0</v>
      </c>
      <c r="Z15" s="296">
        <f t="shared" si="2"/>
        <v>1</v>
      </c>
      <c r="AA15" s="85">
        <v>41947381</v>
      </c>
      <c r="AB15" s="85" t="s">
        <v>6440</v>
      </c>
      <c r="AC15" s="290" t="s">
        <v>196</v>
      </c>
      <c r="AD15" s="290" t="s">
        <v>196</v>
      </c>
      <c r="AE15" s="236"/>
      <c r="AF15" s="85" t="s">
        <v>6441</v>
      </c>
      <c r="AG15" s="290" t="s">
        <v>192</v>
      </c>
      <c r="AH15" s="290" t="s">
        <v>192</v>
      </c>
    </row>
    <row r="16" spans="1:34" s="297" customFormat="1" ht="15" customHeight="1" x14ac:dyDescent="0.25">
      <c r="A16" s="289">
        <v>891780111</v>
      </c>
      <c r="B16" s="289" t="s">
        <v>54</v>
      </c>
      <c r="C16" s="290" t="s">
        <v>56</v>
      </c>
      <c r="D16" s="289" t="s">
        <v>60</v>
      </c>
      <c r="E16" s="290" t="s">
        <v>6442</v>
      </c>
      <c r="F16" s="289" t="s">
        <v>61</v>
      </c>
      <c r="G16" s="85" t="s">
        <v>63</v>
      </c>
      <c r="H16" s="85" t="s">
        <v>73</v>
      </c>
      <c r="I16" s="237">
        <v>2700000</v>
      </c>
      <c r="J16" s="290"/>
      <c r="K16" s="291"/>
      <c r="L16" s="291"/>
      <c r="M16" s="292">
        <f t="shared" si="0"/>
        <v>2700000</v>
      </c>
      <c r="N16" s="85">
        <v>40935960</v>
      </c>
      <c r="O16" s="85" t="s">
        <v>1265</v>
      </c>
      <c r="P16" s="85" t="s">
        <v>6443</v>
      </c>
      <c r="Q16" s="293">
        <v>44946</v>
      </c>
      <c r="R16" s="293">
        <v>44946</v>
      </c>
      <c r="S16" s="293">
        <v>44952</v>
      </c>
      <c r="T16" s="293"/>
      <c r="U16" s="293"/>
      <c r="V16" s="293"/>
      <c r="W16" s="294"/>
      <c r="X16" s="237">
        <v>2700000</v>
      </c>
      <c r="Y16" s="295">
        <f t="shared" si="1"/>
        <v>0</v>
      </c>
      <c r="Z16" s="296">
        <f t="shared" si="2"/>
        <v>1</v>
      </c>
      <c r="AA16" s="85">
        <v>41947381</v>
      </c>
      <c r="AB16" s="85" t="s">
        <v>6440</v>
      </c>
      <c r="AC16" s="290" t="s">
        <v>196</v>
      </c>
      <c r="AD16" s="290" t="s">
        <v>196</v>
      </c>
      <c r="AE16" s="236"/>
      <c r="AF16" s="85" t="s">
        <v>6444</v>
      </c>
      <c r="AG16" s="290" t="s">
        <v>192</v>
      </c>
      <c r="AH16" s="290" t="s">
        <v>192</v>
      </c>
    </row>
    <row r="17" spans="1:34" s="297" customFormat="1" ht="15" customHeight="1" x14ac:dyDescent="0.25">
      <c r="A17" s="289">
        <v>891780111</v>
      </c>
      <c r="B17" s="289" t="s">
        <v>54</v>
      </c>
      <c r="C17" s="290" t="s">
        <v>56</v>
      </c>
      <c r="D17" s="289" t="s">
        <v>60</v>
      </c>
      <c r="E17" s="290" t="s">
        <v>6445</v>
      </c>
      <c r="F17" s="289" t="s">
        <v>61</v>
      </c>
      <c r="G17" s="85" t="s">
        <v>63</v>
      </c>
      <c r="H17" s="85" t="s">
        <v>73</v>
      </c>
      <c r="I17" s="237">
        <v>2700000</v>
      </c>
      <c r="J17" s="290"/>
      <c r="K17" s="291"/>
      <c r="L17" s="291"/>
      <c r="M17" s="292">
        <f t="shared" si="0"/>
        <v>2700000</v>
      </c>
      <c r="N17" s="85">
        <v>1082905987</v>
      </c>
      <c r="O17" s="85" t="s">
        <v>6446</v>
      </c>
      <c r="P17" s="85" t="s">
        <v>6447</v>
      </c>
      <c r="Q17" s="293">
        <v>44946</v>
      </c>
      <c r="R17" s="293">
        <v>44946</v>
      </c>
      <c r="S17" s="293">
        <v>44952</v>
      </c>
      <c r="T17" s="293"/>
      <c r="U17" s="293"/>
      <c r="V17" s="293"/>
      <c r="W17" s="294"/>
      <c r="X17" s="237">
        <v>2700000</v>
      </c>
      <c r="Y17" s="295">
        <f t="shared" si="1"/>
        <v>0</v>
      </c>
      <c r="Z17" s="296">
        <f t="shared" si="2"/>
        <v>1</v>
      </c>
      <c r="AA17" s="85">
        <v>41947381</v>
      </c>
      <c r="AB17" s="85" t="s">
        <v>6440</v>
      </c>
      <c r="AC17" s="290" t="s">
        <v>196</v>
      </c>
      <c r="AD17" s="290" t="s">
        <v>196</v>
      </c>
      <c r="AE17" s="236"/>
      <c r="AF17" s="85" t="s">
        <v>6448</v>
      </c>
      <c r="AG17" s="290" t="s">
        <v>192</v>
      </c>
      <c r="AH17" s="290" t="s">
        <v>192</v>
      </c>
    </row>
    <row r="18" spans="1:34" s="297" customFormat="1" ht="15" customHeight="1" x14ac:dyDescent="0.25">
      <c r="A18" s="289">
        <v>891780111</v>
      </c>
      <c r="B18" s="289" t="s">
        <v>54</v>
      </c>
      <c r="C18" s="290" t="s">
        <v>56</v>
      </c>
      <c r="D18" s="289" t="s">
        <v>60</v>
      </c>
      <c r="E18" s="290" t="s">
        <v>6449</v>
      </c>
      <c r="F18" s="289" t="s">
        <v>61</v>
      </c>
      <c r="G18" s="85" t="s">
        <v>63</v>
      </c>
      <c r="H18" s="85" t="s">
        <v>73</v>
      </c>
      <c r="I18" s="237">
        <v>2700000</v>
      </c>
      <c r="J18" s="290"/>
      <c r="K18" s="291"/>
      <c r="L18" s="291"/>
      <c r="M18" s="292">
        <f t="shared" si="0"/>
        <v>2700000</v>
      </c>
      <c r="N18" s="85">
        <v>1082912086</v>
      </c>
      <c r="O18" s="85" t="s">
        <v>6450</v>
      </c>
      <c r="P18" s="85" t="s">
        <v>6447</v>
      </c>
      <c r="Q18" s="293">
        <v>44946</v>
      </c>
      <c r="R18" s="293">
        <v>44946</v>
      </c>
      <c r="S18" s="293">
        <v>44952</v>
      </c>
      <c r="T18" s="293"/>
      <c r="U18" s="293"/>
      <c r="V18" s="293"/>
      <c r="W18" s="294"/>
      <c r="X18" s="237">
        <v>2700000</v>
      </c>
      <c r="Y18" s="295">
        <f t="shared" si="1"/>
        <v>0</v>
      </c>
      <c r="Z18" s="296">
        <f t="shared" si="2"/>
        <v>1</v>
      </c>
      <c r="AA18" s="85">
        <v>41947381</v>
      </c>
      <c r="AB18" s="85" t="s">
        <v>6440</v>
      </c>
      <c r="AC18" s="290" t="s">
        <v>196</v>
      </c>
      <c r="AD18" s="290" t="s">
        <v>196</v>
      </c>
      <c r="AE18" s="236"/>
      <c r="AF18" s="85" t="s">
        <v>6451</v>
      </c>
      <c r="AG18" s="290" t="s">
        <v>192</v>
      </c>
      <c r="AH18" s="290" t="s">
        <v>192</v>
      </c>
    </row>
    <row r="19" spans="1:34" s="297" customFormat="1" ht="15" customHeight="1" x14ac:dyDescent="0.25">
      <c r="A19" s="289">
        <v>891780111</v>
      </c>
      <c r="B19" s="289" t="s">
        <v>54</v>
      </c>
      <c r="C19" s="290" t="s">
        <v>56</v>
      </c>
      <c r="D19" s="289" t="s">
        <v>60</v>
      </c>
      <c r="E19" s="290" t="s">
        <v>6452</v>
      </c>
      <c r="F19" s="289" t="s">
        <v>61</v>
      </c>
      <c r="G19" s="85" t="s">
        <v>63</v>
      </c>
      <c r="H19" s="85" t="s">
        <v>73</v>
      </c>
      <c r="I19" s="237">
        <v>2700000</v>
      </c>
      <c r="J19" s="290"/>
      <c r="K19" s="291"/>
      <c r="L19" s="291"/>
      <c r="M19" s="292">
        <f t="shared" si="0"/>
        <v>2700000</v>
      </c>
      <c r="N19" s="85">
        <v>63549864</v>
      </c>
      <c r="O19" s="85" t="s">
        <v>6453</v>
      </c>
      <c r="P19" s="85" t="s">
        <v>6454</v>
      </c>
      <c r="Q19" s="293">
        <v>44946</v>
      </c>
      <c r="R19" s="293">
        <v>44946</v>
      </c>
      <c r="S19" s="293">
        <v>44952</v>
      </c>
      <c r="T19" s="293"/>
      <c r="U19" s="293"/>
      <c r="V19" s="293"/>
      <c r="W19" s="294"/>
      <c r="X19" s="237">
        <v>2700000</v>
      </c>
      <c r="Y19" s="295">
        <f t="shared" si="1"/>
        <v>0</v>
      </c>
      <c r="Z19" s="296">
        <f t="shared" si="2"/>
        <v>1</v>
      </c>
      <c r="AA19" s="85">
        <v>41947381</v>
      </c>
      <c r="AB19" s="85" t="s">
        <v>6440</v>
      </c>
      <c r="AC19" s="290" t="s">
        <v>196</v>
      </c>
      <c r="AD19" s="290" t="s">
        <v>196</v>
      </c>
      <c r="AE19" s="236"/>
      <c r="AF19" s="85" t="s">
        <v>6455</v>
      </c>
      <c r="AG19" s="290" t="s">
        <v>192</v>
      </c>
      <c r="AH19" s="290" t="s">
        <v>192</v>
      </c>
    </row>
    <row r="20" spans="1:34" s="297" customFormat="1" ht="15" customHeight="1" x14ac:dyDescent="0.25">
      <c r="A20" s="289">
        <v>891780111</v>
      </c>
      <c r="B20" s="289" t="s">
        <v>54</v>
      </c>
      <c r="C20" s="290" t="s">
        <v>56</v>
      </c>
      <c r="D20" s="289" t="s">
        <v>60</v>
      </c>
      <c r="E20" s="290" t="s">
        <v>6456</v>
      </c>
      <c r="F20" s="289" t="s">
        <v>61</v>
      </c>
      <c r="G20" s="85" t="s">
        <v>63</v>
      </c>
      <c r="H20" s="85" t="s">
        <v>73</v>
      </c>
      <c r="I20" s="237">
        <v>2700000</v>
      </c>
      <c r="J20" s="290"/>
      <c r="K20" s="291"/>
      <c r="L20" s="291"/>
      <c r="M20" s="292">
        <f t="shared" si="0"/>
        <v>2700000</v>
      </c>
      <c r="N20" s="85">
        <v>1082926063</v>
      </c>
      <c r="O20" s="85" t="s">
        <v>6457</v>
      </c>
      <c r="P20" s="85" t="s">
        <v>6447</v>
      </c>
      <c r="Q20" s="293">
        <v>44946</v>
      </c>
      <c r="R20" s="293">
        <v>44946</v>
      </c>
      <c r="S20" s="293">
        <v>44952</v>
      </c>
      <c r="T20" s="293"/>
      <c r="U20" s="293"/>
      <c r="V20" s="293"/>
      <c r="W20" s="294"/>
      <c r="X20" s="237">
        <v>2700000</v>
      </c>
      <c r="Y20" s="295">
        <f t="shared" si="1"/>
        <v>0</v>
      </c>
      <c r="Z20" s="296">
        <f t="shared" si="2"/>
        <v>1</v>
      </c>
      <c r="AA20" s="85">
        <v>41947381</v>
      </c>
      <c r="AB20" s="85" t="s">
        <v>6440</v>
      </c>
      <c r="AC20" s="290" t="s">
        <v>196</v>
      </c>
      <c r="AD20" s="290" t="s">
        <v>196</v>
      </c>
      <c r="AE20" s="236"/>
      <c r="AF20" s="85" t="s">
        <v>6458</v>
      </c>
      <c r="AG20" s="290" t="s">
        <v>192</v>
      </c>
      <c r="AH20" s="290" t="s">
        <v>192</v>
      </c>
    </row>
    <row r="21" spans="1:34" s="297" customFormat="1" ht="15" customHeight="1" x14ac:dyDescent="0.25">
      <c r="A21" s="289">
        <v>891780111</v>
      </c>
      <c r="B21" s="289" t="s">
        <v>54</v>
      </c>
      <c r="C21" s="290" t="s">
        <v>56</v>
      </c>
      <c r="D21" s="289" t="s">
        <v>60</v>
      </c>
      <c r="E21" s="290" t="s">
        <v>6459</v>
      </c>
      <c r="F21" s="289" t="s">
        <v>61</v>
      </c>
      <c r="G21" s="85" t="s">
        <v>63</v>
      </c>
      <c r="H21" s="85" t="s">
        <v>73</v>
      </c>
      <c r="I21" s="237">
        <v>2700000</v>
      </c>
      <c r="J21" s="290"/>
      <c r="K21" s="291"/>
      <c r="L21" s="291"/>
      <c r="M21" s="292">
        <f t="shared" si="0"/>
        <v>2700000</v>
      </c>
      <c r="N21" s="85">
        <v>57466769</v>
      </c>
      <c r="O21" s="85" t="s">
        <v>6460</v>
      </c>
      <c r="P21" s="85" t="s">
        <v>6447</v>
      </c>
      <c r="Q21" s="293">
        <v>44946</v>
      </c>
      <c r="R21" s="293">
        <v>44946</v>
      </c>
      <c r="S21" s="293">
        <v>44952</v>
      </c>
      <c r="T21" s="293"/>
      <c r="U21" s="293"/>
      <c r="V21" s="293"/>
      <c r="W21" s="294"/>
      <c r="X21" s="237">
        <v>2700000</v>
      </c>
      <c r="Y21" s="295">
        <f t="shared" si="1"/>
        <v>0</v>
      </c>
      <c r="Z21" s="296">
        <f t="shared" si="2"/>
        <v>1</v>
      </c>
      <c r="AA21" s="85">
        <v>41947381</v>
      </c>
      <c r="AB21" s="85" t="s">
        <v>6440</v>
      </c>
      <c r="AC21" s="290" t="s">
        <v>196</v>
      </c>
      <c r="AD21" s="290" t="s">
        <v>196</v>
      </c>
      <c r="AE21" s="236"/>
      <c r="AF21" s="85" t="s">
        <v>6461</v>
      </c>
      <c r="AG21" s="290" t="s">
        <v>192</v>
      </c>
      <c r="AH21" s="290" t="s">
        <v>192</v>
      </c>
    </row>
    <row r="22" spans="1:34" s="297" customFormat="1" ht="15" customHeight="1" x14ac:dyDescent="0.25">
      <c r="A22" s="289">
        <v>891780111</v>
      </c>
      <c r="B22" s="289" t="s">
        <v>54</v>
      </c>
      <c r="C22" s="290" t="s">
        <v>56</v>
      </c>
      <c r="D22" s="289" t="s">
        <v>60</v>
      </c>
      <c r="E22" s="290" t="s">
        <v>6462</v>
      </c>
      <c r="F22" s="289" t="s">
        <v>61</v>
      </c>
      <c r="G22" s="85" t="s">
        <v>63</v>
      </c>
      <c r="H22" s="85" t="s">
        <v>73</v>
      </c>
      <c r="I22" s="237">
        <v>2700000</v>
      </c>
      <c r="J22" s="290"/>
      <c r="K22" s="291"/>
      <c r="L22" s="291"/>
      <c r="M22" s="292">
        <f t="shared" si="0"/>
        <v>2700000</v>
      </c>
      <c r="N22" s="85">
        <v>1083567101</v>
      </c>
      <c r="O22" s="85" t="s">
        <v>6463</v>
      </c>
      <c r="P22" s="85" t="s">
        <v>6447</v>
      </c>
      <c r="Q22" s="293">
        <v>44946</v>
      </c>
      <c r="R22" s="293">
        <v>44946</v>
      </c>
      <c r="S22" s="293">
        <v>44952</v>
      </c>
      <c r="T22" s="293"/>
      <c r="U22" s="293"/>
      <c r="V22" s="293"/>
      <c r="W22" s="294"/>
      <c r="X22" s="237">
        <v>2700000</v>
      </c>
      <c r="Y22" s="295">
        <f t="shared" si="1"/>
        <v>0</v>
      </c>
      <c r="Z22" s="296">
        <f t="shared" si="2"/>
        <v>1</v>
      </c>
      <c r="AA22" s="85">
        <v>41947381</v>
      </c>
      <c r="AB22" s="85" t="s">
        <v>6440</v>
      </c>
      <c r="AC22" s="290" t="s">
        <v>196</v>
      </c>
      <c r="AD22" s="290" t="s">
        <v>196</v>
      </c>
      <c r="AE22" s="236"/>
      <c r="AF22" s="85" t="s">
        <v>6464</v>
      </c>
      <c r="AG22" s="290" t="s">
        <v>192</v>
      </c>
      <c r="AH22" s="290" t="s">
        <v>192</v>
      </c>
    </row>
    <row r="23" spans="1:34" s="297" customFormat="1" ht="15" customHeight="1" x14ac:dyDescent="0.25">
      <c r="A23" s="289">
        <v>891780111</v>
      </c>
      <c r="B23" s="289" t="s">
        <v>54</v>
      </c>
      <c r="C23" s="290" t="s">
        <v>56</v>
      </c>
      <c r="D23" s="289" t="s">
        <v>60</v>
      </c>
      <c r="E23" s="290" t="s">
        <v>6465</v>
      </c>
      <c r="F23" s="289" t="s">
        <v>61</v>
      </c>
      <c r="G23" s="85" t="s">
        <v>63</v>
      </c>
      <c r="H23" s="85" t="s">
        <v>73</v>
      </c>
      <c r="I23" s="237">
        <v>2700000</v>
      </c>
      <c r="J23" s="290"/>
      <c r="K23" s="291"/>
      <c r="L23" s="291"/>
      <c r="M23" s="292">
        <f t="shared" si="0"/>
        <v>2700000</v>
      </c>
      <c r="N23" s="85">
        <v>84457565</v>
      </c>
      <c r="O23" s="85" t="s">
        <v>6466</v>
      </c>
      <c r="P23" s="85" t="s">
        <v>6447</v>
      </c>
      <c r="Q23" s="293">
        <v>44946</v>
      </c>
      <c r="R23" s="293">
        <v>44946</v>
      </c>
      <c r="S23" s="293">
        <v>44952</v>
      </c>
      <c r="T23" s="293"/>
      <c r="U23" s="293"/>
      <c r="V23" s="293"/>
      <c r="W23" s="294"/>
      <c r="X23" s="237">
        <v>2700000</v>
      </c>
      <c r="Y23" s="295">
        <f t="shared" si="1"/>
        <v>0</v>
      </c>
      <c r="Z23" s="296">
        <f t="shared" si="2"/>
        <v>1</v>
      </c>
      <c r="AA23" s="85">
        <v>41947381</v>
      </c>
      <c r="AB23" s="85" t="s">
        <v>6440</v>
      </c>
      <c r="AC23" s="290" t="s">
        <v>196</v>
      </c>
      <c r="AD23" s="290" t="s">
        <v>196</v>
      </c>
      <c r="AE23" s="236"/>
      <c r="AF23" s="85" t="s">
        <v>6467</v>
      </c>
      <c r="AG23" s="290" t="s">
        <v>192</v>
      </c>
      <c r="AH23" s="290" t="s">
        <v>192</v>
      </c>
    </row>
    <row r="24" spans="1:34" s="297" customFormat="1" ht="15" customHeight="1" x14ac:dyDescent="0.25">
      <c r="A24" s="289">
        <v>891780111</v>
      </c>
      <c r="B24" s="289" t="s">
        <v>54</v>
      </c>
      <c r="C24" s="290" t="s">
        <v>56</v>
      </c>
      <c r="D24" s="289" t="s">
        <v>60</v>
      </c>
      <c r="E24" s="290" t="s">
        <v>6468</v>
      </c>
      <c r="F24" s="289" t="s">
        <v>61</v>
      </c>
      <c r="G24" s="85" t="s">
        <v>63</v>
      </c>
      <c r="H24" s="85" t="s">
        <v>73</v>
      </c>
      <c r="I24" s="237">
        <v>2700000</v>
      </c>
      <c r="J24" s="290"/>
      <c r="K24" s="291"/>
      <c r="L24" s="291"/>
      <c r="M24" s="292">
        <f t="shared" si="0"/>
        <v>2700000</v>
      </c>
      <c r="N24" s="85">
        <v>1082963429</v>
      </c>
      <c r="O24" s="85" t="s">
        <v>6469</v>
      </c>
      <c r="P24" s="85" t="s">
        <v>6447</v>
      </c>
      <c r="Q24" s="293">
        <v>44946</v>
      </c>
      <c r="R24" s="293">
        <v>44946</v>
      </c>
      <c r="S24" s="293">
        <v>44956</v>
      </c>
      <c r="T24" s="293"/>
      <c r="U24" s="293"/>
      <c r="V24" s="293"/>
      <c r="W24" s="294"/>
      <c r="X24" s="237">
        <v>2700000</v>
      </c>
      <c r="Y24" s="295">
        <f t="shared" si="1"/>
        <v>0</v>
      </c>
      <c r="Z24" s="296">
        <f t="shared" si="2"/>
        <v>1</v>
      </c>
      <c r="AA24" s="85">
        <v>41947381</v>
      </c>
      <c r="AB24" s="85" t="s">
        <v>6440</v>
      </c>
      <c r="AC24" s="290" t="s">
        <v>196</v>
      </c>
      <c r="AD24" s="290" t="s">
        <v>196</v>
      </c>
      <c r="AE24" s="236"/>
      <c r="AF24" s="85" t="s">
        <v>6470</v>
      </c>
      <c r="AG24" s="290" t="s">
        <v>192</v>
      </c>
      <c r="AH24" s="290" t="s">
        <v>192</v>
      </c>
    </row>
    <row r="25" spans="1:34" s="297" customFormat="1" ht="15" customHeight="1" x14ac:dyDescent="0.25">
      <c r="A25" s="289">
        <v>891780111</v>
      </c>
      <c r="B25" s="289" t="s">
        <v>54</v>
      </c>
      <c r="C25" s="290" t="s">
        <v>56</v>
      </c>
      <c r="D25" s="289" t="s">
        <v>60</v>
      </c>
      <c r="E25" s="290" t="s">
        <v>6471</v>
      </c>
      <c r="F25" s="289" t="s">
        <v>61</v>
      </c>
      <c r="G25" s="85" t="s">
        <v>63</v>
      </c>
      <c r="H25" s="85" t="s">
        <v>73</v>
      </c>
      <c r="I25" s="237">
        <v>3600000</v>
      </c>
      <c r="J25" s="290"/>
      <c r="K25" s="291"/>
      <c r="L25" s="291"/>
      <c r="M25" s="292">
        <f t="shared" si="0"/>
        <v>3600000</v>
      </c>
      <c r="N25" s="85">
        <v>55231310</v>
      </c>
      <c r="O25" s="85" t="s">
        <v>6472</v>
      </c>
      <c r="P25" s="85" t="s">
        <v>6473</v>
      </c>
      <c r="Q25" s="293">
        <v>44946</v>
      </c>
      <c r="R25" s="293">
        <v>44946</v>
      </c>
      <c r="S25" s="293">
        <v>44956</v>
      </c>
      <c r="T25" s="293"/>
      <c r="U25" s="293"/>
      <c r="V25" s="293"/>
      <c r="W25" s="294"/>
      <c r="X25" s="237">
        <v>3600000</v>
      </c>
      <c r="Y25" s="295">
        <f t="shared" si="1"/>
        <v>0</v>
      </c>
      <c r="Z25" s="296">
        <f t="shared" si="2"/>
        <v>1</v>
      </c>
      <c r="AA25" s="85">
        <v>41947381</v>
      </c>
      <c r="AB25" s="85" t="s">
        <v>6440</v>
      </c>
      <c r="AC25" s="290" t="s">
        <v>196</v>
      </c>
      <c r="AD25" s="290" t="s">
        <v>196</v>
      </c>
      <c r="AE25" s="236"/>
      <c r="AF25" s="85" t="s">
        <v>6474</v>
      </c>
      <c r="AG25" s="290" t="s">
        <v>192</v>
      </c>
      <c r="AH25" s="290" t="s">
        <v>192</v>
      </c>
    </row>
    <row r="26" spans="1:34" s="297" customFormat="1" ht="15" customHeight="1" x14ac:dyDescent="0.25">
      <c r="A26" s="289">
        <v>891780111</v>
      </c>
      <c r="B26" s="289" t="s">
        <v>54</v>
      </c>
      <c r="C26" s="290" t="s">
        <v>56</v>
      </c>
      <c r="D26" s="289" t="s">
        <v>60</v>
      </c>
      <c r="E26" s="290" t="s">
        <v>6475</v>
      </c>
      <c r="F26" s="289" t="s">
        <v>61</v>
      </c>
      <c r="G26" s="85" t="s">
        <v>63</v>
      </c>
      <c r="H26" s="85" t="s">
        <v>73</v>
      </c>
      <c r="I26" s="237">
        <v>3600000</v>
      </c>
      <c r="J26" s="290"/>
      <c r="K26" s="291"/>
      <c r="L26" s="291"/>
      <c r="M26" s="292">
        <f t="shared" si="0"/>
        <v>3600000</v>
      </c>
      <c r="N26" s="85">
        <v>36669052</v>
      </c>
      <c r="O26" s="85" t="s">
        <v>6476</v>
      </c>
      <c r="P26" s="85" t="s">
        <v>6473</v>
      </c>
      <c r="Q26" s="293">
        <v>44946</v>
      </c>
      <c r="R26" s="293">
        <v>44946</v>
      </c>
      <c r="S26" s="293">
        <v>44956</v>
      </c>
      <c r="T26" s="293"/>
      <c r="U26" s="293"/>
      <c r="V26" s="293"/>
      <c r="W26" s="294"/>
      <c r="X26" s="237">
        <v>3600000</v>
      </c>
      <c r="Y26" s="295">
        <f t="shared" si="1"/>
        <v>0</v>
      </c>
      <c r="Z26" s="296">
        <f t="shared" si="2"/>
        <v>1</v>
      </c>
      <c r="AA26" s="85">
        <v>41947381</v>
      </c>
      <c r="AB26" s="85" t="s">
        <v>6440</v>
      </c>
      <c r="AC26" s="290" t="s">
        <v>196</v>
      </c>
      <c r="AD26" s="290" t="s">
        <v>196</v>
      </c>
      <c r="AE26" s="236"/>
      <c r="AF26" s="85" t="s">
        <v>6477</v>
      </c>
      <c r="AG26" s="290" t="s">
        <v>192</v>
      </c>
      <c r="AH26" s="290" t="s">
        <v>192</v>
      </c>
    </row>
    <row r="27" spans="1:34" s="297" customFormat="1" ht="15" customHeight="1" x14ac:dyDescent="0.25">
      <c r="A27" s="289">
        <v>891780111</v>
      </c>
      <c r="B27" s="289" t="s">
        <v>54</v>
      </c>
      <c r="C27" s="290" t="s">
        <v>56</v>
      </c>
      <c r="D27" s="289" t="s">
        <v>60</v>
      </c>
      <c r="E27" s="290" t="s">
        <v>6478</v>
      </c>
      <c r="F27" s="289" t="s">
        <v>61</v>
      </c>
      <c r="G27" s="85" t="s">
        <v>63</v>
      </c>
      <c r="H27" s="85" t="s">
        <v>73</v>
      </c>
      <c r="I27" s="237">
        <v>3600000</v>
      </c>
      <c r="J27" s="290"/>
      <c r="K27" s="291"/>
      <c r="L27" s="291"/>
      <c r="M27" s="292">
        <f t="shared" si="0"/>
        <v>3600000</v>
      </c>
      <c r="N27" s="85">
        <v>1082971502</v>
      </c>
      <c r="O27" s="85" t="s">
        <v>6479</v>
      </c>
      <c r="P27" s="85" t="s">
        <v>6473</v>
      </c>
      <c r="Q27" s="293">
        <v>44946</v>
      </c>
      <c r="R27" s="293">
        <v>44946</v>
      </c>
      <c r="S27" s="293">
        <v>44956</v>
      </c>
      <c r="T27" s="293"/>
      <c r="U27" s="293"/>
      <c r="V27" s="293"/>
      <c r="W27" s="294"/>
      <c r="X27" s="237">
        <v>3600000</v>
      </c>
      <c r="Y27" s="295">
        <f t="shared" si="1"/>
        <v>0</v>
      </c>
      <c r="Z27" s="296">
        <f t="shared" si="2"/>
        <v>1</v>
      </c>
      <c r="AA27" s="85">
        <v>41947381</v>
      </c>
      <c r="AB27" s="85" t="s">
        <v>6440</v>
      </c>
      <c r="AC27" s="290" t="s">
        <v>196</v>
      </c>
      <c r="AD27" s="290" t="s">
        <v>196</v>
      </c>
      <c r="AE27" s="236"/>
      <c r="AF27" s="85" t="s">
        <v>6480</v>
      </c>
      <c r="AG27" s="290" t="s">
        <v>192</v>
      </c>
      <c r="AH27" s="290" t="s">
        <v>192</v>
      </c>
    </row>
    <row r="28" spans="1:34" s="297" customFormat="1" ht="15" customHeight="1" x14ac:dyDescent="0.25">
      <c r="A28" s="289">
        <v>891780111</v>
      </c>
      <c r="B28" s="289" t="s">
        <v>54</v>
      </c>
      <c r="C28" s="290" t="s">
        <v>56</v>
      </c>
      <c r="D28" s="289" t="s">
        <v>60</v>
      </c>
      <c r="E28" s="290" t="s">
        <v>6481</v>
      </c>
      <c r="F28" s="289" t="s">
        <v>61</v>
      </c>
      <c r="G28" s="85" t="s">
        <v>63</v>
      </c>
      <c r="H28" s="85" t="s">
        <v>73</v>
      </c>
      <c r="I28" s="237">
        <v>3600000</v>
      </c>
      <c r="J28" s="290"/>
      <c r="K28" s="291"/>
      <c r="L28" s="291"/>
      <c r="M28" s="292">
        <f t="shared" si="0"/>
        <v>3600000</v>
      </c>
      <c r="N28" s="85">
        <v>1082886955</v>
      </c>
      <c r="O28" s="85" t="s">
        <v>6482</v>
      </c>
      <c r="P28" s="85" t="s">
        <v>6483</v>
      </c>
      <c r="Q28" s="293">
        <v>44946</v>
      </c>
      <c r="R28" s="293">
        <v>44946</v>
      </c>
      <c r="S28" s="293">
        <v>44956</v>
      </c>
      <c r="T28" s="293"/>
      <c r="U28" s="293"/>
      <c r="V28" s="293"/>
      <c r="W28" s="294"/>
      <c r="X28" s="237">
        <v>3600000</v>
      </c>
      <c r="Y28" s="295">
        <f t="shared" si="1"/>
        <v>0</v>
      </c>
      <c r="Z28" s="296">
        <f t="shared" si="2"/>
        <v>1</v>
      </c>
      <c r="AA28" s="85">
        <v>41947381</v>
      </c>
      <c r="AB28" s="85" t="s">
        <v>6440</v>
      </c>
      <c r="AC28" s="290" t="s">
        <v>196</v>
      </c>
      <c r="AD28" s="290" t="s">
        <v>196</v>
      </c>
      <c r="AE28" s="236"/>
      <c r="AF28" s="85" t="s">
        <v>6484</v>
      </c>
      <c r="AG28" s="290" t="s">
        <v>192</v>
      </c>
      <c r="AH28" s="290" t="s">
        <v>192</v>
      </c>
    </row>
    <row r="29" spans="1:34" s="297" customFormat="1" ht="15" customHeight="1" x14ac:dyDescent="0.25">
      <c r="A29" s="289">
        <v>891780111</v>
      </c>
      <c r="B29" s="289" t="s">
        <v>54</v>
      </c>
      <c r="C29" s="290" t="s">
        <v>56</v>
      </c>
      <c r="D29" s="289" t="s">
        <v>60</v>
      </c>
      <c r="E29" s="290" t="s">
        <v>6485</v>
      </c>
      <c r="F29" s="289" t="s">
        <v>61</v>
      </c>
      <c r="G29" s="85" t="s">
        <v>63</v>
      </c>
      <c r="H29" s="85" t="s">
        <v>73</v>
      </c>
      <c r="I29" s="237">
        <v>3700000</v>
      </c>
      <c r="J29" s="290"/>
      <c r="K29" s="291"/>
      <c r="L29" s="291"/>
      <c r="M29" s="292">
        <f t="shared" si="0"/>
        <v>3700000</v>
      </c>
      <c r="N29" s="85">
        <v>1143379940</v>
      </c>
      <c r="O29" s="85" t="s">
        <v>6486</v>
      </c>
      <c r="P29" s="85" t="s">
        <v>6487</v>
      </c>
      <c r="Q29" s="293">
        <v>44946</v>
      </c>
      <c r="R29" s="293">
        <v>44946</v>
      </c>
      <c r="S29" s="293">
        <v>44957</v>
      </c>
      <c r="T29" s="293"/>
      <c r="U29" s="293"/>
      <c r="V29" s="293"/>
      <c r="W29" s="294"/>
      <c r="X29" s="237">
        <v>3700000</v>
      </c>
      <c r="Y29" s="295">
        <f t="shared" si="1"/>
        <v>0</v>
      </c>
      <c r="Z29" s="296">
        <f t="shared" si="2"/>
        <v>1</v>
      </c>
      <c r="AA29" s="85">
        <v>41947381</v>
      </c>
      <c r="AB29" s="85" t="s">
        <v>6440</v>
      </c>
      <c r="AC29" s="290" t="s">
        <v>196</v>
      </c>
      <c r="AD29" s="290" t="s">
        <v>196</v>
      </c>
      <c r="AE29" s="236"/>
      <c r="AF29" s="85" t="s">
        <v>6488</v>
      </c>
      <c r="AG29" s="290" t="s">
        <v>192</v>
      </c>
      <c r="AH29" s="290" t="s">
        <v>192</v>
      </c>
    </row>
    <row r="30" spans="1:34" s="297" customFormat="1" ht="15" customHeight="1" x14ac:dyDescent="0.25">
      <c r="A30" s="289">
        <v>891780111</v>
      </c>
      <c r="B30" s="289" t="s">
        <v>54</v>
      </c>
      <c r="C30" s="290" t="s">
        <v>56</v>
      </c>
      <c r="D30" s="289" t="s">
        <v>60</v>
      </c>
      <c r="E30" s="290" t="s">
        <v>6489</v>
      </c>
      <c r="F30" s="289" t="s">
        <v>61</v>
      </c>
      <c r="G30" s="85" t="s">
        <v>63</v>
      </c>
      <c r="H30" s="85" t="s">
        <v>73</v>
      </c>
      <c r="I30" s="237">
        <v>3700000</v>
      </c>
      <c r="J30" s="290"/>
      <c r="K30" s="291"/>
      <c r="L30" s="291"/>
      <c r="M30" s="292">
        <f t="shared" si="0"/>
        <v>3700000</v>
      </c>
      <c r="N30" s="85">
        <v>1103111491</v>
      </c>
      <c r="O30" s="85" t="s">
        <v>6490</v>
      </c>
      <c r="P30" s="85" t="s">
        <v>6491</v>
      </c>
      <c r="Q30" s="293">
        <v>44946</v>
      </c>
      <c r="R30" s="293">
        <v>44946</v>
      </c>
      <c r="S30" s="293">
        <v>44957</v>
      </c>
      <c r="T30" s="293"/>
      <c r="U30" s="293"/>
      <c r="V30" s="293"/>
      <c r="W30" s="294"/>
      <c r="X30" s="237">
        <v>3700000</v>
      </c>
      <c r="Y30" s="295">
        <f t="shared" si="1"/>
        <v>0</v>
      </c>
      <c r="Z30" s="296">
        <f t="shared" si="2"/>
        <v>1</v>
      </c>
      <c r="AA30" s="85">
        <v>41947381</v>
      </c>
      <c r="AB30" s="85" t="s">
        <v>6440</v>
      </c>
      <c r="AC30" s="290" t="s">
        <v>196</v>
      </c>
      <c r="AD30" s="290" t="s">
        <v>196</v>
      </c>
      <c r="AE30" s="236"/>
      <c r="AF30" s="85" t="s">
        <v>6492</v>
      </c>
      <c r="AG30" s="290" t="s">
        <v>192</v>
      </c>
      <c r="AH30" s="290" t="s">
        <v>192</v>
      </c>
    </row>
    <row r="31" spans="1:34" s="297" customFormat="1" ht="15" customHeight="1" x14ac:dyDescent="0.25">
      <c r="A31" s="289">
        <v>891780111</v>
      </c>
      <c r="B31" s="289" t="s">
        <v>54</v>
      </c>
      <c r="C31" s="290" t="s">
        <v>56</v>
      </c>
      <c r="D31" s="289" t="s">
        <v>60</v>
      </c>
      <c r="E31" s="290" t="s">
        <v>6493</v>
      </c>
      <c r="F31" s="289" t="s">
        <v>61</v>
      </c>
      <c r="G31" s="85" t="s">
        <v>63</v>
      </c>
      <c r="H31" s="85" t="s">
        <v>73</v>
      </c>
      <c r="I31" s="237">
        <v>3700000</v>
      </c>
      <c r="J31" s="290"/>
      <c r="K31" s="291"/>
      <c r="L31" s="291"/>
      <c r="M31" s="292">
        <f t="shared" si="0"/>
        <v>3700000</v>
      </c>
      <c r="N31" s="85">
        <v>1082984559</v>
      </c>
      <c r="O31" s="85" t="s">
        <v>6494</v>
      </c>
      <c r="P31" s="85" t="s">
        <v>6495</v>
      </c>
      <c r="Q31" s="293">
        <v>44946</v>
      </c>
      <c r="R31" s="293">
        <v>44946</v>
      </c>
      <c r="S31" s="293">
        <v>44957</v>
      </c>
      <c r="T31" s="293"/>
      <c r="U31" s="293"/>
      <c r="V31" s="293"/>
      <c r="W31" s="294"/>
      <c r="X31" s="237">
        <v>3700000</v>
      </c>
      <c r="Y31" s="295">
        <f t="shared" si="1"/>
        <v>0</v>
      </c>
      <c r="Z31" s="296">
        <f t="shared" si="2"/>
        <v>1</v>
      </c>
      <c r="AA31" s="85">
        <v>41947381</v>
      </c>
      <c r="AB31" s="85" t="s">
        <v>6440</v>
      </c>
      <c r="AC31" s="290" t="s">
        <v>196</v>
      </c>
      <c r="AD31" s="290" t="s">
        <v>196</v>
      </c>
      <c r="AE31" s="236"/>
      <c r="AF31" s="85" t="s">
        <v>6496</v>
      </c>
      <c r="AG31" s="290" t="s">
        <v>192</v>
      </c>
      <c r="AH31" s="290" t="s">
        <v>192</v>
      </c>
    </row>
    <row r="32" spans="1:34" s="297" customFormat="1" ht="15" customHeight="1" x14ac:dyDescent="0.25">
      <c r="A32" s="289">
        <v>891780111</v>
      </c>
      <c r="B32" s="289" t="s">
        <v>54</v>
      </c>
      <c r="C32" s="290" t="s">
        <v>56</v>
      </c>
      <c r="D32" s="289" t="s">
        <v>60</v>
      </c>
      <c r="E32" s="290" t="s">
        <v>6497</v>
      </c>
      <c r="F32" s="289" t="s">
        <v>61</v>
      </c>
      <c r="G32" s="85" t="s">
        <v>63</v>
      </c>
      <c r="H32" s="85" t="s">
        <v>73</v>
      </c>
      <c r="I32" s="237">
        <v>3700000</v>
      </c>
      <c r="J32" s="290"/>
      <c r="K32" s="291"/>
      <c r="L32" s="291"/>
      <c r="M32" s="292">
        <f t="shared" si="0"/>
        <v>3700000</v>
      </c>
      <c r="N32" s="85">
        <v>79575432</v>
      </c>
      <c r="O32" s="85" t="s">
        <v>6498</v>
      </c>
      <c r="P32" s="85" t="s">
        <v>6487</v>
      </c>
      <c r="Q32" s="293">
        <v>44946</v>
      </c>
      <c r="R32" s="293">
        <v>44946</v>
      </c>
      <c r="S32" s="293">
        <v>44957</v>
      </c>
      <c r="T32" s="293"/>
      <c r="U32" s="293"/>
      <c r="V32" s="293"/>
      <c r="W32" s="294"/>
      <c r="X32" s="237">
        <v>3700000</v>
      </c>
      <c r="Y32" s="295">
        <f t="shared" si="1"/>
        <v>0</v>
      </c>
      <c r="Z32" s="296">
        <f t="shared" si="2"/>
        <v>1</v>
      </c>
      <c r="AA32" s="85">
        <v>41947381</v>
      </c>
      <c r="AB32" s="85" t="s">
        <v>6440</v>
      </c>
      <c r="AC32" s="290" t="s">
        <v>196</v>
      </c>
      <c r="AD32" s="290" t="s">
        <v>196</v>
      </c>
      <c r="AE32" s="236"/>
      <c r="AF32" s="85" t="s">
        <v>6499</v>
      </c>
      <c r="AG32" s="290" t="s">
        <v>192</v>
      </c>
      <c r="AH32" s="290" t="s">
        <v>192</v>
      </c>
    </row>
    <row r="33" spans="1:34" s="297" customFormat="1" ht="15" customHeight="1" x14ac:dyDescent="0.25">
      <c r="A33" s="289">
        <v>891780111</v>
      </c>
      <c r="B33" s="289" t="s">
        <v>54</v>
      </c>
      <c r="C33" s="290" t="s">
        <v>56</v>
      </c>
      <c r="D33" s="289" t="s">
        <v>60</v>
      </c>
      <c r="E33" s="290" t="s">
        <v>6500</v>
      </c>
      <c r="F33" s="289" t="s">
        <v>61</v>
      </c>
      <c r="G33" s="85" t="s">
        <v>63</v>
      </c>
      <c r="H33" s="85" t="s">
        <v>73</v>
      </c>
      <c r="I33" s="237">
        <v>3700000</v>
      </c>
      <c r="J33" s="290"/>
      <c r="K33" s="291"/>
      <c r="L33" s="291"/>
      <c r="M33" s="292">
        <f t="shared" si="0"/>
        <v>3700000</v>
      </c>
      <c r="N33" s="85">
        <v>1044913180</v>
      </c>
      <c r="O33" s="85" t="s">
        <v>6501</v>
      </c>
      <c r="P33" s="85" t="s">
        <v>6502</v>
      </c>
      <c r="Q33" s="293">
        <v>44946</v>
      </c>
      <c r="R33" s="293">
        <v>44946</v>
      </c>
      <c r="S33" s="293">
        <v>44957</v>
      </c>
      <c r="T33" s="293"/>
      <c r="U33" s="293"/>
      <c r="V33" s="293"/>
      <c r="W33" s="294"/>
      <c r="X33" s="237">
        <v>3700000</v>
      </c>
      <c r="Y33" s="295">
        <f t="shared" si="1"/>
        <v>0</v>
      </c>
      <c r="Z33" s="296">
        <f t="shared" si="2"/>
        <v>1</v>
      </c>
      <c r="AA33" s="85">
        <v>41947381</v>
      </c>
      <c r="AB33" s="85" t="s">
        <v>6440</v>
      </c>
      <c r="AC33" s="290" t="s">
        <v>196</v>
      </c>
      <c r="AD33" s="290" t="s">
        <v>196</v>
      </c>
      <c r="AE33" s="236"/>
      <c r="AF33" s="85" t="s">
        <v>6503</v>
      </c>
      <c r="AG33" s="290" t="s">
        <v>192</v>
      </c>
      <c r="AH33" s="290" t="s">
        <v>192</v>
      </c>
    </row>
    <row r="34" spans="1:34" s="297" customFormat="1" ht="15" customHeight="1" x14ac:dyDescent="0.25">
      <c r="A34" s="289">
        <v>891780111</v>
      </c>
      <c r="B34" s="289" t="s">
        <v>54</v>
      </c>
      <c r="C34" s="290" t="s">
        <v>56</v>
      </c>
      <c r="D34" s="289" t="s">
        <v>60</v>
      </c>
      <c r="E34" s="290" t="s">
        <v>6504</v>
      </c>
      <c r="F34" s="289" t="s">
        <v>61</v>
      </c>
      <c r="G34" s="85" t="s">
        <v>63</v>
      </c>
      <c r="H34" s="85" t="s">
        <v>73</v>
      </c>
      <c r="I34" s="237">
        <v>13430000</v>
      </c>
      <c r="J34" s="290">
        <v>1</v>
      </c>
      <c r="K34" s="291">
        <v>3617000</v>
      </c>
      <c r="L34" s="291"/>
      <c r="M34" s="292">
        <f t="shared" si="0"/>
        <v>17047000</v>
      </c>
      <c r="N34" s="85">
        <v>85468611</v>
      </c>
      <c r="O34" s="85" t="s">
        <v>6505</v>
      </c>
      <c r="P34" s="85" t="s">
        <v>6506</v>
      </c>
      <c r="Q34" s="293">
        <v>44949</v>
      </c>
      <c r="R34" s="293">
        <v>44949</v>
      </c>
      <c r="S34" s="293">
        <v>45071</v>
      </c>
      <c r="T34" s="293"/>
      <c r="U34" s="293"/>
      <c r="V34" s="293"/>
      <c r="W34" s="294">
        <v>45107</v>
      </c>
      <c r="X34" s="237">
        <v>17047000</v>
      </c>
      <c r="Y34" s="295">
        <f t="shared" si="1"/>
        <v>0</v>
      </c>
      <c r="Z34" s="296">
        <f t="shared" si="2"/>
        <v>1</v>
      </c>
      <c r="AA34" s="85">
        <v>72175281</v>
      </c>
      <c r="AB34" s="85" t="s">
        <v>6507</v>
      </c>
      <c r="AC34" s="290" t="s">
        <v>196</v>
      </c>
      <c r="AD34" s="290" t="s">
        <v>196</v>
      </c>
      <c r="AE34" s="236"/>
      <c r="AF34" s="85" t="s">
        <v>6508</v>
      </c>
      <c r="AG34" s="290" t="s">
        <v>192</v>
      </c>
      <c r="AH34" s="290" t="s">
        <v>192</v>
      </c>
    </row>
    <row r="35" spans="1:34" s="297" customFormat="1" ht="15" customHeight="1" x14ac:dyDescent="0.25">
      <c r="A35" s="289">
        <v>891780111</v>
      </c>
      <c r="B35" s="289" t="s">
        <v>54</v>
      </c>
      <c r="C35" s="290" t="s">
        <v>56</v>
      </c>
      <c r="D35" s="289" t="s">
        <v>60</v>
      </c>
      <c r="E35" s="290" t="s">
        <v>6509</v>
      </c>
      <c r="F35" s="289" t="s">
        <v>61</v>
      </c>
      <c r="G35" s="85" t="s">
        <v>63</v>
      </c>
      <c r="H35" s="85" t="s">
        <v>73</v>
      </c>
      <c r="I35" s="237">
        <v>16773000</v>
      </c>
      <c r="J35" s="290">
        <v>1</v>
      </c>
      <c r="K35" s="291"/>
      <c r="L35" s="291">
        <v>4873000</v>
      </c>
      <c r="M35" s="292">
        <f t="shared" si="0"/>
        <v>11900000</v>
      </c>
      <c r="N35" s="85">
        <v>57430027</v>
      </c>
      <c r="O35" s="85" t="s">
        <v>6510</v>
      </c>
      <c r="P35" s="85" t="s">
        <v>6511</v>
      </c>
      <c r="Q35" s="293">
        <v>44949</v>
      </c>
      <c r="R35" s="293">
        <v>44949</v>
      </c>
      <c r="S35" s="293">
        <v>45084</v>
      </c>
      <c r="T35" s="293"/>
      <c r="U35" s="293"/>
      <c r="V35" s="293"/>
      <c r="W35" s="294">
        <v>45040</v>
      </c>
      <c r="X35" s="237">
        <v>11900000</v>
      </c>
      <c r="Y35" s="295">
        <f t="shared" si="1"/>
        <v>0</v>
      </c>
      <c r="Z35" s="296">
        <f t="shared" si="2"/>
        <v>1</v>
      </c>
      <c r="AA35" s="85">
        <v>57461216</v>
      </c>
      <c r="AB35" s="85" t="s">
        <v>6512</v>
      </c>
      <c r="AC35" s="290" t="s">
        <v>196</v>
      </c>
      <c r="AD35" s="290" t="s">
        <v>196</v>
      </c>
      <c r="AE35" s="236"/>
      <c r="AF35" s="85" t="s">
        <v>6513</v>
      </c>
      <c r="AG35" s="290" t="s">
        <v>192</v>
      </c>
      <c r="AH35" s="290" t="s">
        <v>192</v>
      </c>
    </row>
    <row r="36" spans="1:34" s="297" customFormat="1" ht="15" customHeight="1" x14ac:dyDescent="0.25">
      <c r="A36" s="289">
        <v>891780111</v>
      </c>
      <c r="B36" s="289" t="s">
        <v>54</v>
      </c>
      <c r="C36" s="290" t="s">
        <v>56</v>
      </c>
      <c r="D36" s="289" t="s">
        <v>60</v>
      </c>
      <c r="E36" s="290" t="s">
        <v>6514</v>
      </c>
      <c r="F36" s="289" t="s">
        <v>61</v>
      </c>
      <c r="G36" s="85" t="s">
        <v>63</v>
      </c>
      <c r="H36" s="85" t="s">
        <v>73</v>
      </c>
      <c r="I36" s="237">
        <v>15293000</v>
      </c>
      <c r="J36" s="290">
        <v>1</v>
      </c>
      <c r="K36" s="291">
        <v>2377000</v>
      </c>
      <c r="L36" s="291"/>
      <c r="M36" s="292">
        <f t="shared" si="0"/>
        <v>17670000</v>
      </c>
      <c r="N36" s="85">
        <v>7143181</v>
      </c>
      <c r="O36" s="85" t="s">
        <v>6515</v>
      </c>
      <c r="P36" s="85" t="s">
        <v>6516</v>
      </c>
      <c r="Q36" s="293">
        <v>44949</v>
      </c>
      <c r="R36" s="293">
        <v>44949</v>
      </c>
      <c r="S36" s="293">
        <v>45084</v>
      </c>
      <c r="T36" s="293"/>
      <c r="U36" s="293"/>
      <c r="V36" s="293"/>
      <c r="W36" s="294">
        <v>45107</v>
      </c>
      <c r="X36" s="237">
        <v>17670000</v>
      </c>
      <c r="Y36" s="295">
        <f t="shared" si="1"/>
        <v>0</v>
      </c>
      <c r="Z36" s="296">
        <f t="shared" si="2"/>
        <v>1</v>
      </c>
      <c r="AA36" s="85">
        <v>57461216</v>
      </c>
      <c r="AB36" s="85" t="s">
        <v>6512</v>
      </c>
      <c r="AC36" s="290" t="s">
        <v>196</v>
      </c>
      <c r="AD36" s="290" t="s">
        <v>196</v>
      </c>
      <c r="AE36" s="236"/>
      <c r="AF36" s="85" t="s">
        <v>6517</v>
      </c>
      <c r="AG36" s="290" t="s">
        <v>192</v>
      </c>
      <c r="AH36" s="290" t="s">
        <v>192</v>
      </c>
    </row>
    <row r="37" spans="1:34" s="297" customFormat="1" ht="15" customHeight="1" x14ac:dyDescent="0.25">
      <c r="A37" s="289">
        <v>891780111</v>
      </c>
      <c r="B37" s="289" t="s">
        <v>54</v>
      </c>
      <c r="C37" s="290" t="s">
        <v>56</v>
      </c>
      <c r="D37" s="289" t="s">
        <v>60</v>
      </c>
      <c r="E37" s="290" t="s">
        <v>6518</v>
      </c>
      <c r="F37" s="289" t="s">
        <v>61</v>
      </c>
      <c r="G37" s="85" t="s">
        <v>63</v>
      </c>
      <c r="H37" s="85" t="s">
        <v>73</v>
      </c>
      <c r="I37" s="237">
        <v>27133000</v>
      </c>
      <c r="J37" s="290">
        <v>1</v>
      </c>
      <c r="K37" s="291">
        <v>4217000</v>
      </c>
      <c r="L37" s="291"/>
      <c r="M37" s="292">
        <f t="shared" si="0"/>
        <v>31350000</v>
      </c>
      <c r="N37" s="85">
        <v>1018413783</v>
      </c>
      <c r="O37" s="85" t="s">
        <v>6519</v>
      </c>
      <c r="P37" s="85" t="s">
        <v>6520</v>
      </c>
      <c r="Q37" s="293">
        <v>44949</v>
      </c>
      <c r="R37" s="293">
        <v>44949</v>
      </c>
      <c r="S37" s="293">
        <v>45084</v>
      </c>
      <c r="T37" s="293"/>
      <c r="U37" s="293"/>
      <c r="V37" s="293"/>
      <c r="W37" s="294">
        <v>45107</v>
      </c>
      <c r="X37" s="237">
        <v>31350000</v>
      </c>
      <c r="Y37" s="295">
        <f t="shared" si="1"/>
        <v>0</v>
      </c>
      <c r="Z37" s="296">
        <f t="shared" si="2"/>
        <v>1</v>
      </c>
      <c r="AA37" s="85">
        <v>57461216</v>
      </c>
      <c r="AB37" s="85" t="s">
        <v>6512</v>
      </c>
      <c r="AC37" s="290" t="s">
        <v>196</v>
      </c>
      <c r="AD37" s="290" t="s">
        <v>196</v>
      </c>
      <c r="AE37" s="236"/>
      <c r="AF37" s="85" t="s">
        <v>6521</v>
      </c>
      <c r="AG37" s="290" t="s">
        <v>192</v>
      </c>
      <c r="AH37" s="290" t="s">
        <v>192</v>
      </c>
    </row>
    <row r="38" spans="1:34" s="297" customFormat="1" ht="15" customHeight="1" x14ac:dyDescent="0.25">
      <c r="A38" s="289">
        <v>891780111</v>
      </c>
      <c r="B38" s="289" t="s">
        <v>54</v>
      </c>
      <c r="C38" s="290" t="s">
        <v>56</v>
      </c>
      <c r="D38" s="289" t="s">
        <v>60</v>
      </c>
      <c r="E38" s="290" t="s">
        <v>6522</v>
      </c>
      <c r="F38" s="289" t="s">
        <v>61</v>
      </c>
      <c r="G38" s="85" t="s">
        <v>63</v>
      </c>
      <c r="H38" s="85" t="s">
        <v>73</v>
      </c>
      <c r="I38" s="237">
        <v>13813000</v>
      </c>
      <c r="J38" s="290">
        <v>1</v>
      </c>
      <c r="K38" s="291">
        <v>2147000</v>
      </c>
      <c r="L38" s="291"/>
      <c r="M38" s="292">
        <f t="shared" si="0"/>
        <v>15960000</v>
      </c>
      <c r="N38" s="85">
        <v>1020750597</v>
      </c>
      <c r="O38" s="85" t="s">
        <v>6523</v>
      </c>
      <c r="P38" s="85" t="s">
        <v>6524</v>
      </c>
      <c r="Q38" s="293">
        <v>44949</v>
      </c>
      <c r="R38" s="293">
        <v>44949</v>
      </c>
      <c r="S38" s="293">
        <v>45084</v>
      </c>
      <c r="T38" s="293"/>
      <c r="U38" s="293"/>
      <c r="V38" s="293"/>
      <c r="W38" s="294">
        <v>45107</v>
      </c>
      <c r="X38" s="237">
        <v>15960000</v>
      </c>
      <c r="Y38" s="295">
        <f t="shared" si="1"/>
        <v>0</v>
      </c>
      <c r="Z38" s="296">
        <f t="shared" si="2"/>
        <v>1</v>
      </c>
      <c r="AA38" s="85">
        <v>57461216</v>
      </c>
      <c r="AB38" s="85" t="s">
        <v>6512</v>
      </c>
      <c r="AC38" s="290" t="s">
        <v>196</v>
      </c>
      <c r="AD38" s="290" t="s">
        <v>196</v>
      </c>
      <c r="AE38" s="236"/>
      <c r="AF38" s="85" t="s">
        <v>6525</v>
      </c>
      <c r="AG38" s="290" t="s">
        <v>192</v>
      </c>
      <c r="AH38" s="290" t="s">
        <v>192</v>
      </c>
    </row>
    <row r="39" spans="1:34" s="297" customFormat="1" ht="15" customHeight="1" x14ac:dyDescent="0.25">
      <c r="A39" s="289">
        <v>891780111</v>
      </c>
      <c r="B39" s="289" t="s">
        <v>54</v>
      </c>
      <c r="C39" s="290" t="s">
        <v>56</v>
      </c>
      <c r="D39" s="289" t="s">
        <v>60</v>
      </c>
      <c r="E39" s="290" t="s">
        <v>6526</v>
      </c>
      <c r="F39" s="289" t="s">
        <v>61</v>
      </c>
      <c r="G39" s="85" t="s">
        <v>63</v>
      </c>
      <c r="H39" s="85" t="s">
        <v>73</v>
      </c>
      <c r="I39" s="237">
        <v>13813000</v>
      </c>
      <c r="J39" s="290">
        <v>1</v>
      </c>
      <c r="K39" s="291">
        <v>2147000</v>
      </c>
      <c r="L39" s="291"/>
      <c r="M39" s="292">
        <f t="shared" si="0"/>
        <v>15960000</v>
      </c>
      <c r="N39" s="85">
        <v>1082949911</v>
      </c>
      <c r="O39" s="85" t="s">
        <v>6527</v>
      </c>
      <c r="P39" s="85" t="s">
        <v>6528</v>
      </c>
      <c r="Q39" s="293">
        <v>44949</v>
      </c>
      <c r="R39" s="293">
        <v>44949</v>
      </c>
      <c r="S39" s="293">
        <v>45084</v>
      </c>
      <c r="T39" s="293"/>
      <c r="U39" s="293"/>
      <c r="V39" s="293"/>
      <c r="W39" s="294">
        <v>45107</v>
      </c>
      <c r="X39" s="237">
        <v>15960000</v>
      </c>
      <c r="Y39" s="295">
        <f t="shared" si="1"/>
        <v>0</v>
      </c>
      <c r="Z39" s="296">
        <f t="shared" si="2"/>
        <v>1</v>
      </c>
      <c r="AA39" s="85">
        <v>57461216</v>
      </c>
      <c r="AB39" s="85" t="s">
        <v>6512</v>
      </c>
      <c r="AC39" s="290" t="s">
        <v>196</v>
      </c>
      <c r="AD39" s="290" t="s">
        <v>196</v>
      </c>
      <c r="AE39" s="236"/>
      <c r="AF39" s="85" t="s">
        <v>6529</v>
      </c>
      <c r="AG39" s="290" t="s">
        <v>192</v>
      </c>
      <c r="AH39" s="290" t="s">
        <v>192</v>
      </c>
    </row>
    <row r="40" spans="1:34" s="297" customFormat="1" ht="15" customHeight="1" x14ac:dyDescent="0.25">
      <c r="A40" s="289">
        <v>891780111</v>
      </c>
      <c r="B40" s="289" t="s">
        <v>54</v>
      </c>
      <c r="C40" s="290" t="s">
        <v>56</v>
      </c>
      <c r="D40" s="289" t="s">
        <v>60</v>
      </c>
      <c r="E40" s="290" t="s">
        <v>6530</v>
      </c>
      <c r="F40" s="289" t="s">
        <v>61</v>
      </c>
      <c r="G40" s="85" t="s">
        <v>63</v>
      </c>
      <c r="H40" s="85" t="s">
        <v>73</v>
      </c>
      <c r="I40" s="237">
        <v>13813000</v>
      </c>
      <c r="J40" s="290">
        <v>1</v>
      </c>
      <c r="K40" s="291">
        <v>2147000</v>
      </c>
      <c r="L40" s="291"/>
      <c r="M40" s="292">
        <f t="shared" si="0"/>
        <v>15960000</v>
      </c>
      <c r="N40" s="85">
        <v>4981247</v>
      </c>
      <c r="O40" s="85" t="s">
        <v>6531</v>
      </c>
      <c r="P40" s="85" t="s">
        <v>6532</v>
      </c>
      <c r="Q40" s="293">
        <v>44949</v>
      </c>
      <c r="R40" s="293">
        <v>44949</v>
      </c>
      <c r="S40" s="293">
        <v>45084</v>
      </c>
      <c r="T40" s="293"/>
      <c r="U40" s="293"/>
      <c r="V40" s="293"/>
      <c r="W40" s="294">
        <v>45107</v>
      </c>
      <c r="X40" s="237">
        <v>15960000</v>
      </c>
      <c r="Y40" s="295">
        <f t="shared" si="1"/>
        <v>0</v>
      </c>
      <c r="Z40" s="296">
        <f t="shared" si="2"/>
        <v>1</v>
      </c>
      <c r="AA40" s="85">
        <v>57461216</v>
      </c>
      <c r="AB40" s="85" t="s">
        <v>6512</v>
      </c>
      <c r="AC40" s="290" t="s">
        <v>196</v>
      </c>
      <c r="AD40" s="290" t="s">
        <v>196</v>
      </c>
      <c r="AE40" s="236"/>
      <c r="AF40" s="85" t="s">
        <v>6533</v>
      </c>
      <c r="AG40" s="290" t="s">
        <v>192</v>
      </c>
      <c r="AH40" s="290" t="s">
        <v>192</v>
      </c>
    </row>
    <row r="41" spans="1:34" s="297" customFormat="1" ht="15" customHeight="1" x14ac:dyDescent="0.25">
      <c r="A41" s="289">
        <v>891780111</v>
      </c>
      <c r="B41" s="289" t="s">
        <v>54</v>
      </c>
      <c r="C41" s="290" t="s">
        <v>56</v>
      </c>
      <c r="D41" s="289" t="s">
        <v>60</v>
      </c>
      <c r="E41" s="290" t="s">
        <v>6534</v>
      </c>
      <c r="F41" s="289" t="s">
        <v>61</v>
      </c>
      <c r="G41" s="85" t="s">
        <v>63</v>
      </c>
      <c r="H41" s="85" t="s">
        <v>73</v>
      </c>
      <c r="I41" s="237">
        <v>15293000</v>
      </c>
      <c r="J41" s="290">
        <v>1</v>
      </c>
      <c r="K41" s="291"/>
      <c r="L41" s="291">
        <v>7853000</v>
      </c>
      <c r="M41" s="292">
        <f t="shared" si="0"/>
        <v>7440000</v>
      </c>
      <c r="N41" s="85">
        <v>1082958976</v>
      </c>
      <c r="O41" s="85" t="s">
        <v>6535</v>
      </c>
      <c r="P41" s="85" t="s">
        <v>6536</v>
      </c>
      <c r="Q41" s="293">
        <v>44949</v>
      </c>
      <c r="R41" s="293">
        <v>44949</v>
      </c>
      <c r="S41" s="293">
        <v>45084</v>
      </c>
      <c r="T41" s="293"/>
      <c r="U41" s="293"/>
      <c r="V41" s="293"/>
      <c r="W41" s="294">
        <v>45007</v>
      </c>
      <c r="X41" s="237">
        <v>7440000</v>
      </c>
      <c r="Y41" s="295">
        <f t="shared" si="1"/>
        <v>0</v>
      </c>
      <c r="Z41" s="296">
        <f t="shared" si="2"/>
        <v>1</v>
      </c>
      <c r="AA41" s="85">
        <v>57461216</v>
      </c>
      <c r="AB41" s="85" t="s">
        <v>6512</v>
      </c>
      <c r="AC41" s="290" t="s">
        <v>196</v>
      </c>
      <c r="AD41" s="290" t="s">
        <v>196</v>
      </c>
      <c r="AE41" s="236"/>
      <c r="AF41" s="85" t="s">
        <v>6537</v>
      </c>
      <c r="AG41" s="290" t="s">
        <v>192</v>
      </c>
      <c r="AH41" s="290" t="s">
        <v>192</v>
      </c>
    </row>
    <row r="42" spans="1:34" s="297" customFormat="1" ht="15" customHeight="1" x14ac:dyDescent="0.25">
      <c r="A42" s="289">
        <v>891780111</v>
      </c>
      <c r="B42" s="289" t="s">
        <v>54</v>
      </c>
      <c r="C42" s="290" t="s">
        <v>56</v>
      </c>
      <c r="D42" s="289" t="s">
        <v>60</v>
      </c>
      <c r="E42" s="290" t="s">
        <v>6538</v>
      </c>
      <c r="F42" s="289" t="s">
        <v>61</v>
      </c>
      <c r="G42" s="85" t="s">
        <v>63</v>
      </c>
      <c r="H42" s="85" t="s">
        <v>73</v>
      </c>
      <c r="I42" s="237">
        <v>10387000</v>
      </c>
      <c r="J42" s="290">
        <v>1</v>
      </c>
      <c r="K42" s="291">
        <v>886000</v>
      </c>
      <c r="L42" s="291"/>
      <c r="M42" s="292">
        <f t="shared" si="0"/>
        <v>11273000</v>
      </c>
      <c r="N42" s="85">
        <v>7144181</v>
      </c>
      <c r="O42" s="85" t="s">
        <v>6539</v>
      </c>
      <c r="P42" s="85" t="s">
        <v>6540</v>
      </c>
      <c r="Q42" s="293">
        <v>44949</v>
      </c>
      <c r="R42" s="293">
        <v>44949</v>
      </c>
      <c r="S42" s="293">
        <v>45093</v>
      </c>
      <c r="T42" s="293"/>
      <c r="U42" s="293"/>
      <c r="V42" s="293"/>
      <c r="W42" s="294">
        <v>45107</v>
      </c>
      <c r="X42" s="237">
        <v>9373000</v>
      </c>
      <c r="Y42" s="295">
        <f t="shared" si="1"/>
        <v>1900000</v>
      </c>
      <c r="Z42" s="296">
        <f t="shared" si="2"/>
        <v>0.83145569058813096</v>
      </c>
      <c r="AA42" s="85">
        <v>85459497</v>
      </c>
      <c r="AB42" s="85" t="s">
        <v>4837</v>
      </c>
      <c r="AC42" s="290" t="s">
        <v>196</v>
      </c>
      <c r="AD42" s="290" t="s">
        <v>196</v>
      </c>
      <c r="AE42" s="236"/>
      <c r="AF42" s="85" t="s">
        <v>6541</v>
      </c>
      <c r="AG42" s="290" t="s">
        <v>192</v>
      </c>
      <c r="AH42" s="290" t="s">
        <v>192</v>
      </c>
    </row>
    <row r="43" spans="1:34" s="297" customFormat="1" ht="15" customHeight="1" x14ac:dyDescent="0.25">
      <c r="A43" s="289">
        <v>891780111</v>
      </c>
      <c r="B43" s="289" t="s">
        <v>54</v>
      </c>
      <c r="C43" s="290" t="s">
        <v>56</v>
      </c>
      <c r="D43" s="289" t="s">
        <v>60</v>
      </c>
      <c r="E43" s="290" t="s">
        <v>6542</v>
      </c>
      <c r="F43" s="289" t="s">
        <v>61</v>
      </c>
      <c r="G43" s="85" t="s">
        <v>63</v>
      </c>
      <c r="H43" s="85" t="s">
        <v>73</v>
      </c>
      <c r="I43" s="237">
        <v>16093000</v>
      </c>
      <c r="J43" s="290">
        <v>1</v>
      </c>
      <c r="K43" s="291">
        <v>2607000</v>
      </c>
      <c r="L43" s="291"/>
      <c r="M43" s="292">
        <f t="shared" si="0"/>
        <v>18700000</v>
      </c>
      <c r="N43" s="85">
        <v>1079933607</v>
      </c>
      <c r="O43" s="85" t="s">
        <v>6543</v>
      </c>
      <c r="P43" s="85" t="s">
        <v>6544</v>
      </c>
      <c r="Q43" s="293">
        <v>44949</v>
      </c>
      <c r="R43" s="293">
        <v>44949</v>
      </c>
      <c r="S43" s="293">
        <v>45084</v>
      </c>
      <c r="T43" s="293"/>
      <c r="U43" s="293"/>
      <c r="V43" s="293"/>
      <c r="W43" s="294">
        <v>45107</v>
      </c>
      <c r="X43" s="237">
        <v>18700000</v>
      </c>
      <c r="Y43" s="295">
        <f t="shared" si="1"/>
        <v>0</v>
      </c>
      <c r="Z43" s="296">
        <f t="shared" si="2"/>
        <v>1</v>
      </c>
      <c r="AA43" s="85">
        <v>12539351</v>
      </c>
      <c r="AB43" s="85" t="s">
        <v>6545</v>
      </c>
      <c r="AC43" s="290" t="s">
        <v>196</v>
      </c>
      <c r="AD43" s="290" t="s">
        <v>196</v>
      </c>
      <c r="AE43" s="236"/>
      <c r="AF43" s="85" t="s">
        <v>6546</v>
      </c>
      <c r="AG43" s="290" t="s">
        <v>192</v>
      </c>
      <c r="AH43" s="290" t="s">
        <v>192</v>
      </c>
    </row>
    <row r="44" spans="1:34" s="297" customFormat="1" ht="15" customHeight="1" x14ac:dyDescent="0.25">
      <c r="A44" s="289">
        <v>891780111</v>
      </c>
      <c r="B44" s="289" t="s">
        <v>54</v>
      </c>
      <c r="C44" s="290" t="s">
        <v>56</v>
      </c>
      <c r="D44" s="289" t="s">
        <v>60</v>
      </c>
      <c r="E44" s="290" t="s">
        <v>6547</v>
      </c>
      <c r="F44" s="289" t="s">
        <v>61</v>
      </c>
      <c r="G44" s="85" t="s">
        <v>63</v>
      </c>
      <c r="H44" s="85" t="s">
        <v>73</v>
      </c>
      <c r="I44" s="237">
        <v>10387000</v>
      </c>
      <c r="J44" s="290">
        <v>1</v>
      </c>
      <c r="K44" s="291">
        <v>886000</v>
      </c>
      <c r="L44" s="291"/>
      <c r="M44" s="292">
        <f t="shared" si="0"/>
        <v>11273000</v>
      </c>
      <c r="N44" s="85">
        <v>85455874</v>
      </c>
      <c r="O44" s="85" t="s">
        <v>6548</v>
      </c>
      <c r="P44" s="85" t="s">
        <v>6540</v>
      </c>
      <c r="Q44" s="293">
        <v>44949</v>
      </c>
      <c r="R44" s="293">
        <v>44949</v>
      </c>
      <c r="S44" s="293">
        <v>45093</v>
      </c>
      <c r="T44" s="293"/>
      <c r="U44" s="293"/>
      <c r="V44" s="293"/>
      <c r="W44" s="294">
        <v>45107</v>
      </c>
      <c r="X44" s="237">
        <v>11273000</v>
      </c>
      <c r="Y44" s="295">
        <f t="shared" si="1"/>
        <v>0</v>
      </c>
      <c r="Z44" s="296">
        <f t="shared" si="2"/>
        <v>1</v>
      </c>
      <c r="AA44" s="85">
        <v>85459497</v>
      </c>
      <c r="AB44" s="85" t="s">
        <v>4837</v>
      </c>
      <c r="AC44" s="290" t="s">
        <v>196</v>
      </c>
      <c r="AD44" s="290" t="s">
        <v>196</v>
      </c>
      <c r="AE44" s="236"/>
      <c r="AF44" s="85" t="s">
        <v>6549</v>
      </c>
      <c r="AG44" s="290" t="s">
        <v>192</v>
      </c>
      <c r="AH44" s="290" t="s">
        <v>192</v>
      </c>
    </row>
    <row r="45" spans="1:34" s="297" customFormat="1" ht="15" customHeight="1" x14ac:dyDescent="0.25">
      <c r="A45" s="289">
        <v>891780111</v>
      </c>
      <c r="B45" s="289" t="s">
        <v>54</v>
      </c>
      <c r="C45" s="290" t="s">
        <v>56</v>
      </c>
      <c r="D45" s="289" t="s">
        <v>60</v>
      </c>
      <c r="E45" s="290" t="s">
        <v>6550</v>
      </c>
      <c r="F45" s="289" t="s">
        <v>61</v>
      </c>
      <c r="G45" s="85" t="s">
        <v>63</v>
      </c>
      <c r="H45" s="85" t="s">
        <v>73</v>
      </c>
      <c r="I45" s="237">
        <v>17040000</v>
      </c>
      <c r="J45" s="290">
        <v>1</v>
      </c>
      <c r="K45" s="291">
        <v>2760000</v>
      </c>
      <c r="L45" s="291"/>
      <c r="M45" s="292">
        <f t="shared" si="0"/>
        <v>19800000</v>
      </c>
      <c r="N45" s="85">
        <v>85472840</v>
      </c>
      <c r="O45" s="85" t="s">
        <v>6551</v>
      </c>
      <c r="P45" s="85" t="s">
        <v>6552</v>
      </c>
      <c r="Q45" s="293">
        <v>44949</v>
      </c>
      <c r="R45" s="293">
        <v>44949</v>
      </c>
      <c r="S45" s="293">
        <v>45084</v>
      </c>
      <c r="T45" s="293"/>
      <c r="U45" s="293"/>
      <c r="V45" s="293"/>
      <c r="W45" s="294">
        <v>45107</v>
      </c>
      <c r="X45" s="237">
        <v>19800000</v>
      </c>
      <c r="Y45" s="295">
        <f t="shared" si="1"/>
        <v>0</v>
      </c>
      <c r="Z45" s="296">
        <f t="shared" si="2"/>
        <v>1</v>
      </c>
      <c r="AA45" s="85">
        <v>85449357</v>
      </c>
      <c r="AB45" s="85" t="s">
        <v>6553</v>
      </c>
      <c r="AC45" s="290" t="s">
        <v>196</v>
      </c>
      <c r="AD45" s="290" t="s">
        <v>196</v>
      </c>
      <c r="AE45" s="236"/>
      <c r="AF45" s="85" t="s">
        <v>6554</v>
      </c>
      <c r="AG45" s="290" t="s">
        <v>192</v>
      </c>
      <c r="AH45" s="290" t="s">
        <v>192</v>
      </c>
    </row>
    <row r="46" spans="1:34" s="297" customFormat="1" ht="15" customHeight="1" x14ac:dyDescent="0.25">
      <c r="A46" s="289">
        <v>891780111</v>
      </c>
      <c r="B46" s="289" t="s">
        <v>54</v>
      </c>
      <c r="C46" s="290" t="s">
        <v>56</v>
      </c>
      <c r="D46" s="289" t="s">
        <v>60</v>
      </c>
      <c r="E46" s="290" t="s">
        <v>6555</v>
      </c>
      <c r="F46" s="289" t="s">
        <v>61</v>
      </c>
      <c r="G46" s="85" t="s">
        <v>63</v>
      </c>
      <c r="H46" s="85" t="s">
        <v>73</v>
      </c>
      <c r="I46" s="237">
        <v>20353000</v>
      </c>
      <c r="J46" s="290">
        <v>1</v>
      </c>
      <c r="K46" s="291"/>
      <c r="L46" s="291">
        <v>15766000</v>
      </c>
      <c r="M46" s="292">
        <f t="shared" si="0"/>
        <v>4587000</v>
      </c>
      <c r="N46" s="85">
        <v>1004188433</v>
      </c>
      <c r="O46" s="85" t="s">
        <v>6556</v>
      </c>
      <c r="P46" s="85" t="s">
        <v>6557</v>
      </c>
      <c r="Q46" s="293">
        <v>44949</v>
      </c>
      <c r="R46" s="293">
        <v>44949</v>
      </c>
      <c r="S46" s="293">
        <v>45084</v>
      </c>
      <c r="T46" s="293"/>
      <c r="U46" s="293"/>
      <c r="V46" s="293"/>
      <c r="W46" s="294">
        <v>44974</v>
      </c>
      <c r="X46" s="237">
        <v>4587000</v>
      </c>
      <c r="Y46" s="295">
        <f t="shared" si="1"/>
        <v>0</v>
      </c>
      <c r="Z46" s="296">
        <f t="shared" si="2"/>
        <v>1</v>
      </c>
      <c r="AA46" s="85">
        <v>85449357</v>
      </c>
      <c r="AB46" s="85" t="s">
        <v>6553</v>
      </c>
      <c r="AC46" s="290" t="s">
        <v>196</v>
      </c>
      <c r="AD46" s="290" t="s">
        <v>196</v>
      </c>
      <c r="AE46" s="236"/>
      <c r="AF46" s="85" t="s">
        <v>6558</v>
      </c>
      <c r="AG46" s="290" t="s">
        <v>192</v>
      </c>
      <c r="AH46" s="290" t="s">
        <v>192</v>
      </c>
    </row>
    <row r="47" spans="1:34" s="297" customFormat="1" ht="15" customHeight="1" x14ac:dyDescent="0.25">
      <c r="A47" s="289">
        <v>891780111</v>
      </c>
      <c r="B47" s="289" t="s">
        <v>54</v>
      </c>
      <c r="C47" s="290" t="s">
        <v>56</v>
      </c>
      <c r="D47" s="289" t="s">
        <v>60</v>
      </c>
      <c r="E47" s="290" t="s">
        <v>6559</v>
      </c>
      <c r="F47" s="289" t="s">
        <v>61</v>
      </c>
      <c r="G47" s="85" t="s">
        <v>63</v>
      </c>
      <c r="H47" s="85" t="s">
        <v>73</v>
      </c>
      <c r="I47" s="237">
        <v>9437000</v>
      </c>
      <c r="J47" s="290">
        <v>1</v>
      </c>
      <c r="K47" s="291">
        <v>886000</v>
      </c>
      <c r="L47" s="291"/>
      <c r="M47" s="292">
        <f t="shared" si="0"/>
        <v>10323000</v>
      </c>
      <c r="N47" s="85">
        <v>36548123</v>
      </c>
      <c r="O47" s="85" t="s">
        <v>6560</v>
      </c>
      <c r="P47" s="85" t="s">
        <v>6561</v>
      </c>
      <c r="Q47" s="293">
        <v>44949</v>
      </c>
      <c r="R47" s="293">
        <v>44949</v>
      </c>
      <c r="S47" s="293">
        <v>45093</v>
      </c>
      <c r="T47" s="293"/>
      <c r="U47" s="293"/>
      <c r="V47" s="293"/>
      <c r="W47" s="294">
        <v>45107</v>
      </c>
      <c r="X47" s="237">
        <v>10323000</v>
      </c>
      <c r="Y47" s="295">
        <f t="shared" si="1"/>
        <v>0</v>
      </c>
      <c r="Z47" s="296">
        <f t="shared" si="2"/>
        <v>1</v>
      </c>
      <c r="AA47" s="85">
        <v>57400977</v>
      </c>
      <c r="AB47" s="85" t="s">
        <v>6562</v>
      </c>
      <c r="AC47" s="290" t="s">
        <v>196</v>
      </c>
      <c r="AD47" s="290" t="s">
        <v>196</v>
      </c>
      <c r="AE47" s="236"/>
      <c r="AF47" s="85" t="s">
        <v>6563</v>
      </c>
      <c r="AG47" s="290" t="s">
        <v>192</v>
      </c>
      <c r="AH47" s="290" t="s">
        <v>192</v>
      </c>
    </row>
    <row r="48" spans="1:34" s="297" customFormat="1" ht="15" customHeight="1" x14ac:dyDescent="0.25">
      <c r="A48" s="289">
        <v>891780111</v>
      </c>
      <c r="B48" s="289" t="s">
        <v>54</v>
      </c>
      <c r="C48" s="290" t="s">
        <v>56</v>
      </c>
      <c r="D48" s="289" t="s">
        <v>60</v>
      </c>
      <c r="E48" s="290" t="s">
        <v>6564</v>
      </c>
      <c r="F48" s="289" t="s">
        <v>61</v>
      </c>
      <c r="G48" s="85" t="s">
        <v>63</v>
      </c>
      <c r="H48" s="85" t="s">
        <v>73</v>
      </c>
      <c r="I48" s="237">
        <v>18933000</v>
      </c>
      <c r="J48" s="290">
        <v>1</v>
      </c>
      <c r="K48" s="291">
        <v>3067000</v>
      </c>
      <c r="L48" s="291"/>
      <c r="M48" s="292">
        <f t="shared" si="0"/>
        <v>22000000</v>
      </c>
      <c r="N48" s="85">
        <v>1083000350</v>
      </c>
      <c r="O48" s="85" t="s">
        <v>6565</v>
      </c>
      <c r="P48" s="85" t="s">
        <v>6566</v>
      </c>
      <c r="Q48" s="293">
        <v>44949</v>
      </c>
      <c r="R48" s="293">
        <v>44949</v>
      </c>
      <c r="S48" s="293">
        <v>45084</v>
      </c>
      <c r="T48" s="293"/>
      <c r="U48" s="293"/>
      <c r="V48" s="293"/>
      <c r="W48" s="294">
        <v>45107</v>
      </c>
      <c r="X48" s="237">
        <v>22000000</v>
      </c>
      <c r="Y48" s="295">
        <f t="shared" si="1"/>
        <v>0</v>
      </c>
      <c r="Z48" s="296">
        <f t="shared" si="2"/>
        <v>1</v>
      </c>
      <c r="AA48" s="85">
        <v>85449357</v>
      </c>
      <c r="AB48" s="85" t="s">
        <v>6553</v>
      </c>
      <c r="AC48" s="290" t="s">
        <v>196</v>
      </c>
      <c r="AD48" s="290" t="s">
        <v>196</v>
      </c>
      <c r="AE48" s="236"/>
      <c r="AF48" s="85" t="s">
        <v>6567</v>
      </c>
      <c r="AG48" s="290" t="s">
        <v>192</v>
      </c>
      <c r="AH48" s="290" t="s">
        <v>192</v>
      </c>
    </row>
    <row r="49" spans="1:34" s="297" customFormat="1" ht="15" customHeight="1" x14ac:dyDescent="0.25">
      <c r="A49" s="289">
        <v>891780111</v>
      </c>
      <c r="B49" s="289" t="s">
        <v>54</v>
      </c>
      <c r="C49" s="290" t="s">
        <v>56</v>
      </c>
      <c r="D49" s="289" t="s">
        <v>60</v>
      </c>
      <c r="E49" s="290" t="s">
        <v>6568</v>
      </c>
      <c r="F49" s="289" t="s">
        <v>61</v>
      </c>
      <c r="G49" s="85" t="s">
        <v>63</v>
      </c>
      <c r="H49" s="85" t="s">
        <v>73</v>
      </c>
      <c r="I49" s="237">
        <v>30500000</v>
      </c>
      <c r="J49" s="290">
        <v>1</v>
      </c>
      <c r="K49" s="291">
        <v>2847000</v>
      </c>
      <c r="L49" s="291"/>
      <c r="M49" s="292">
        <f t="shared" si="0"/>
        <v>33347000</v>
      </c>
      <c r="N49" s="85">
        <v>12564024</v>
      </c>
      <c r="O49" s="85" t="s">
        <v>6569</v>
      </c>
      <c r="P49" s="85" t="s">
        <v>6570</v>
      </c>
      <c r="Q49" s="293">
        <v>44949</v>
      </c>
      <c r="R49" s="293">
        <v>44949</v>
      </c>
      <c r="S49" s="293">
        <v>45093</v>
      </c>
      <c r="T49" s="293"/>
      <c r="U49" s="293"/>
      <c r="V49" s="293"/>
      <c r="W49" s="294">
        <v>45107</v>
      </c>
      <c r="X49" s="237">
        <v>33347000</v>
      </c>
      <c r="Y49" s="295">
        <f t="shared" si="1"/>
        <v>0</v>
      </c>
      <c r="Z49" s="296">
        <f t="shared" si="2"/>
        <v>1</v>
      </c>
      <c r="AA49" s="85">
        <v>12621405</v>
      </c>
      <c r="AB49" s="85" t="s">
        <v>6396</v>
      </c>
      <c r="AC49" s="290" t="s">
        <v>196</v>
      </c>
      <c r="AD49" s="290" t="s">
        <v>196</v>
      </c>
      <c r="AE49" s="236"/>
      <c r="AF49" s="85" t="s">
        <v>6571</v>
      </c>
      <c r="AG49" s="290" t="s">
        <v>192</v>
      </c>
      <c r="AH49" s="290" t="s">
        <v>192</v>
      </c>
    </row>
    <row r="50" spans="1:34" s="297" customFormat="1" ht="15" customHeight="1" x14ac:dyDescent="0.25">
      <c r="A50" s="289">
        <v>891780111</v>
      </c>
      <c r="B50" s="289" t="s">
        <v>54</v>
      </c>
      <c r="C50" s="290" t="s">
        <v>56</v>
      </c>
      <c r="D50" s="289" t="s">
        <v>60</v>
      </c>
      <c r="E50" s="290" t="s">
        <v>6572</v>
      </c>
      <c r="F50" s="289" t="s">
        <v>61</v>
      </c>
      <c r="G50" s="85" t="s">
        <v>63</v>
      </c>
      <c r="H50" s="85" t="s">
        <v>73</v>
      </c>
      <c r="I50" s="237">
        <v>17513000</v>
      </c>
      <c r="J50" s="290">
        <v>1</v>
      </c>
      <c r="K50" s="291">
        <v>2837000</v>
      </c>
      <c r="L50" s="291"/>
      <c r="M50" s="292">
        <f t="shared" si="0"/>
        <v>20350000</v>
      </c>
      <c r="N50" s="85">
        <v>1083553861</v>
      </c>
      <c r="O50" s="85" t="s">
        <v>6573</v>
      </c>
      <c r="P50" s="85" t="s">
        <v>6574</v>
      </c>
      <c r="Q50" s="293">
        <v>44949</v>
      </c>
      <c r="R50" s="293">
        <v>44949</v>
      </c>
      <c r="S50" s="293">
        <v>45084</v>
      </c>
      <c r="T50" s="293"/>
      <c r="U50" s="293"/>
      <c r="V50" s="293"/>
      <c r="W50" s="294">
        <v>45107</v>
      </c>
      <c r="X50" s="237">
        <v>20350000</v>
      </c>
      <c r="Y50" s="295">
        <f t="shared" si="1"/>
        <v>0</v>
      </c>
      <c r="Z50" s="296">
        <f t="shared" si="2"/>
        <v>1</v>
      </c>
      <c r="AA50" s="85">
        <v>85449357</v>
      </c>
      <c r="AB50" s="85" t="s">
        <v>6553</v>
      </c>
      <c r="AC50" s="290" t="s">
        <v>196</v>
      </c>
      <c r="AD50" s="290" t="s">
        <v>196</v>
      </c>
      <c r="AE50" s="236"/>
      <c r="AF50" s="85" t="s">
        <v>6575</v>
      </c>
      <c r="AG50" s="290" t="s">
        <v>192</v>
      </c>
      <c r="AH50" s="290" t="s">
        <v>192</v>
      </c>
    </row>
    <row r="51" spans="1:34" s="297" customFormat="1" ht="15" customHeight="1" x14ac:dyDescent="0.25">
      <c r="A51" s="289">
        <v>891780111</v>
      </c>
      <c r="B51" s="289" t="s">
        <v>54</v>
      </c>
      <c r="C51" s="290" t="s">
        <v>56</v>
      </c>
      <c r="D51" s="289" t="s">
        <v>60</v>
      </c>
      <c r="E51" s="290" t="s">
        <v>6576</v>
      </c>
      <c r="F51" s="289" t="s">
        <v>61</v>
      </c>
      <c r="G51" s="85" t="s">
        <v>63</v>
      </c>
      <c r="H51" s="85" t="s">
        <v>73</v>
      </c>
      <c r="I51" s="237">
        <v>19780000</v>
      </c>
      <c r="J51" s="290">
        <v>1</v>
      </c>
      <c r="K51" s="291">
        <v>3727000</v>
      </c>
      <c r="L51" s="291"/>
      <c r="M51" s="292">
        <f t="shared" si="0"/>
        <v>23507000</v>
      </c>
      <c r="N51" s="85">
        <v>18491956</v>
      </c>
      <c r="O51" s="85" t="s">
        <v>6577</v>
      </c>
      <c r="P51" s="85" t="s">
        <v>6578</v>
      </c>
      <c r="Q51" s="293">
        <v>44949</v>
      </c>
      <c r="R51" s="293">
        <v>44949</v>
      </c>
      <c r="S51" s="293">
        <v>45081</v>
      </c>
      <c r="T51" s="293"/>
      <c r="U51" s="293"/>
      <c r="V51" s="293"/>
      <c r="W51" s="294">
        <v>45107</v>
      </c>
      <c r="X51" s="237">
        <v>23507000</v>
      </c>
      <c r="Y51" s="295">
        <f t="shared" si="1"/>
        <v>0</v>
      </c>
      <c r="Z51" s="296">
        <f t="shared" si="2"/>
        <v>1</v>
      </c>
      <c r="AA51" s="85">
        <v>12621405</v>
      </c>
      <c r="AB51" s="85" t="s">
        <v>6396</v>
      </c>
      <c r="AC51" s="290" t="s">
        <v>196</v>
      </c>
      <c r="AD51" s="290" t="s">
        <v>196</v>
      </c>
      <c r="AE51" s="236"/>
      <c r="AF51" s="85" t="s">
        <v>6579</v>
      </c>
      <c r="AG51" s="290" t="s">
        <v>192</v>
      </c>
      <c r="AH51" s="290" t="s">
        <v>192</v>
      </c>
    </row>
    <row r="52" spans="1:34" s="297" customFormat="1" ht="15" customHeight="1" x14ac:dyDescent="0.25">
      <c r="A52" s="289">
        <v>891780111</v>
      </c>
      <c r="B52" s="289" t="s">
        <v>54</v>
      </c>
      <c r="C52" s="290" t="s">
        <v>56</v>
      </c>
      <c r="D52" s="289" t="s">
        <v>60</v>
      </c>
      <c r="E52" s="290" t="s">
        <v>6580</v>
      </c>
      <c r="F52" s="289" t="s">
        <v>61</v>
      </c>
      <c r="G52" s="85" t="s">
        <v>63</v>
      </c>
      <c r="H52" s="85" t="s">
        <v>73</v>
      </c>
      <c r="I52" s="237">
        <v>10927000</v>
      </c>
      <c r="J52" s="290">
        <v>1</v>
      </c>
      <c r="K52" s="291">
        <v>1026000.0000000001</v>
      </c>
      <c r="L52" s="291"/>
      <c r="M52" s="292">
        <f t="shared" si="0"/>
        <v>11953000</v>
      </c>
      <c r="N52" s="85">
        <v>57444371</v>
      </c>
      <c r="O52" s="85" t="s">
        <v>6581</v>
      </c>
      <c r="P52" s="85" t="s">
        <v>6582</v>
      </c>
      <c r="Q52" s="293">
        <v>44949</v>
      </c>
      <c r="R52" s="293">
        <v>44949</v>
      </c>
      <c r="S52" s="293">
        <v>45093</v>
      </c>
      <c r="T52" s="293"/>
      <c r="U52" s="293"/>
      <c r="V52" s="293"/>
      <c r="W52" s="294">
        <v>45107</v>
      </c>
      <c r="X52" s="237">
        <v>11953000</v>
      </c>
      <c r="Y52" s="295">
        <f t="shared" si="1"/>
        <v>0</v>
      </c>
      <c r="Z52" s="296">
        <f t="shared" si="2"/>
        <v>1</v>
      </c>
      <c r="AA52" s="85">
        <v>57400977</v>
      </c>
      <c r="AB52" s="85" t="s">
        <v>6562</v>
      </c>
      <c r="AC52" s="290" t="s">
        <v>196</v>
      </c>
      <c r="AD52" s="290" t="s">
        <v>196</v>
      </c>
      <c r="AE52" s="236"/>
      <c r="AF52" s="85" t="s">
        <v>6583</v>
      </c>
      <c r="AG52" s="290" t="s">
        <v>192</v>
      </c>
      <c r="AH52" s="290" t="s">
        <v>192</v>
      </c>
    </row>
    <row r="53" spans="1:34" s="297" customFormat="1" ht="15" customHeight="1" x14ac:dyDescent="0.25">
      <c r="A53" s="289">
        <v>891780111</v>
      </c>
      <c r="B53" s="289" t="s">
        <v>54</v>
      </c>
      <c r="C53" s="290" t="s">
        <v>56</v>
      </c>
      <c r="D53" s="289" t="s">
        <v>60</v>
      </c>
      <c r="E53" s="290" t="s">
        <v>6584</v>
      </c>
      <c r="F53" s="289" t="s">
        <v>61</v>
      </c>
      <c r="G53" s="85" t="s">
        <v>63</v>
      </c>
      <c r="H53" s="85" t="s">
        <v>73</v>
      </c>
      <c r="I53" s="237">
        <v>10387000</v>
      </c>
      <c r="J53" s="290">
        <v>1</v>
      </c>
      <c r="K53" s="291">
        <v>886000</v>
      </c>
      <c r="L53" s="291"/>
      <c r="M53" s="292">
        <f t="shared" si="0"/>
        <v>11273000</v>
      </c>
      <c r="N53" s="85">
        <v>85466757</v>
      </c>
      <c r="O53" s="85" t="s">
        <v>6585</v>
      </c>
      <c r="P53" s="85" t="s">
        <v>6540</v>
      </c>
      <c r="Q53" s="293">
        <v>44949</v>
      </c>
      <c r="R53" s="293">
        <v>44949</v>
      </c>
      <c r="S53" s="293">
        <v>45093</v>
      </c>
      <c r="T53" s="293"/>
      <c r="U53" s="293"/>
      <c r="V53" s="293"/>
      <c r="W53" s="294">
        <v>45107</v>
      </c>
      <c r="X53" s="237">
        <v>11273000</v>
      </c>
      <c r="Y53" s="295">
        <f t="shared" si="1"/>
        <v>0</v>
      </c>
      <c r="Z53" s="296">
        <f t="shared" si="2"/>
        <v>1</v>
      </c>
      <c r="AA53" s="85">
        <v>85459497</v>
      </c>
      <c r="AB53" s="85" t="s">
        <v>4837</v>
      </c>
      <c r="AC53" s="290" t="s">
        <v>196</v>
      </c>
      <c r="AD53" s="290" t="s">
        <v>196</v>
      </c>
      <c r="AE53" s="236"/>
      <c r="AF53" s="85" t="s">
        <v>6586</v>
      </c>
      <c r="AG53" s="290" t="s">
        <v>192</v>
      </c>
      <c r="AH53" s="290" t="s">
        <v>192</v>
      </c>
    </row>
    <row r="54" spans="1:34" s="297" customFormat="1" ht="15" customHeight="1" x14ac:dyDescent="0.25">
      <c r="A54" s="289">
        <v>891780111</v>
      </c>
      <c r="B54" s="289" t="s">
        <v>54</v>
      </c>
      <c r="C54" s="290" t="s">
        <v>56</v>
      </c>
      <c r="D54" s="289" t="s">
        <v>60</v>
      </c>
      <c r="E54" s="290" t="s">
        <v>6587</v>
      </c>
      <c r="F54" s="289" t="s">
        <v>61</v>
      </c>
      <c r="G54" s="85" t="s">
        <v>63</v>
      </c>
      <c r="H54" s="85" t="s">
        <v>73</v>
      </c>
      <c r="I54" s="237">
        <v>10387000</v>
      </c>
      <c r="J54" s="290"/>
      <c r="K54" s="291"/>
      <c r="L54" s="291"/>
      <c r="M54" s="292">
        <f t="shared" si="0"/>
        <v>10387000</v>
      </c>
      <c r="N54" s="85">
        <v>7631755</v>
      </c>
      <c r="O54" s="85" t="s">
        <v>6588</v>
      </c>
      <c r="P54" s="85" t="s">
        <v>6540</v>
      </c>
      <c r="Q54" s="293">
        <v>44949</v>
      </c>
      <c r="R54" s="293">
        <v>44949</v>
      </c>
      <c r="S54" s="293">
        <v>45093</v>
      </c>
      <c r="T54" s="293"/>
      <c r="U54" s="293"/>
      <c r="V54" s="293"/>
      <c r="W54" s="294"/>
      <c r="X54" s="237">
        <v>10387000</v>
      </c>
      <c r="Y54" s="295">
        <f t="shared" si="1"/>
        <v>0</v>
      </c>
      <c r="Z54" s="296">
        <f t="shared" si="2"/>
        <v>1</v>
      </c>
      <c r="AA54" s="85">
        <v>85459497</v>
      </c>
      <c r="AB54" s="85" t="s">
        <v>4837</v>
      </c>
      <c r="AC54" s="290" t="s">
        <v>196</v>
      </c>
      <c r="AD54" s="290" t="s">
        <v>196</v>
      </c>
      <c r="AE54" s="236"/>
      <c r="AF54" s="85" t="s">
        <v>6589</v>
      </c>
      <c r="AG54" s="290" t="s">
        <v>192</v>
      </c>
      <c r="AH54" s="290" t="s">
        <v>192</v>
      </c>
    </row>
    <row r="55" spans="1:34" s="297" customFormat="1" ht="15" customHeight="1" x14ac:dyDescent="0.25">
      <c r="A55" s="289">
        <v>891780111</v>
      </c>
      <c r="B55" s="289" t="s">
        <v>54</v>
      </c>
      <c r="C55" s="290" t="s">
        <v>56</v>
      </c>
      <c r="D55" s="289" t="s">
        <v>60</v>
      </c>
      <c r="E55" s="290" t="s">
        <v>6590</v>
      </c>
      <c r="F55" s="289" t="s">
        <v>61</v>
      </c>
      <c r="G55" s="85" t="s">
        <v>63</v>
      </c>
      <c r="H55" s="85" t="s">
        <v>73</v>
      </c>
      <c r="I55" s="237">
        <v>20000000</v>
      </c>
      <c r="J55" s="290"/>
      <c r="K55" s="291">
        <v>1866999.9999999998</v>
      </c>
      <c r="L55" s="291"/>
      <c r="M55" s="292">
        <f t="shared" si="0"/>
        <v>21867000</v>
      </c>
      <c r="N55" s="85">
        <v>39057134</v>
      </c>
      <c r="O55" s="85" t="s">
        <v>6591</v>
      </c>
      <c r="P55" s="85" t="s">
        <v>6592</v>
      </c>
      <c r="Q55" s="293">
        <v>44949</v>
      </c>
      <c r="R55" s="293">
        <v>44949</v>
      </c>
      <c r="S55" s="293">
        <v>45093</v>
      </c>
      <c r="T55" s="293"/>
      <c r="U55" s="293"/>
      <c r="V55" s="293"/>
      <c r="W55" s="294">
        <v>45107</v>
      </c>
      <c r="X55" s="237">
        <v>21867000</v>
      </c>
      <c r="Y55" s="295">
        <f t="shared" si="1"/>
        <v>0</v>
      </c>
      <c r="Z55" s="296">
        <f t="shared" si="2"/>
        <v>1</v>
      </c>
      <c r="AA55" s="85">
        <v>12621405</v>
      </c>
      <c r="AB55" s="85" t="s">
        <v>6396</v>
      </c>
      <c r="AC55" s="290" t="s">
        <v>196</v>
      </c>
      <c r="AD55" s="290" t="s">
        <v>196</v>
      </c>
      <c r="AE55" s="236"/>
      <c r="AF55" s="85" t="s">
        <v>6593</v>
      </c>
      <c r="AG55" s="290" t="s">
        <v>192</v>
      </c>
      <c r="AH55" s="290" t="s">
        <v>192</v>
      </c>
    </row>
    <row r="56" spans="1:34" s="297" customFormat="1" ht="15" customHeight="1" x14ac:dyDescent="0.25">
      <c r="A56" s="289">
        <v>891780111</v>
      </c>
      <c r="B56" s="289" t="s">
        <v>54</v>
      </c>
      <c r="C56" s="290" t="s">
        <v>56</v>
      </c>
      <c r="D56" s="289" t="s">
        <v>60</v>
      </c>
      <c r="E56" s="290" t="s">
        <v>6594</v>
      </c>
      <c r="F56" s="289" t="s">
        <v>61</v>
      </c>
      <c r="G56" s="85" t="s">
        <v>63</v>
      </c>
      <c r="H56" s="85" t="s">
        <v>73</v>
      </c>
      <c r="I56" s="237">
        <v>17000000</v>
      </c>
      <c r="J56" s="290"/>
      <c r="K56" s="291">
        <v>1587000</v>
      </c>
      <c r="L56" s="291"/>
      <c r="M56" s="292">
        <f t="shared" si="0"/>
        <v>18587000</v>
      </c>
      <c r="N56" s="85">
        <v>1083009761</v>
      </c>
      <c r="O56" s="85" t="s">
        <v>6595</v>
      </c>
      <c r="P56" s="85" t="s">
        <v>6596</v>
      </c>
      <c r="Q56" s="293">
        <v>44949</v>
      </c>
      <c r="R56" s="293">
        <v>44949</v>
      </c>
      <c r="S56" s="293">
        <v>45093</v>
      </c>
      <c r="T56" s="293"/>
      <c r="U56" s="293"/>
      <c r="V56" s="293"/>
      <c r="W56" s="294">
        <v>45107</v>
      </c>
      <c r="X56" s="237">
        <v>18587000</v>
      </c>
      <c r="Y56" s="295">
        <f t="shared" si="1"/>
        <v>0</v>
      </c>
      <c r="Z56" s="296">
        <f t="shared" si="2"/>
        <v>1</v>
      </c>
      <c r="AA56" s="85">
        <v>12621405</v>
      </c>
      <c r="AB56" s="85" t="s">
        <v>6396</v>
      </c>
      <c r="AC56" s="290" t="s">
        <v>196</v>
      </c>
      <c r="AD56" s="290" t="s">
        <v>196</v>
      </c>
      <c r="AE56" s="236"/>
      <c r="AF56" s="85" t="s">
        <v>6597</v>
      </c>
      <c r="AG56" s="290" t="s">
        <v>192</v>
      </c>
      <c r="AH56" s="290" t="s">
        <v>192</v>
      </c>
    </row>
    <row r="57" spans="1:34" s="297" customFormat="1" ht="15" customHeight="1" x14ac:dyDescent="0.25">
      <c r="A57" s="289">
        <v>891780111</v>
      </c>
      <c r="B57" s="289" t="s">
        <v>54</v>
      </c>
      <c r="C57" s="290" t="s">
        <v>56</v>
      </c>
      <c r="D57" s="289" t="s">
        <v>60</v>
      </c>
      <c r="E57" s="290" t="s">
        <v>6598</v>
      </c>
      <c r="F57" s="289" t="s">
        <v>61</v>
      </c>
      <c r="G57" s="85" t="s">
        <v>63</v>
      </c>
      <c r="H57" s="85" t="s">
        <v>73</v>
      </c>
      <c r="I57" s="237">
        <v>13160000</v>
      </c>
      <c r="J57" s="290">
        <v>2</v>
      </c>
      <c r="K57" s="291">
        <v>3453000</v>
      </c>
      <c r="L57" s="291"/>
      <c r="M57" s="292">
        <f t="shared" si="0"/>
        <v>16613000</v>
      </c>
      <c r="N57" s="85">
        <v>36720698</v>
      </c>
      <c r="O57" s="85" t="s">
        <v>6599</v>
      </c>
      <c r="P57" s="85" t="s">
        <v>6600</v>
      </c>
      <c r="Q57" s="293">
        <v>44949</v>
      </c>
      <c r="R57" s="293">
        <v>44949</v>
      </c>
      <c r="S57" s="293">
        <v>45069</v>
      </c>
      <c r="T57" s="293"/>
      <c r="U57" s="293"/>
      <c r="V57" s="293"/>
      <c r="W57" s="294">
        <v>45107</v>
      </c>
      <c r="X57" s="237">
        <v>16613000</v>
      </c>
      <c r="Y57" s="295">
        <f t="shared" si="1"/>
        <v>0</v>
      </c>
      <c r="Z57" s="296">
        <f t="shared" si="2"/>
        <v>1</v>
      </c>
      <c r="AA57" s="85">
        <v>84452087</v>
      </c>
      <c r="AB57" s="85" t="s">
        <v>6601</v>
      </c>
      <c r="AC57" s="290" t="s">
        <v>196</v>
      </c>
      <c r="AD57" s="290" t="s">
        <v>196</v>
      </c>
      <c r="AE57" s="236"/>
      <c r="AF57" s="85" t="s">
        <v>6602</v>
      </c>
      <c r="AG57" s="290" t="s">
        <v>192</v>
      </c>
      <c r="AH57" s="290" t="s">
        <v>192</v>
      </c>
    </row>
    <row r="58" spans="1:34" s="297" customFormat="1" ht="15" customHeight="1" x14ac:dyDescent="0.25">
      <c r="A58" s="289">
        <v>891780111</v>
      </c>
      <c r="B58" s="289" t="s">
        <v>54</v>
      </c>
      <c r="C58" s="290" t="s">
        <v>56</v>
      </c>
      <c r="D58" s="289" t="s">
        <v>60</v>
      </c>
      <c r="E58" s="290" t="s">
        <v>6603</v>
      </c>
      <c r="F58" s="289" t="s">
        <v>61</v>
      </c>
      <c r="G58" s="85" t="s">
        <v>63</v>
      </c>
      <c r="H58" s="85" t="s">
        <v>73</v>
      </c>
      <c r="I58" s="237">
        <v>11367000</v>
      </c>
      <c r="J58" s="290"/>
      <c r="K58" s="291">
        <v>1026000.0000000001</v>
      </c>
      <c r="L58" s="291"/>
      <c r="M58" s="292">
        <f t="shared" si="0"/>
        <v>12393000</v>
      </c>
      <c r="N58" s="85">
        <v>1082958221</v>
      </c>
      <c r="O58" s="85" t="s">
        <v>6604</v>
      </c>
      <c r="P58" s="85" t="s">
        <v>6605</v>
      </c>
      <c r="Q58" s="293">
        <v>44949</v>
      </c>
      <c r="R58" s="293">
        <v>44949</v>
      </c>
      <c r="S58" s="293">
        <v>45093</v>
      </c>
      <c r="T58" s="293"/>
      <c r="U58" s="293"/>
      <c r="V58" s="293"/>
      <c r="W58" s="294">
        <v>45107</v>
      </c>
      <c r="X58" s="237">
        <v>12393000</v>
      </c>
      <c r="Y58" s="295">
        <f t="shared" si="1"/>
        <v>0</v>
      </c>
      <c r="Z58" s="296">
        <f t="shared" si="2"/>
        <v>1</v>
      </c>
      <c r="AA58" s="85">
        <v>57400977</v>
      </c>
      <c r="AB58" s="85" t="s">
        <v>6562</v>
      </c>
      <c r="AC58" s="290" t="s">
        <v>196</v>
      </c>
      <c r="AD58" s="290" t="s">
        <v>196</v>
      </c>
      <c r="AE58" s="236"/>
      <c r="AF58" s="85" t="s">
        <v>6606</v>
      </c>
      <c r="AG58" s="290" t="s">
        <v>192</v>
      </c>
      <c r="AH58" s="290" t="s">
        <v>192</v>
      </c>
    </row>
    <row r="59" spans="1:34" s="297" customFormat="1" ht="15" customHeight="1" x14ac:dyDescent="0.25">
      <c r="A59" s="289">
        <v>891780111</v>
      </c>
      <c r="B59" s="289" t="s">
        <v>54</v>
      </c>
      <c r="C59" s="290" t="s">
        <v>56</v>
      </c>
      <c r="D59" s="289" t="s">
        <v>60</v>
      </c>
      <c r="E59" s="290" t="s">
        <v>6607</v>
      </c>
      <c r="F59" s="289" t="s">
        <v>61</v>
      </c>
      <c r="G59" s="85" t="s">
        <v>63</v>
      </c>
      <c r="H59" s="85" t="s">
        <v>73</v>
      </c>
      <c r="I59" s="237">
        <v>20000000</v>
      </c>
      <c r="J59" s="290"/>
      <c r="K59" s="291">
        <v>1866999.9999999998</v>
      </c>
      <c r="L59" s="291"/>
      <c r="M59" s="292">
        <f t="shared" si="0"/>
        <v>21867000</v>
      </c>
      <c r="N59" s="85">
        <v>1082961349</v>
      </c>
      <c r="O59" s="85" t="s">
        <v>6608</v>
      </c>
      <c r="P59" s="85" t="s">
        <v>6609</v>
      </c>
      <c r="Q59" s="293">
        <v>44949</v>
      </c>
      <c r="R59" s="293">
        <v>44949</v>
      </c>
      <c r="S59" s="293">
        <v>45093</v>
      </c>
      <c r="T59" s="293"/>
      <c r="U59" s="293"/>
      <c r="V59" s="293"/>
      <c r="W59" s="294">
        <v>45107</v>
      </c>
      <c r="X59" s="237">
        <v>21867000</v>
      </c>
      <c r="Y59" s="295">
        <f t="shared" si="1"/>
        <v>0</v>
      </c>
      <c r="Z59" s="296">
        <f t="shared" si="2"/>
        <v>1</v>
      </c>
      <c r="AA59" s="85">
        <v>12621405</v>
      </c>
      <c r="AB59" s="85" t="s">
        <v>6396</v>
      </c>
      <c r="AC59" s="290" t="s">
        <v>196</v>
      </c>
      <c r="AD59" s="290" t="s">
        <v>196</v>
      </c>
      <c r="AE59" s="236"/>
      <c r="AF59" s="85" t="s">
        <v>6610</v>
      </c>
      <c r="AG59" s="290" t="s">
        <v>192</v>
      </c>
      <c r="AH59" s="290" t="s">
        <v>192</v>
      </c>
    </row>
    <row r="60" spans="1:34" s="297" customFormat="1" ht="15" customHeight="1" x14ac:dyDescent="0.25">
      <c r="A60" s="289">
        <v>891780111</v>
      </c>
      <c r="B60" s="289" t="s">
        <v>54</v>
      </c>
      <c r="C60" s="290" t="s">
        <v>56</v>
      </c>
      <c r="D60" s="289" t="s">
        <v>60</v>
      </c>
      <c r="E60" s="290" t="s">
        <v>6611</v>
      </c>
      <c r="F60" s="289" t="s">
        <v>61</v>
      </c>
      <c r="G60" s="85" t="s">
        <v>63</v>
      </c>
      <c r="H60" s="85" t="s">
        <v>73</v>
      </c>
      <c r="I60" s="237">
        <v>15345000</v>
      </c>
      <c r="J60" s="290"/>
      <c r="K60" s="291">
        <v>1386000</v>
      </c>
      <c r="L60" s="291"/>
      <c r="M60" s="292">
        <f t="shared" si="0"/>
        <v>16731000</v>
      </c>
      <c r="N60" s="85">
        <v>57465032</v>
      </c>
      <c r="O60" s="85" t="s">
        <v>6612</v>
      </c>
      <c r="P60" s="85" t="s">
        <v>6613</v>
      </c>
      <c r="Q60" s="293">
        <v>44949</v>
      </c>
      <c r="R60" s="293">
        <v>44949</v>
      </c>
      <c r="S60" s="293">
        <v>45093</v>
      </c>
      <c r="T60" s="293"/>
      <c r="U60" s="293"/>
      <c r="V60" s="293"/>
      <c r="W60" s="294">
        <v>45107</v>
      </c>
      <c r="X60" s="237">
        <v>10791000</v>
      </c>
      <c r="Y60" s="295">
        <f t="shared" si="1"/>
        <v>5940000</v>
      </c>
      <c r="Z60" s="296">
        <f t="shared" si="2"/>
        <v>0.6449704142011834</v>
      </c>
      <c r="AA60" s="85">
        <v>57400977</v>
      </c>
      <c r="AB60" s="85" t="s">
        <v>6562</v>
      </c>
      <c r="AC60" s="290" t="s">
        <v>196</v>
      </c>
      <c r="AD60" s="290" t="s">
        <v>196</v>
      </c>
      <c r="AE60" s="236"/>
      <c r="AF60" s="85" t="s">
        <v>6614</v>
      </c>
      <c r="AG60" s="290" t="s">
        <v>192</v>
      </c>
      <c r="AH60" s="290" t="s">
        <v>192</v>
      </c>
    </row>
    <row r="61" spans="1:34" s="297" customFormat="1" ht="15" customHeight="1" x14ac:dyDescent="0.25">
      <c r="A61" s="289">
        <v>891780111</v>
      </c>
      <c r="B61" s="289" t="s">
        <v>54</v>
      </c>
      <c r="C61" s="290" t="s">
        <v>56</v>
      </c>
      <c r="D61" s="289" t="s">
        <v>60</v>
      </c>
      <c r="E61" s="290" t="s">
        <v>6615</v>
      </c>
      <c r="F61" s="289" t="s">
        <v>61</v>
      </c>
      <c r="G61" s="85" t="s">
        <v>63</v>
      </c>
      <c r="H61" s="85" t="s">
        <v>73</v>
      </c>
      <c r="I61" s="237">
        <v>8930000</v>
      </c>
      <c r="J61" s="290"/>
      <c r="K61" s="291">
        <v>570000</v>
      </c>
      <c r="L61" s="291"/>
      <c r="M61" s="292">
        <f t="shared" si="0"/>
        <v>9500000</v>
      </c>
      <c r="N61" s="85">
        <v>1081925361</v>
      </c>
      <c r="O61" s="85" t="s">
        <v>6616</v>
      </c>
      <c r="P61" s="85" t="s">
        <v>6617</v>
      </c>
      <c r="Q61" s="293">
        <v>44949</v>
      </c>
      <c r="R61" s="293">
        <v>44949</v>
      </c>
      <c r="S61" s="293">
        <v>45084</v>
      </c>
      <c r="T61" s="293"/>
      <c r="U61" s="293"/>
      <c r="V61" s="293"/>
      <c r="W61" s="294">
        <v>45093</v>
      </c>
      <c r="X61" s="237">
        <v>9500000</v>
      </c>
      <c r="Y61" s="295">
        <f t="shared" si="1"/>
        <v>0</v>
      </c>
      <c r="Z61" s="296">
        <f t="shared" si="2"/>
        <v>1</v>
      </c>
      <c r="AA61" s="85">
        <v>57444673</v>
      </c>
      <c r="AB61" s="85" t="s">
        <v>5370</v>
      </c>
      <c r="AC61" s="290" t="s">
        <v>196</v>
      </c>
      <c r="AD61" s="290" t="s">
        <v>196</v>
      </c>
      <c r="AE61" s="236"/>
      <c r="AF61" s="85" t="s">
        <v>6618</v>
      </c>
      <c r="AG61" s="290" t="s">
        <v>192</v>
      </c>
      <c r="AH61" s="290" t="s">
        <v>192</v>
      </c>
    </row>
    <row r="62" spans="1:34" s="297" customFormat="1" ht="15" customHeight="1" x14ac:dyDescent="0.25">
      <c r="A62" s="289">
        <v>891780111</v>
      </c>
      <c r="B62" s="289" t="s">
        <v>54</v>
      </c>
      <c r="C62" s="290" t="s">
        <v>56</v>
      </c>
      <c r="D62" s="289" t="s">
        <v>60</v>
      </c>
      <c r="E62" s="290" t="s">
        <v>6619</v>
      </c>
      <c r="F62" s="289" t="s">
        <v>61</v>
      </c>
      <c r="G62" s="85" t="s">
        <v>63</v>
      </c>
      <c r="H62" s="85" t="s">
        <v>73</v>
      </c>
      <c r="I62" s="237">
        <v>8930000</v>
      </c>
      <c r="J62" s="290"/>
      <c r="K62" s="291">
        <v>570000</v>
      </c>
      <c r="L62" s="291"/>
      <c r="M62" s="292">
        <f t="shared" si="0"/>
        <v>9500000</v>
      </c>
      <c r="N62" s="85">
        <v>1082946321</v>
      </c>
      <c r="O62" s="85" t="s">
        <v>372</v>
      </c>
      <c r="P62" s="85" t="s">
        <v>6617</v>
      </c>
      <c r="Q62" s="293">
        <v>44949</v>
      </c>
      <c r="R62" s="293">
        <v>44949</v>
      </c>
      <c r="S62" s="293">
        <v>45084</v>
      </c>
      <c r="T62" s="293"/>
      <c r="U62" s="293"/>
      <c r="V62" s="293"/>
      <c r="W62" s="294">
        <v>45093</v>
      </c>
      <c r="X62" s="237">
        <v>9500000</v>
      </c>
      <c r="Y62" s="295">
        <f t="shared" si="1"/>
        <v>0</v>
      </c>
      <c r="Z62" s="296">
        <f t="shared" si="2"/>
        <v>1</v>
      </c>
      <c r="AA62" s="85">
        <v>57444673</v>
      </c>
      <c r="AB62" s="85" t="s">
        <v>5370</v>
      </c>
      <c r="AC62" s="290" t="s">
        <v>196</v>
      </c>
      <c r="AD62" s="290" t="s">
        <v>196</v>
      </c>
      <c r="AE62" s="236"/>
      <c r="AF62" s="85" t="s">
        <v>6620</v>
      </c>
      <c r="AG62" s="290" t="s">
        <v>192</v>
      </c>
      <c r="AH62" s="290" t="s">
        <v>192</v>
      </c>
    </row>
    <row r="63" spans="1:34" s="297" customFormat="1" ht="15" customHeight="1" x14ac:dyDescent="0.25">
      <c r="A63" s="289">
        <v>891780111</v>
      </c>
      <c r="B63" s="289" t="s">
        <v>54</v>
      </c>
      <c r="C63" s="290" t="s">
        <v>56</v>
      </c>
      <c r="D63" s="289" t="s">
        <v>60</v>
      </c>
      <c r="E63" s="290" t="s">
        <v>6621</v>
      </c>
      <c r="F63" s="289" t="s">
        <v>61</v>
      </c>
      <c r="G63" s="85" t="s">
        <v>63</v>
      </c>
      <c r="H63" s="85" t="s">
        <v>73</v>
      </c>
      <c r="I63" s="237">
        <v>37750000</v>
      </c>
      <c r="J63" s="290"/>
      <c r="K63" s="291">
        <v>3500000</v>
      </c>
      <c r="L63" s="291"/>
      <c r="M63" s="292">
        <f t="shared" si="0"/>
        <v>41250000</v>
      </c>
      <c r="N63" s="85">
        <v>84458088</v>
      </c>
      <c r="O63" s="85" t="s">
        <v>6622</v>
      </c>
      <c r="P63" s="85" t="s">
        <v>6623</v>
      </c>
      <c r="Q63" s="293">
        <v>44949</v>
      </c>
      <c r="R63" s="293">
        <v>44949</v>
      </c>
      <c r="S63" s="293">
        <v>45093</v>
      </c>
      <c r="T63" s="293"/>
      <c r="U63" s="293"/>
      <c r="V63" s="293"/>
      <c r="W63" s="294">
        <v>45107</v>
      </c>
      <c r="X63" s="237">
        <v>41250000</v>
      </c>
      <c r="Y63" s="295">
        <f t="shared" si="1"/>
        <v>0</v>
      </c>
      <c r="Z63" s="296">
        <f t="shared" si="2"/>
        <v>1</v>
      </c>
      <c r="AA63" s="85">
        <v>85449357</v>
      </c>
      <c r="AB63" s="85" t="s">
        <v>6553</v>
      </c>
      <c r="AC63" s="290" t="s">
        <v>196</v>
      </c>
      <c r="AD63" s="290" t="s">
        <v>196</v>
      </c>
      <c r="AE63" s="236"/>
      <c r="AF63" s="85" t="s">
        <v>6624</v>
      </c>
      <c r="AG63" s="290" t="s">
        <v>192</v>
      </c>
      <c r="AH63" s="290" t="s">
        <v>192</v>
      </c>
    </row>
    <row r="64" spans="1:34" s="297" customFormat="1" ht="15" customHeight="1" x14ac:dyDescent="0.25">
      <c r="A64" s="289">
        <v>891780111</v>
      </c>
      <c r="B64" s="289" t="s">
        <v>54</v>
      </c>
      <c r="C64" s="290" t="s">
        <v>56</v>
      </c>
      <c r="D64" s="289" t="s">
        <v>60</v>
      </c>
      <c r="E64" s="290" t="s">
        <v>6625</v>
      </c>
      <c r="F64" s="289" t="s">
        <v>61</v>
      </c>
      <c r="G64" s="85" t="s">
        <v>63</v>
      </c>
      <c r="H64" s="85" t="s">
        <v>73</v>
      </c>
      <c r="I64" s="237">
        <v>12583000</v>
      </c>
      <c r="J64" s="290"/>
      <c r="K64" s="291">
        <v>1167000</v>
      </c>
      <c r="L64" s="291"/>
      <c r="M64" s="292">
        <f t="shared" si="0"/>
        <v>13750000</v>
      </c>
      <c r="N64" s="85">
        <v>35117743</v>
      </c>
      <c r="O64" s="85" t="s">
        <v>6626</v>
      </c>
      <c r="P64" s="85" t="s">
        <v>6627</v>
      </c>
      <c r="Q64" s="293">
        <v>44949</v>
      </c>
      <c r="R64" s="293">
        <v>44949</v>
      </c>
      <c r="S64" s="293">
        <v>45093</v>
      </c>
      <c r="T64" s="293"/>
      <c r="U64" s="293"/>
      <c r="V64" s="293"/>
      <c r="W64" s="294">
        <v>45107</v>
      </c>
      <c r="X64" s="237">
        <v>13750000</v>
      </c>
      <c r="Y64" s="295">
        <f t="shared" si="1"/>
        <v>0</v>
      </c>
      <c r="Z64" s="296">
        <f t="shared" si="2"/>
        <v>1</v>
      </c>
      <c r="AA64" s="85">
        <v>85465146</v>
      </c>
      <c r="AB64" s="85" t="s">
        <v>6628</v>
      </c>
      <c r="AC64" s="290" t="s">
        <v>196</v>
      </c>
      <c r="AD64" s="290" t="s">
        <v>196</v>
      </c>
      <c r="AE64" s="236"/>
      <c r="AF64" s="85" t="s">
        <v>6629</v>
      </c>
      <c r="AG64" s="290" t="s">
        <v>192</v>
      </c>
      <c r="AH64" s="290" t="s">
        <v>192</v>
      </c>
    </row>
    <row r="65" spans="1:34" s="297" customFormat="1" ht="15" customHeight="1" x14ac:dyDescent="0.25">
      <c r="A65" s="289">
        <v>891780111</v>
      </c>
      <c r="B65" s="289" t="s">
        <v>54</v>
      </c>
      <c r="C65" s="290" t="s">
        <v>56</v>
      </c>
      <c r="D65" s="289" t="s">
        <v>60</v>
      </c>
      <c r="E65" s="290" t="s">
        <v>6630</v>
      </c>
      <c r="F65" s="289" t="s">
        <v>61</v>
      </c>
      <c r="G65" s="85" t="s">
        <v>63</v>
      </c>
      <c r="H65" s="85" t="s">
        <v>73</v>
      </c>
      <c r="I65" s="237">
        <v>9943000</v>
      </c>
      <c r="J65" s="290"/>
      <c r="K65" s="291"/>
      <c r="L65" s="291"/>
      <c r="M65" s="292">
        <f t="shared" si="0"/>
        <v>9943000</v>
      </c>
      <c r="N65" s="85">
        <v>1083046036</v>
      </c>
      <c r="O65" s="85" t="s">
        <v>6631</v>
      </c>
      <c r="P65" s="85" t="s">
        <v>6632</v>
      </c>
      <c r="Q65" s="293">
        <v>44949</v>
      </c>
      <c r="R65" s="293">
        <v>44949</v>
      </c>
      <c r="S65" s="293">
        <v>45093</v>
      </c>
      <c r="T65" s="293"/>
      <c r="U65" s="293"/>
      <c r="V65" s="293"/>
      <c r="W65" s="294"/>
      <c r="X65" s="237">
        <v>9943000</v>
      </c>
      <c r="Y65" s="295">
        <f t="shared" si="1"/>
        <v>0</v>
      </c>
      <c r="Z65" s="296">
        <f t="shared" si="2"/>
        <v>1</v>
      </c>
      <c r="AA65" s="85">
        <v>7631392</v>
      </c>
      <c r="AB65" s="85" t="s">
        <v>6633</v>
      </c>
      <c r="AC65" s="290" t="s">
        <v>196</v>
      </c>
      <c r="AD65" s="290" t="s">
        <v>196</v>
      </c>
      <c r="AE65" s="236"/>
      <c r="AF65" s="85" t="s">
        <v>6634</v>
      </c>
      <c r="AG65" s="290" t="s">
        <v>192</v>
      </c>
      <c r="AH65" s="290" t="s">
        <v>192</v>
      </c>
    </row>
    <row r="66" spans="1:34" s="297" customFormat="1" ht="15" customHeight="1" x14ac:dyDescent="0.25">
      <c r="A66" s="289">
        <v>891780111</v>
      </c>
      <c r="B66" s="289" t="s">
        <v>54</v>
      </c>
      <c r="C66" s="290" t="s">
        <v>56</v>
      </c>
      <c r="D66" s="289" t="s">
        <v>60</v>
      </c>
      <c r="E66" s="290" t="s">
        <v>6635</v>
      </c>
      <c r="F66" s="289" t="s">
        <v>61</v>
      </c>
      <c r="G66" s="85" t="s">
        <v>63</v>
      </c>
      <c r="H66" s="85" t="s">
        <v>73</v>
      </c>
      <c r="I66" s="237">
        <v>28187000</v>
      </c>
      <c r="J66" s="290">
        <v>1</v>
      </c>
      <c r="K66" s="291">
        <v>2613000</v>
      </c>
      <c r="L66" s="291"/>
      <c r="M66" s="292">
        <f t="shared" si="0"/>
        <v>30800000</v>
      </c>
      <c r="N66" s="85">
        <v>19601307</v>
      </c>
      <c r="O66" s="85" t="s">
        <v>6636</v>
      </c>
      <c r="P66" s="85" t="s">
        <v>6637</v>
      </c>
      <c r="Q66" s="293">
        <v>44949</v>
      </c>
      <c r="R66" s="293">
        <v>44949</v>
      </c>
      <c r="S66" s="293">
        <v>45093</v>
      </c>
      <c r="T66" s="293"/>
      <c r="U66" s="293"/>
      <c r="V66" s="293"/>
      <c r="W66" s="294">
        <v>45107</v>
      </c>
      <c r="X66" s="237">
        <v>30800000</v>
      </c>
      <c r="Y66" s="295">
        <f t="shared" si="1"/>
        <v>0</v>
      </c>
      <c r="Z66" s="296">
        <f t="shared" si="2"/>
        <v>1</v>
      </c>
      <c r="AA66" s="85">
        <v>85465146</v>
      </c>
      <c r="AB66" s="85" t="s">
        <v>6628</v>
      </c>
      <c r="AC66" s="290" t="s">
        <v>196</v>
      </c>
      <c r="AD66" s="290" t="s">
        <v>196</v>
      </c>
      <c r="AE66" s="236"/>
      <c r="AF66" s="85" t="s">
        <v>6638</v>
      </c>
      <c r="AG66" s="290" t="s">
        <v>192</v>
      </c>
      <c r="AH66" s="290" t="s">
        <v>192</v>
      </c>
    </row>
    <row r="67" spans="1:34" s="297" customFormat="1" ht="15" customHeight="1" x14ac:dyDescent="0.25">
      <c r="A67" s="289">
        <v>891780111</v>
      </c>
      <c r="B67" s="289" t="s">
        <v>54</v>
      </c>
      <c r="C67" s="290" t="s">
        <v>56</v>
      </c>
      <c r="D67" s="289" t="s">
        <v>60</v>
      </c>
      <c r="E67" s="290" t="s">
        <v>6639</v>
      </c>
      <c r="F67" s="289" t="s">
        <v>61</v>
      </c>
      <c r="G67" s="85" t="s">
        <v>63</v>
      </c>
      <c r="H67" s="85" t="s">
        <v>73</v>
      </c>
      <c r="I67" s="237">
        <v>8930000</v>
      </c>
      <c r="J67" s="290">
        <v>1</v>
      </c>
      <c r="K67" s="291">
        <v>570000</v>
      </c>
      <c r="L67" s="291"/>
      <c r="M67" s="292">
        <f t="shared" si="0"/>
        <v>9500000</v>
      </c>
      <c r="N67" s="85">
        <v>57435172</v>
      </c>
      <c r="O67" s="85" t="s">
        <v>6640</v>
      </c>
      <c r="P67" s="85" t="s">
        <v>6617</v>
      </c>
      <c r="Q67" s="293">
        <v>44949</v>
      </c>
      <c r="R67" s="293">
        <v>44949</v>
      </c>
      <c r="S67" s="293">
        <v>45084</v>
      </c>
      <c r="T67" s="293"/>
      <c r="U67" s="293"/>
      <c r="V67" s="293"/>
      <c r="W67" s="294">
        <v>45093</v>
      </c>
      <c r="X67" s="237">
        <v>9500000</v>
      </c>
      <c r="Y67" s="295">
        <f t="shared" si="1"/>
        <v>0</v>
      </c>
      <c r="Z67" s="296">
        <f t="shared" si="2"/>
        <v>1</v>
      </c>
      <c r="AA67" s="85">
        <v>57444673</v>
      </c>
      <c r="AB67" s="85" t="s">
        <v>5370</v>
      </c>
      <c r="AC67" s="290" t="s">
        <v>196</v>
      </c>
      <c r="AD67" s="290" t="s">
        <v>196</v>
      </c>
      <c r="AE67" s="236"/>
      <c r="AF67" s="85" t="s">
        <v>6641</v>
      </c>
      <c r="AG67" s="290" t="s">
        <v>192</v>
      </c>
      <c r="AH67" s="290" t="s">
        <v>192</v>
      </c>
    </row>
    <row r="68" spans="1:34" s="297" customFormat="1" ht="15" customHeight="1" x14ac:dyDescent="0.25">
      <c r="A68" s="289">
        <v>891780111</v>
      </c>
      <c r="B68" s="289" t="s">
        <v>54</v>
      </c>
      <c r="C68" s="290" t="s">
        <v>56</v>
      </c>
      <c r="D68" s="289" t="s">
        <v>60</v>
      </c>
      <c r="E68" s="290" t="s">
        <v>6642</v>
      </c>
      <c r="F68" s="289" t="s">
        <v>61</v>
      </c>
      <c r="G68" s="85" t="s">
        <v>63</v>
      </c>
      <c r="H68" s="85" t="s">
        <v>73</v>
      </c>
      <c r="I68" s="237">
        <v>11440000</v>
      </c>
      <c r="J68" s="290">
        <v>1</v>
      </c>
      <c r="K68" s="291">
        <v>1027000.0000000001</v>
      </c>
      <c r="L68" s="291"/>
      <c r="M68" s="292">
        <f t="shared" si="0"/>
        <v>12467000</v>
      </c>
      <c r="N68" s="85">
        <v>57461875</v>
      </c>
      <c r="O68" s="85" t="s">
        <v>6643</v>
      </c>
      <c r="P68" s="85" t="s">
        <v>6644</v>
      </c>
      <c r="Q68" s="293">
        <v>44949</v>
      </c>
      <c r="R68" s="293">
        <v>44949</v>
      </c>
      <c r="S68" s="293">
        <v>45093</v>
      </c>
      <c r="T68" s="293"/>
      <c r="U68" s="293"/>
      <c r="V68" s="293"/>
      <c r="W68" s="294">
        <v>45107</v>
      </c>
      <c r="X68" s="237">
        <v>12467000</v>
      </c>
      <c r="Y68" s="295">
        <f t="shared" si="1"/>
        <v>0</v>
      </c>
      <c r="Z68" s="296">
        <f t="shared" si="2"/>
        <v>1</v>
      </c>
      <c r="AA68" s="85">
        <v>36694483</v>
      </c>
      <c r="AB68" s="85" t="s">
        <v>551</v>
      </c>
      <c r="AC68" s="290" t="s">
        <v>196</v>
      </c>
      <c r="AD68" s="290" t="s">
        <v>196</v>
      </c>
      <c r="AE68" s="236"/>
      <c r="AF68" s="85" t="s">
        <v>6645</v>
      </c>
      <c r="AG68" s="290" t="s">
        <v>192</v>
      </c>
      <c r="AH68" s="290" t="s">
        <v>192</v>
      </c>
    </row>
    <row r="69" spans="1:34" s="297" customFormat="1" ht="15" customHeight="1" x14ac:dyDescent="0.25">
      <c r="A69" s="289">
        <v>891780111</v>
      </c>
      <c r="B69" s="289" t="s">
        <v>54</v>
      </c>
      <c r="C69" s="290" t="s">
        <v>56</v>
      </c>
      <c r="D69" s="289" t="s">
        <v>60</v>
      </c>
      <c r="E69" s="290" t="s">
        <v>6646</v>
      </c>
      <c r="F69" s="289" t="s">
        <v>61</v>
      </c>
      <c r="G69" s="85" t="s">
        <v>63</v>
      </c>
      <c r="H69" s="85" t="s">
        <v>73</v>
      </c>
      <c r="I69" s="237">
        <v>15397000</v>
      </c>
      <c r="J69" s="290">
        <v>1</v>
      </c>
      <c r="K69" s="291">
        <v>7500000</v>
      </c>
      <c r="L69" s="291"/>
      <c r="M69" s="292">
        <f t="shared" ref="M69:M132" si="3">I69+K69-L69</f>
        <v>22897000</v>
      </c>
      <c r="N69" s="85">
        <v>1082410248</v>
      </c>
      <c r="O69" s="85" t="s">
        <v>6647</v>
      </c>
      <c r="P69" s="85" t="s">
        <v>6648</v>
      </c>
      <c r="Q69" s="293">
        <v>44949</v>
      </c>
      <c r="R69" s="293">
        <v>44949</v>
      </c>
      <c r="S69" s="293">
        <v>45093</v>
      </c>
      <c r="T69" s="293"/>
      <c r="U69" s="293"/>
      <c r="V69" s="293"/>
      <c r="W69" s="294"/>
      <c r="X69" s="237">
        <v>22897000</v>
      </c>
      <c r="Y69" s="295">
        <f t="shared" ref="Y69:Y132" si="4">M69-X69</f>
        <v>0</v>
      </c>
      <c r="Z69" s="296">
        <f t="shared" ref="Z69:Z132" si="5">+(X69/M69)</f>
        <v>1</v>
      </c>
      <c r="AA69" s="85">
        <v>1192791759</v>
      </c>
      <c r="AB69" s="85" t="s">
        <v>6649</v>
      </c>
      <c r="AC69" s="290" t="s">
        <v>196</v>
      </c>
      <c r="AD69" s="290" t="s">
        <v>196</v>
      </c>
      <c r="AE69" s="236"/>
      <c r="AF69" s="85" t="s">
        <v>6650</v>
      </c>
      <c r="AG69" s="290" t="s">
        <v>192</v>
      </c>
      <c r="AH69" s="290" t="s">
        <v>192</v>
      </c>
    </row>
    <row r="70" spans="1:34" s="297" customFormat="1" ht="15" customHeight="1" x14ac:dyDescent="0.25">
      <c r="A70" s="289">
        <v>891780111</v>
      </c>
      <c r="B70" s="289" t="s">
        <v>54</v>
      </c>
      <c r="C70" s="290" t="s">
        <v>56</v>
      </c>
      <c r="D70" s="289" t="s">
        <v>60</v>
      </c>
      <c r="E70" s="290" t="s">
        <v>6651</v>
      </c>
      <c r="F70" s="289" t="s">
        <v>61</v>
      </c>
      <c r="G70" s="85" t="s">
        <v>63</v>
      </c>
      <c r="H70" s="85" t="s">
        <v>73</v>
      </c>
      <c r="I70" s="237">
        <v>11440000</v>
      </c>
      <c r="J70" s="290">
        <v>1</v>
      </c>
      <c r="K70" s="291">
        <v>1027000.0000000001</v>
      </c>
      <c r="L70" s="291"/>
      <c r="M70" s="292">
        <f t="shared" si="3"/>
        <v>12467000</v>
      </c>
      <c r="N70" s="85">
        <v>1082861716</v>
      </c>
      <c r="O70" s="85" t="s">
        <v>6652</v>
      </c>
      <c r="P70" s="85" t="s">
        <v>6653</v>
      </c>
      <c r="Q70" s="293">
        <v>44949</v>
      </c>
      <c r="R70" s="293">
        <v>44949</v>
      </c>
      <c r="S70" s="293">
        <v>45093</v>
      </c>
      <c r="T70" s="293"/>
      <c r="U70" s="293"/>
      <c r="V70" s="293"/>
      <c r="W70" s="294">
        <v>45107</v>
      </c>
      <c r="X70" s="237">
        <v>10267000</v>
      </c>
      <c r="Y70" s="295">
        <f t="shared" si="4"/>
        <v>2200000</v>
      </c>
      <c r="Z70" s="296">
        <f t="shared" si="5"/>
        <v>0.82353413010347321</v>
      </c>
      <c r="AA70" s="85">
        <v>85449357</v>
      </c>
      <c r="AB70" s="85" t="s">
        <v>6553</v>
      </c>
      <c r="AC70" s="290" t="s">
        <v>196</v>
      </c>
      <c r="AD70" s="290" t="s">
        <v>196</v>
      </c>
      <c r="AE70" s="236"/>
      <c r="AF70" s="85" t="s">
        <v>6654</v>
      </c>
      <c r="AG70" s="290" t="s">
        <v>192</v>
      </c>
      <c r="AH70" s="290" t="s">
        <v>192</v>
      </c>
    </row>
    <row r="71" spans="1:34" s="297" customFormat="1" ht="15" customHeight="1" x14ac:dyDescent="0.25">
      <c r="A71" s="289">
        <v>891780111</v>
      </c>
      <c r="B71" s="289" t="s">
        <v>54</v>
      </c>
      <c r="C71" s="290" t="s">
        <v>56</v>
      </c>
      <c r="D71" s="289" t="s">
        <v>60</v>
      </c>
      <c r="E71" s="290" t="s">
        <v>6655</v>
      </c>
      <c r="F71" s="289" t="s">
        <v>61</v>
      </c>
      <c r="G71" s="85" t="s">
        <v>63</v>
      </c>
      <c r="H71" s="85" t="s">
        <v>73</v>
      </c>
      <c r="I71" s="237">
        <v>13083000</v>
      </c>
      <c r="J71" s="290">
        <v>1</v>
      </c>
      <c r="K71" s="291">
        <v>1167000</v>
      </c>
      <c r="L71" s="291"/>
      <c r="M71" s="292">
        <f t="shared" si="3"/>
        <v>14250000</v>
      </c>
      <c r="N71" s="85">
        <v>85462989</v>
      </c>
      <c r="O71" s="85" t="s">
        <v>6656</v>
      </c>
      <c r="P71" s="85" t="s">
        <v>6657</v>
      </c>
      <c r="Q71" s="293">
        <v>44949</v>
      </c>
      <c r="R71" s="293">
        <v>44949</v>
      </c>
      <c r="S71" s="293">
        <v>45093</v>
      </c>
      <c r="T71" s="293"/>
      <c r="U71" s="293"/>
      <c r="V71" s="293"/>
      <c r="W71" s="294">
        <v>45107</v>
      </c>
      <c r="X71" s="237">
        <v>14250000</v>
      </c>
      <c r="Y71" s="295">
        <f t="shared" si="4"/>
        <v>0</v>
      </c>
      <c r="Z71" s="296">
        <f t="shared" si="5"/>
        <v>1</v>
      </c>
      <c r="AA71" s="85">
        <v>36665858</v>
      </c>
      <c r="AB71" s="85" t="s">
        <v>5707</v>
      </c>
      <c r="AC71" s="290" t="s">
        <v>196</v>
      </c>
      <c r="AD71" s="290" t="s">
        <v>196</v>
      </c>
      <c r="AE71" s="236"/>
      <c r="AF71" s="85" t="s">
        <v>6658</v>
      </c>
      <c r="AG71" s="290" t="s">
        <v>192</v>
      </c>
      <c r="AH71" s="290" t="s">
        <v>192</v>
      </c>
    </row>
    <row r="72" spans="1:34" s="297" customFormat="1" ht="15" customHeight="1" x14ac:dyDescent="0.25">
      <c r="A72" s="289">
        <v>891780111</v>
      </c>
      <c r="B72" s="289" t="s">
        <v>54</v>
      </c>
      <c r="C72" s="290" t="s">
        <v>56</v>
      </c>
      <c r="D72" s="289" t="s">
        <v>60</v>
      </c>
      <c r="E72" s="290" t="s">
        <v>6659</v>
      </c>
      <c r="F72" s="289" t="s">
        <v>61</v>
      </c>
      <c r="G72" s="85" t="s">
        <v>63</v>
      </c>
      <c r="H72" s="85" t="s">
        <v>73</v>
      </c>
      <c r="I72" s="237">
        <v>19250000</v>
      </c>
      <c r="J72" s="290">
        <v>1</v>
      </c>
      <c r="K72" s="291">
        <v>1797000</v>
      </c>
      <c r="L72" s="291"/>
      <c r="M72" s="292">
        <f t="shared" si="3"/>
        <v>21047000</v>
      </c>
      <c r="N72" s="85">
        <v>1082882287</v>
      </c>
      <c r="O72" s="85" t="s">
        <v>6660</v>
      </c>
      <c r="P72" s="85" t="s">
        <v>6661</v>
      </c>
      <c r="Q72" s="293">
        <v>44949</v>
      </c>
      <c r="R72" s="293">
        <v>44949</v>
      </c>
      <c r="S72" s="293">
        <v>45093</v>
      </c>
      <c r="T72" s="293"/>
      <c r="U72" s="293"/>
      <c r="V72" s="293"/>
      <c r="W72" s="294">
        <v>45107</v>
      </c>
      <c r="X72" s="237">
        <v>21047000</v>
      </c>
      <c r="Y72" s="295">
        <f t="shared" si="4"/>
        <v>0</v>
      </c>
      <c r="Z72" s="296">
        <f t="shared" si="5"/>
        <v>1</v>
      </c>
      <c r="AA72" s="85">
        <v>12621405</v>
      </c>
      <c r="AB72" s="85" t="s">
        <v>6396</v>
      </c>
      <c r="AC72" s="290" t="s">
        <v>196</v>
      </c>
      <c r="AD72" s="290" t="s">
        <v>196</v>
      </c>
      <c r="AE72" s="236"/>
      <c r="AF72" s="85" t="s">
        <v>6662</v>
      </c>
      <c r="AG72" s="290" t="s">
        <v>192</v>
      </c>
      <c r="AH72" s="290" t="s">
        <v>192</v>
      </c>
    </row>
    <row r="73" spans="1:34" s="297" customFormat="1" ht="15" customHeight="1" x14ac:dyDescent="0.25">
      <c r="A73" s="289">
        <v>891780111</v>
      </c>
      <c r="B73" s="289" t="s">
        <v>54</v>
      </c>
      <c r="C73" s="290" t="s">
        <v>56</v>
      </c>
      <c r="D73" s="289" t="s">
        <v>60</v>
      </c>
      <c r="E73" s="290" t="s">
        <v>6663</v>
      </c>
      <c r="F73" s="289" t="s">
        <v>61</v>
      </c>
      <c r="G73" s="85" t="s">
        <v>63</v>
      </c>
      <c r="H73" s="85" t="s">
        <v>73</v>
      </c>
      <c r="I73" s="237">
        <v>13160000</v>
      </c>
      <c r="J73" s="290">
        <v>1</v>
      </c>
      <c r="K73" s="291">
        <v>2147000</v>
      </c>
      <c r="L73" s="291"/>
      <c r="M73" s="292">
        <f t="shared" si="3"/>
        <v>15307000</v>
      </c>
      <c r="N73" s="85">
        <v>57461973</v>
      </c>
      <c r="O73" s="85" t="s">
        <v>6664</v>
      </c>
      <c r="P73" s="85" t="s">
        <v>6665</v>
      </c>
      <c r="Q73" s="293">
        <v>44949</v>
      </c>
      <c r="R73" s="293">
        <v>44949</v>
      </c>
      <c r="S73" s="293">
        <v>45084</v>
      </c>
      <c r="T73" s="293"/>
      <c r="U73" s="293"/>
      <c r="V73" s="293"/>
      <c r="W73" s="294">
        <v>45107</v>
      </c>
      <c r="X73" s="237">
        <v>15307000</v>
      </c>
      <c r="Y73" s="295">
        <f t="shared" si="4"/>
        <v>0</v>
      </c>
      <c r="Z73" s="296">
        <f t="shared" si="5"/>
        <v>1</v>
      </c>
      <c r="AA73" s="85">
        <v>85460625</v>
      </c>
      <c r="AB73" s="85" t="s">
        <v>6666</v>
      </c>
      <c r="AC73" s="290" t="s">
        <v>196</v>
      </c>
      <c r="AD73" s="290" t="s">
        <v>196</v>
      </c>
      <c r="AE73" s="236"/>
      <c r="AF73" s="85" t="s">
        <v>6667</v>
      </c>
      <c r="AG73" s="290" t="s">
        <v>192</v>
      </c>
      <c r="AH73" s="290" t="s">
        <v>192</v>
      </c>
    </row>
    <row r="74" spans="1:34" s="297" customFormat="1" ht="15" customHeight="1" x14ac:dyDescent="0.25">
      <c r="A74" s="289">
        <v>891780111</v>
      </c>
      <c r="B74" s="289" t="s">
        <v>54</v>
      </c>
      <c r="C74" s="290" t="s">
        <v>56</v>
      </c>
      <c r="D74" s="289" t="s">
        <v>60</v>
      </c>
      <c r="E74" s="290" t="s">
        <v>6668</v>
      </c>
      <c r="F74" s="289" t="s">
        <v>61</v>
      </c>
      <c r="G74" s="85" t="s">
        <v>63</v>
      </c>
      <c r="H74" s="85" t="s">
        <v>73</v>
      </c>
      <c r="I74" s="237">
        <v>14467000</v>
      </c>
      <c r="J74" s="290">
        <v>1</v>
      </c>
      <c r="K74" s="291">
        <v>1306000</v>
      </c>
      <c r="L74" s="291"/>
      <c r="M74" s="292">
        <f t="shared" si="3"/>
        <v>15773000</v>
      </c>
      <c r="N74" s="85">
        <v>1083567834</v>
      </c>
      <c r="O74" s="85" t="s">
        <v>6669</v>
      </c>
      <c r="P74" s="85" t="s">
        <v>6670</v>
      </c>
      <c r="Q74" s="293">
        <v>44949</v>
      </c>
      <c r="R74" s="293">
        <v>44949</v>
      </c>
      <c r="S74" s="293">
        <v>45093</v>
      </c>
      <c r="T74" s="293"/>
      <c r="U74" s="293"/>
      <c r="V74" s="293"/>
      <c r="W74" s="294">
        <v>45107</v>
      </c>
      <c r="X74" s="237">
        <v>15773000</v>
      </c>
      <c r="Y74" s="295">
        <f t="shared" si="4"/>
        <v>0</v>
      </c>
      <c r="Z74" s="296">
        <f t="shared" si="5"/>
        <v>1</v>
      </c>
      <c r="AA74" s="85">
        <v>85465146</v>
      </c>
      <c r="AB74" s="85" t="s">
        <v>6628</v>
      </c>
      <c r="AC74" s="290" t="s">
        <v>196</v>
      </c>
      <c r="AD74" s="290" t="s">
        <v>196</v>
      </c>
      <c r="AE74" s="236"/>
      <c r="AF74" s="85" t="s">
        <v>6671</v>
      </c>
      <c r="AG74" s="290" t="s">
        <v>192</v>
      </c>
      <c r="AH74" s="290" t="s">
        <v>192</v>
      </c>
    </row>
    <row r="75" spans="1:34" s="297" customFormat="1" ht="15" customHeight="1" x14ac:dyDescent="0.25">
      <c r="A75" s="289">
        <v>891780111</v>
      </c>
      <c r="B75" s="289" t="s">
        <v>54</v>
      </c>
      <c r="C75" s="290" t="s">
        <v>56</v>
      </c>
      <c r="D75" s="289" t="s">
        <v>60</v>
      </c>
      <c r="E75" s="290" t="s">
        <v>6672</v>
      </c>
      <c r="F75" s="289" t="s">
        <v>61</v>
      </c>
      <c r="G75" s="85" t="s">
        <v>63</v>
      </c>
      <c r="H75" s="85" t="s">
        <v>73</v>
      </c>
      <c r="I75" s="237">
        <v>8930000</v>
      </c>
      <c r="J75" s="290">
        <v>1</v>
      </c>
      <c r="K75" s="291">
        <v>1457000</v>
      </c>
      <c r="L75" s="291"/>
      <c r="M75" s="292">
        <f t="shared" si="3"/>
        <v>10387000</v>
      </c>
      <c r="N75" s="85">
        <v>1082915041</v>
      </c>
      <c r="O75" s="85" t="s">
        <v>6673</v>
      </c>
      <c r="P75" s="85" t="s">
        <v>6674</v>
      </c>
      <c r="Q75" s="293">
        <v>44949</v>
      </c>
      <c r="R75" s="293">
        <v>44949</v>
      </c>
      <c r="S75" s="293">
        <v>45084</v>
      </c>
      <c r="T75" s="293"/>
      <c r="U75" s="293"/>
      <c r="V75" s="293"/>
      <c r="W75" s="294">
        <v>45107</v>
      </c>
      <c r="X75" s="237">
        <v>10387000</v>
      </c>
      <c r="Y75" s="295">
        <f t="shared" si="4"/>
        <v>0</v>
      </c>
      <c r="Z75" s="296">
        <f t="shared" si="5"/>
        <v>1</v>
      </c>
      <c r="AA75" s="85">
        <v>57444673</v>
      </c>
      <c r="AB75" s="85" t="s">
        <v>5370</v>
      </c>
      <c r="AC75" s="290" t="s">
        <v>196</v>
      </c>
      <c r="AD75" s="290" t="s">
        <v>196</v>
      </c>
      <c r="AE75" s="236"/>
      <c r="AF75" s="85" t="s">
        <v>6675</v>
      </c>
      <c r="AG75" s="290" t="s">
        <v>192</v>
      </c>
      <c r="AH75" s="290" t="s">
        <v>192</v>
      </c>
    </row>
    <row r="76" spans="1:34" s="297" customFormat="1" ht="15" customHeight="1" x14ac:dyDescent="0.25">
      <c r="A76" s="289">
        <v>891780111</v>
      </c>
      <c r="B76" s="289" t="s">
        <v>54</v>
      </c>
      <c r="C76" s="290" t="s">
        <v>56</v>
      </c>
      <c r="D76" s="289" t="s">
        <v>60</v>
      </c>
      <c r="E76" s="290" t="s">
        <v>6676</v>
      </c>
      <c r="F76" s="289" t="s">
        <v>61</v>
      </c>
      <c r="G76" s="85" t="s">
        <v>63</v>
      </c>
      <c r="H76" s="85" t="s">
        <v>73</v>
      </c>
      <c r="I76" s="237">
        <v>15293000</v>
      </c>
      <c r="J76" s="290">
        <v>1</v>
      </c>
      <c r="K76" s="291">
        <v>2377000</v>
      </c>
      <c r="L76" s="291"/>
      <c r="M76" s="292">
        <f t="shared" si="3"/>
        <v>17670000</v>
      </c>
      <c r="N76" s="85">
        <v>1082902423</v>
      </c>
      <c r="O76" s="85" t="s">
        <v>6677</v>
      </c>
      <c r="P76" s="85" t="s">
        <v>6678</v>
      </c>
      <c r="Q76" s="293">
        <v>44949</v>
      </c>
      <c r="R76" s="293">
        <v>44949</v>
      </c>
      <c r="S76" s="293">
        <v>45084</v>
      </c>
      <c r="T76" s="293"/>
      <c r="U76" s="293"/>
      <c r="V76" s="293"/>
      <c r="W76" s="294">
        <v>45107</v>
      </c>
      <c r="X76" s="237">
        <v>17670000</v>
      </c>
      <c r="Y76" s="295">
        <f t="shared" si="4"/>
        <v>0</v>
      </c>
      <c r="Z76" s="296">
        <f t="shared" si="5"/>
        <v>1</v>
      </c>
      <c r="AA76" s="85">
        <v>57461216</v>
      </c>
      <c r="AB76" s="85" t="s">
        <v>6512</v>
      </c>
      <c r="AC76" s="290" t="s">
        <v>196</v>
      </c>
      <c r="AD76" s="290" t="s">
        <v>196</v>
      </c>
      <c r="AE76" s="236"/>
      <c r="AF76" s="85" t="s">
        <v>6679</v>
      </c>
      <c r="AG76" s="290" t="s">
        <v>192</v>
      </c>
      <c r="AH76" s="290" t="s">
        <v>192</v>
      </c>
    </row>
    <row r="77" spans="1:34" s="297" customFormat="1" ht="15" customHeight="1" x14ac:dyDescent="0.25">
      <c r="A77" s="289">
        <v>891780111</v>
      </c>
      <c r="B77" s="289" t="s">
        <v>54</v>
      </c>
      <c r="C77" s="290" t="s">
        <v>56</v>
      </c>
      <c r="D77" s="289" t="s">
        <v>60</v>
      </c>
      <c r="E77" s="290" t="s">
        <v>6680</v>
      </c>
      <c r="F77" s="289" t="s">
        <v>61</v>
      </c>
      <c r="G77" s="85" t="s">
        <v>63</v>
      </c>
      <c r="H77" s="85" t="s">
        <v>73</v>
      </c>
      <c r="I77" s="237">
        <v>9563000</v>
      </c>
      <c r="J77" s="290">
        <v>1</v>
      </c>
      <c r="K77" s="291">
        <v>887000</v>
      </c>
      <c r="L77" s="291"/>
      <c r="M77" s="292">
        <f t="shared" si="3"/>
        <v>10450000</v>
      </c>
      <c r="N77" s="85">
        <v>1082904580</v>
      </c>
      <c r="O77" s="85" t="s">
        <v>6681</v>
      </c>
      <c r="P77" s="85" t="s">
        <v>6540</v>
      </c>
      <c r="Q77" s="293">
        <v>44949</v>
      </c>
      <c r="R77" s="293">
        <v>44949</v>
      </c>
      <c r="S77" s="293">
        <v>45093</v>
      </c>
      <c r="T77" s="293"/>
      <c r="U77" s="293"/>
      <c r="V77" s="293"/>
      <c r="W77" s="294">
        <v>45107</v>
      </c>
      <c r="X77" s="237">
        <v>10450000</v>
      </c>
      <c r="Y77" s="295">
        <f t="shared" si="4"/>
        <v>0</v>
      </c>
      <c r="Z77" s="296">
        <f t="shared" si="5"/>
        <v>1</v>
      </c>
      <c r="AA77" s="85">
        <v>85459497</v>
      </c>
      <c r="AB77" s="85" t="s">
        <v>4837</v>
      </c>
      <c r="AC77" s="290" t="s">
        <v>196</v>
      </c>
      <c r="AD77" s="290" t="s">
        <v>196</v>
      </c>
      <c r="AE77" s="236"/>
      <c r="AF77" s="85" t="s">
        <v>6682</v>
      </c>
      <c r="AG77" s="290" t="s">
        <v>192</v>
      </c>
      <c r="AH77" s="290" t="s">
        <v>192</v>
      </c>
    </row>
    <row r="78" spans="1:34" s="297" customFormat="1" ht="15" customHeight="1" x14ac:dyDescent="0.25">
      <c r="A78" s="289">
        <v>891780111</v>
      </c>
      <c r="B78" s="289" t="s">
        <v>54</v>
      </c>
      <c r="C78" s="290" t="s">
        <v>56</v>
      </c>
      <c r="D78" s="289" t="s">
        <v>60</v>
      </c>
      <c r="E78" s="290" t="s">
        <v>6683</v>
      </c>
      <c r="F78" s="289" t="s">
        <v>61</v>
      </c>
      <c r="G78" s="85" t="s">
        <v>63</v>
      </c>
      <c r="H78" s="85" t="s">
        <v>73</v>
      </c>
      <c r="I78" s="237">
        <v>10633000</v>
      </c>
      <c r="J78" s="290"/>
      <c r="K78" s="291"/>
      <c r="L78" s="291"/>
      <c r="M78" s="292">
        <f t="shared" si="3"/>
        <v>10633000</v>
      </c>
      <c r="N78" s="85">
        <v>1083464676</v>
      </c>
      <c r="O78" s="85" t="s">
        <v>6684</v>
      </c>
      <c r="P78" s="85" t="s">
        <v>6685</v>
      </c>
      <c r="Q78" s="293">
        <v>44949</v>
      </c>
      <c r="R78" s="293">
        <v>44949</v>
      </c>
      <c r="S78" s="293">
        <v>45084</v>
      </c>
      <c r="T78" s="293"/>
      <c r="U78" s="293"/>
      <c r="V78" s="293"/>
      <c r="W78" s="294"/>
      <c r="X78" s="237">
        <v>10633000</v>
      </c>
      <c r="Y78" s="295">
        <f t="shared" si="4"/>
        <v>0</v>
      </c>
      <c r="Z78" s="296">
        <f t="shared" si="5"/>
        <v>1</v>
      </c>
      <c r="AA78" s="85">
        <v>36718996</v>
      </c>
      <c r="AB78" s="85" t="s">
        <v>6686</v>
      </c>
      <c r="AC78" s="290" t="s">
        <v>196</v>
      </c>
      <c r="AD78" s="290" t="s">
        <v>196</v>
      </c>
      <c r="AE78" s="236"/>
      <c r="AF78" s="85" t="s">
        <v>6687</v>
      </c>
      <c r="AG78" s="290" t="s">
        <v>192</v>
      </c>
      <c r="AH78" s="290" t="s">
        <v>192</v>
      </c>
    </row>
    <row r="79" spans="1:34" s="297" customFormat="1" ht="15" customHeight="1" x14ac:dyDescent="0.25">
      <c r="A79" s="289">
        <v>891780111</v>
      </c>
      <c r="B79" s="289" t="s">
        <v>54</v>
      </c>
      <c r="C79" s="290" t="s">
        <v>56</v>
      </c>
      <c r="D79" s="289" t="s">
        <v>60</v>
      </c>
      <c r="E79" s="290" t="s">
        <v>6688</v>
      </c>
      <c r="F79" s="289" t="s">
        <v>61</v>
      </c>
      <c r="G79" s="85" t="s">
        <v>63</v>
      </c>
      <c r="H79" s="85" t="s">
        <v>73</v>
      </c>
      <c r="I79" s="237">
        <v>12917000</v>
      </c>
      <c r="J79" s="290">
        <v>1</v>
      </c>
      <c r="K79" s="291">
        <v>1166000</v>
      </c>
      <c r="L79" s="291"/>
      <c r="M79" s="292">
        <f t="shared" si="3"/>
        <v>14083000</v>
      </c>
      <c r="N79" s="85">
        <v>1082925612</v>
      </c>
      <c r="O79" s="85" t="s">
        <v>6689</v>
      </c>
      <c r="P79" s="85" t="s">
        <v>6690</v>
      </c>
      <c r="Q79" s="293">
        <v>44949</v>
      </c>
      <c r="R79" s="293">
        <v>44949</v>
      </c>
      <c r="S79" s="293">
        <v>45093</v>
      </c>
      <c r="T79" s="293"/>
      <c r="U79" s="293"/>
      <c r="V79" s="293"/>
      <c r="W79" s="294">
        <v>45107</v>
      </c>
      <c r="X79" s="237">
        <v>14083000</v>
      </c>
      <c r="Y79" s="295">
        <f t="shared" si="4"/>
        <v>0</v>
      </c>
      <c r="Z79" s="296">
        <f t="shared" si="5"/>
        <v>1</v>
      </c>
      <c r="AA79" s="85">
        <v>85465146</v>
      </c>
      <c r="AB79" s="85" t="s">
        <v>6628</v>
      </c>
      <c r="AC79" s="290" t="s">
        <v>196</v>
      </c>
      <c r="AD79" s="290" t="s">
        <v>196</v>
      </c>
      <c r="AE79" s="236"/>
      <c r="AF79" s="85" t="s">
        <v>6691</v>
      </c>
      <c r="AG79" s="290" t="s">
        <v>192</v>
      </c>
      <c r="AH79" s="290" t="s">
        <v>192</v>
      </c>
    </row>
    <row r="80" spans="1:34" s="297" customFormat="1" ht="15" customHeight="1" x14ac:dyDescent="0.25">
      <c r="A80" s="289">
        <v>891780111</v>
      </c>
      <c r="B80" s="289" t="s">
        <v>54</v>
      </c>
      <c r="C80" s="290" t="s">
        <v>56</v>
      </c>
      <c r="D80" s="289" t="s">
        <v>60</v>
      </c>
      <c r="E80" s="290" t="s">
        <v>6692</v>
      </c>
      <c r="F80" s="289" t="s">
        <v>61</v>
      </c>
      <c r="G80" s="85" t="s">
        <v>63</v>
      </c>
      <c r="H80" s="85" t="s">
        <v>73</v>
      </c>
      <c r="I80" s="237">
        <v>16223000</v>
      </c>
      <c r="J80" s="290">
        <v>1</v>
      </c>
      <c r="K80" s="291">
        <v>1447000</v>
      </c>
      <c r="L80" s="291"/>
      <c r="M80" s="292">
        <f t="shared" si="3"/>
        <v>17670000</v>
      </c>
      <c r="N80" s="85">
        <v>7634651</v>
      </c>
      <c r="O80" s="85" t="s">
        <v>6693</v>
      </c>
      <c r="P80" s="85" t="s">
        <v>6694</v>
      </c>
      <c r="Q80" s="293">
        <v>44949</v>
      </c>
      <c r="R80" s="293">
        <v>44949</v>
      </c>
      <c r="S80" s="293">
        <v>45093</v>
      </c>
      <c r="T80" s="293"/>
      <c r="U80" s="293"/>
      <c r="V80" s="293"/>
      <c r="W80" s="294">
        <v>45107</v>
      </c>
      <c r="X80" s="237">
        <v>17670000</v>
      </c>
      <c r="Y80" s="295">
        <f t="shared" si="4"/>
        <v>0</v>
      </c>
      <c r="Z80" s="296">
        <f t="shared" si="5"/>
        <v>1</v>
      </c>
      <c r="AA80" s="85">
        <v>85459497</v>
      </c>
      <c r="AB80" s="85" t="s">
        <v>4837</v>
      </c>
      <c r="AC80" s="290" t="s">
        <v>196</v>
      </c>
      <c r="AD80" s="290" t="s">
        <v>196</v>
      </c>
      <c r="AE80" s="236"/>
      <c r="AF80" s="85" t="s">
        <v>6695</v>
      </c>
      <c r="AG80" s="290" t="s">
        <v>192</v>
      </c>
      <c r="AH80" s="290" t="s">
        <v>192</v>
      </c>
    </row>
    <row r="81" spans="1:34" s="297" customFormat="1" ht="15" customHeight="1" x14ac:dyDescent="0.25">
      <c r="A81" s="289">
        <v>891780111</v>
      </c>
      <c r="B81" s="289" t="s">
        <v>54</v>
      </c>
      <c r="C81" s="290" t="s">
        <v>56</v>
      </c>
      <c r="D81" s="289" t="s">
        <v>60</v>
      </c>
      <c r="E81" s="290" t="s">
        <v>6696</v>
      </c>
      <c r="F81" s="289" t="s">
        <v>61</v>
      </c>
      <c r="G81" s="85" t="s">
        <v>63</v>
      </c>
      <c r="H81" s="85" t="s">
        <v>73</v>
      </c>
      <c r="I81" s="237">
        <v>15500000</v>
      </c>
      <c r="J81" s="290"/>
      <c r="K81" s="291"/>
      <c r="L81" s="291"/>
      <c r="M81" s="292">
        <f t="shared" si="3"/>
        <v>15500000</v>
      </c>
      <c r="N81" s="85">
        <v>7602309</v>
      </c>
      <c r="O81" s="85" t="s">
        <v>6697</v>
      </c>
      <c r="P81" s="85" t="s">
        <v>6698</v>
      </c>
      <c r="Q81" s="293">
        <v>44949</v>
      </c>
      <c r="R81" s="293">
        <v>44949</v>
      </c>
      <c r="S81" s="293">
        <v>45093</v>
      </c>
      <c r="T81" s="293"/>
      <c r="U81" s="293"/>
      <c r="V81" s="293"/>
      <c r="W81" s="294"/>
      <c r="X81" s="237">
        <v>15500000</v>
      </c>
      <c r="Y81" s="295">
        <f t="shared" si="4"/>
        <v>0</v>
      </c>
      <c r="Z81" s="296">
        <f t="shared" si="5"/>
        <v>1</v>
      </c>
      <c r="AA81" s="85">
        <v>39058006</v>
      </c>
      <c r="AB81" s="85" t="s">
        <v>6699</v>
      </c>
      <c r="AC81" s="290" t="s">
        <v>196</v>
      </c>
      <c r="AD81" s="290" t="s">
        <v>196</v>
      </c>
      <c r="AE81" s="236"/>
      <c r="AF81" s="85" t="s">
        <v>6700</v>
      </c>
      <c r="AG81" s="290" t="s">
        <v>192</v>
      </c>
      <c r="AH81" s="290" t="s">
        <v>192</v>
      </c>
    </row>
    <row r="82" spans="1:34" s="297" customFormat="1" ht="15" customHeight="1" x14ac:dyDescent="0.25">
      <c r="A82" s="289">
        <v>891780111</v>
      </c>
      <c r="B82" s="289" t="s">
        <v>54</v>
      </c>
      <c r="C82" s="290" t="s">
        <v>56</v>
      </c>
      <c r="D82" s="289" t="s">
        <v>60</v>
      </c>
      <c r="E82" s="290" t="s">
        <v>6701</v>
      </c>
      <c r="F82" s="289" t="s">
        <v>61</v>
      </c>
      <c r="G82" s="85" t="s">
        <v>63</v>
      </c>
      <c r="H82" s="85" t="s">
        <v>73</v>
      </c>
      <c r="I82" s="237">
        <v>15603000</v>
      </c>
      <c r="J82" s="290">
        <v>1</v>
      </c>
      <c r="K82" s="291">
        <v>1447000</v>
      </c>
      <c r="L82" s="291"/>
      <c r="M82" s="292">
        <f t="shared" si="3"/>
        <v>17050000</v>
      </c>
      <c r="N82" s="85">
        <v>7634396</v>
      </c>
      <c r="O82" s="85" t="s">
        <v>6702</v>
      </c>
      <c r="P82" s="85" t="s">
        <v>6703</v>
      </c>
      <c r="Q82" s="293">
        <v>44949</v>
      </c>
      <c r="R82" s="293">
        <v>44949</v>
      </c>
      <c r="S82" s="293">
        <v>45093</v>
      </c>
      <c r="T82" s="293"/>
      <c r="U82" s="293"/>
      <c r="V82" s="293"/>
      <c r="W82" s="294">
        <v>45107</v>
      </c>
      <c r="X82" s="237">
        <v>17050000</v>
      </c>
      <c r="Y82" s="295">
        <f t="shared" si="4"/>
        <v>0</v>
      </c>
      <c r="Z82" s="296">
        <f t="shared" si="5"/>
        <v>1</v>
      </c>
      <c r="AA82" s="85">
        <v>85465146</v>
      </c>
      <c r="AB82" s="85" t="s">
        <v>6628</v>
      </c>
      <c r="AC82" s="290" t="s">
        <v>196</v>
      </c>
      <c r="AD82" s="290" t="s">
        <v>196</v>
      </c>
      <c r="AE82" s="236"/>
      <c r="AF82" s="85" t="s">
        <v>6704</v>
      </c>
      <c r="AG82" s="290" t="s">
        <v>192</v>
      </c>
      <c r="AH82" s="290" t="s">
        <v>192</v>
      </c>
    </row>
    <row r="83" spans="1:34" s="297" customFormat="1" ht="15" customHeight="1" x14ac:dyDescent="0.25">
      <c r="A83" s="289">
        <v>891780111</v>
      </c>
      <c r="B83" s="289" t="s">
        <v>54</v>
      </c>
      <c r="C83" s="290" t="s">
        <v>56</v>
      </c>
      <c r="D83" s="289" t="s">
        <v>60</v>
      </c>
      <c r="E83" s="290" t="s">
        <v>6705</v>
      </c>
      <c r="F83" s="289" t="s">
        <v>61</v>
      </c>
      <c r="G83" s="85" t="s">
        <v>63</v>
      </c>
      <c r="H83" s="85" t="s">
        <v>73</v>
      </c>
      <c r="I83" s="237">
        <v>16947000</v>
      </c>
      <c r="J83" s="290">
        <v>1</v>
      </c>
      <c r="K83" s="291">
        <v>1446000</v>
      </c>
      <c r="L83" s="291"/>
      <c r="M83" s="292">
        <f t="shared" si="3"/>
        <v>18393000</v>
      </c>
      <c r="N83" s="85">
        <v>1082941715</v>
      </c>
      <c r="O83" s="85" t="s">
        <v>6706</v>
      </c>
      <c r="P83" s="85" t="s">
        <v>6707</v>
      </c>
      <c r="Q83" s="293">
        <v>44949</v>
      </c>
      <c r="R83" s="293">
        <v>44949</v>
      </c>
      <c r="S83" s="293">
        <v>45093</v>
      </c>
      <c r="T83" s="293"/>
      <c r="U83" s="293"/>
      <c r="V83" s="293"/>
      <c r="W83" s="294">
        <v>45107</v>
      </c>
      <c r="X83" s="237">
        <v>18393000</v>
      </c>
      <c r="Y83" s="295">
        <f t="shared" si="4"/>
        <v>0</v>
      </c>
      <c r="Z83" s="296">
        <f t="shared" si="5"/>
        <v>1</v>
      </c>
      <c r="AA83" s="85">
        <v>85465146</v>
      </c>
      <c r="AB83" s="85" t="s">
        <v>6628</v>
      </c>
      <c r="AC83" s="290" t="s">
        <v>196</v>
      </c>
      <c r="AD83" s="290" t="s">
        <v>196</v>
      </c>
      <c r="AE83" s="236"/>
      <c r="AF83" s="85" t="s">
        <v>6708</v>
      </c>
      <c r="AG83" s="290" t="s">
        <v>192</v>
      </c>
      <c r="AH83" s="290" t="s">
        <v>192</v>
      </c>
    </row>
    <row r="84" spans="1:34" s="297" customFormat="1" ht="15" customHeight="1" x14ac:dyDescent="0.25">
      <c r="A84" s="289">
        <v>891780111</v>
      </c>
      <c r="B84" s="289" t="s">
        <v>54</v>
      </c>
      <c r="C84" s="290" t="s">
        <v>56</v>
      </c>
      <c r="D84" s="289" t="s">
        <v>60</v>
      </c>
      <c r="E84" s="290" t="s">
        <v>6709</v>
      </c>
      <c r="F84" s="289" t="s">
        <v>61</v>
      </c>
      <c r="G84" s="85" t="s">
        <v>63</v>
      </c>
      <c r="H84" s="85" t="s">
        <v>73</v>
      </c>
      <c r="I84" s="237">
        <v>11367000</v>
      </c>
      <c r="J84" s="290">
        <v>1</v>
      </c>
      <c r="K84" s="291">
        <v>1026000.0000000001</v>
      </c>
      <c r="L84" s="291"/>
      <c r="M84" s="292">
        <f t="shared" si="3"/>
        <v>12393000</v>
      </c>
      <c r="N84" s="85">
        <v>1082972337</v>
      </c>
      <c r="O84" s="85" t="s">
        <v>6710</v>
      </c>
      <c r="P84" s="85" t="s">
        <v>6711</v>
      </c>
      <c r="Q84" s="293">
        <v>44949</v>
      </c>
      <c r="R84" s="293">
        <v>44949</v>
      </c>
      <c r="S84" s="293">
        <v>45093</v>
      </c>
      <c r="T84" s="293"/>
      <c r="U84" s="293"/>
      <c r="V84" s="293"/>
      <c r="W84" s="294">
        <v>45107</v>
      </c>
      <c r="X84" s="237">
        <v>12393000</v>
      </c>
      <c r="Y84" s="295">
        <f t="shared" si="4"/>
        <v>0</v>
      </c>
      <c r="Z84" s="296">
        <f t="shared" si="5"/>
        <v>1</v>
      </c>
      <c r="AA84" s="85">
        <v>85465146</v>
      </c>
      <c r="AB84" s="85" t="s">
        <v>6628</v>
      </c>
      <c r="AC84" s="290" t="s">
        <v>196</v>
      </c>
      <c r="AD84" s="290" t="s">
        <v>196</v>
      </c>
      <c r="AE84" s="236"/>
      <c r="AF84" s="85" t="s">
        <v>6712</v>
      </c>
      <c r="AG84" s="290" t="s">
        <v>192</v>
      </c>
      <c r="AH84" s="290" t="s">
        <v>192</v>
      </c>
    </row>
    <row r="85" spans="1:34" s="297" customFormat="1" ht="15" customHeight="1" x14ac:dyDescent="0.25">
      <c r="A85" s="289">
        <v>891780111</v>
      </c>
      <c r="B85" s="289" t="s">
        <v>54</v>
      </c>
      <c r="C85" s="290" t="s">
        <v>56</v>
      </c>
      <c r="D85" s="289" t="s">
        <v>60</v>
      </c>
      <c r="E85" s="290" t="s">
        <v>6713</v>
      </c>
      <c r="F85" s="289" t="s">
        <v>61</v>
      </c>
      <c r="G85" s="85" t="s">
        <v>63</v>
      </c>
      <c r="H85" s="85" t="s">
        <v>73</v>
      </c>
      <c r="I85" s="237">
        <v>9563000</v>
      </c>
      <c r="J85" s="290">
        <v>1</v>
      </c>
      <c r="K85" s="291">
        <v>887000</v>
      </c>
      <c r="L85" s="291"/>
      <c r="M85" s="292">
        <f t="shared" si="3"/>
        <v>10450000</v>
      </c>
      <c r="N85" s="85">
        <v>84092041</v>
      </c>
      <c r="O85" s="85" t="s">
        <v>6714</v>
      </c>
      <c r="P85" s="85" t="s">
        <v>6715</v>
      </c>
      <c r="Q85" s="293">
        <v>44949</v>
      </c>
      <c r="R85" s="293">
        <v>44949</v>
      </c>
      <c r="S85" s="293">
        <v>45094</v>
      </c>
      <c r="T85" s="293"/>
      <c r="U85" s="293"/>
      <c r="V85" s="293"/>
      <c r="W85" s="294">
        <v>45107</v>
      </c>
      <c r="X85" s="237">
        <v>10450000</v>
      </c>
      <c r="Y85" s="295">
        <f t="shared" si="4"/>
        <v>0</v>
      </c>
      <c r="Z85" s="296">
        <f t="shared" si="5"/>
        <v>1</v>
      </c>
      <c r="AA85" s="85">
        <v>85459497</v>
      </c>
      <c r="AB85" s="85" t="s">
        <v>4837</v>
      </c>
      <c r="AC85" s="290" t="s">
        <v>196</v>
      </c>
      <c r="AD85" s="290" t="s">
        <v>196</v>
      </c>
      <c r="AE85" s="236"/>
      <c r="AF85" s="85" t="s">
        <v>6716</v>
      </c>
      <c r="AG85" s="290" t="s">
        <v>192</v>
      </c>
      <c r="AH85" s="290" t="s">
        <v>192</v>
      </c>
    </row>
    <row r="86" spans="1:34" s="297" customFormat="1" ht="15" customHeight="1" x14ac:dyDescent="0.25">
      <c r="A86" s="289">
        <v>891780111</v>
      </c>
      <c r="B86" s="289" t="s">
        <v>54</v>
      </c>
      <c r="C86" s="290" t="s">
        <v>56</v>
      </c>
      <c r="D86" s="289" t="s">
        <v>60</v>
      </c>
      <c r="E86" s="290" t="s">
        <v>6717</v>
      </c>
      <c r="F86" s="289" t="s">
        <v>61</v>
      </c>
      <c r="G86" s="85" t="s">
        <v>63</v>
      </c>
      <c r="H86" s="85" t="s">
        <v>73</v>
      </c>
      <c r="I86" s="237">
        <v>8930000</v>
      </c>
      <c r="J86" s="290">
        <v>1</v>
      </c>
      <c r="K86" s="291">
        <v>570000</v>
      </c>
      <c r="L86" s="291"/>
      <c r="M86" s="292">
        <f t="shared" si="3"/>
        <v>9500000</v>
      </c>
      <c r="N86" s="85">
        <v>1082977230</v>
      </c>
      <c r="O86" s="85" t="s">
        <v>6718</v>
      </c>
      <c r="P86" s="85" t="s">
        <v>6617</v>
      </c>
      <c r="Q86" s="293">
        <v>44949</v>
      </c>
      <c r="R86" s="293">
        <v>44949</v>
      </c>
      <c r="S86" s="293">
        <v>45095</v>
      </c>
      <c r="T86" s="293"/>
      <c r="U86" s="293"/>
      <c r="V86" s="293"/>
      <c r="W86" s="294">
        <v>45093</v>
      </c>
      <c r="X86" s="237">
        <v>9500000</v>
      </c>
      <c r="Y86" s="295">
        <f t="shared" si="4"/>
        <v>0</v>
      </c>
      <c r="Z86" s="296">
        <f t="shared" si="5"/>
        <v>1</v>
      </c>
      <c r="AA86" s="85">
        <v>57444673</v>
      </c>
      <c r="AB86" s="85" t="s">
        <v>5370</v>
      </c>
      <c r="AC86" s="290" t="s">
        <v>196</v>
      </c>
      <c r="AD86" s="290" t="s">
        <v>196</v>
      </c>
      <c r="AE86" s="236"/>
      <c r="AF86" s="85" t="s">
        <v>6719</v>
      </c>
      <c r="AG86" s="290" t="s">
        <v>192</v>
      </c>
      <c r="AH86" s="290" t="s">
        <v>192</v>
      </c>
    </row>
    <row r="87" spans="1:34" s="297" customFormat="1" ht="15" customHeight="1" x14ac:dyDescent="0.25">
      <c r="A87" s="289">
        <v>891780111</v>
      </c>
      <c r="B87" s="289" t="s">
        <v>54</v>
      </c>
      <c r="C87" s="290" t="s">
        <v>56</v>
      </c>
      <c r="D87" s="289" t="s">
        <v>60</v>
      </c>
      <c r="E87" s="290" t="s">
        <v>6720</v>
      </c>
      <c r="F87" s="289" t="s">
        <v>61</v>
      </c>
      <c r="G87" s="85" t="s">
        <v>63</v>
      </c>
      <c r="H87" s="85" t="s">
        <v>73</v>
      </c>
      <c r="I87" s="237">
        <v>17113000</v>
      </c>
      <c r="J87" s="290">
        <v>1</v>
      </c>
      <c r="K87" s="291">
        <v>1587000</v>
      </c>
      <c r="L87" s="291"/>
      <c r="M87" s="292">
        <f t="shared" si="3"/>
        <v>18700000</v>
      </c>
      <c r="N87" s="85">
        <v>85154107</v>
      </c>
      <c r="O87" s="85" t="s">
        <v>6721</v>
      </c>
      <c r="P87" s="85" t="s">
        <v>6722</v>
      </c>
      <c r="Q87" s="293">
        <v>44949</v>
      </c>
      <c r="R87" s="293">
        <v>44949</v>
      </c>
      <c r="S87" s="293">
        <v>45093</v>
      </c>
      <c r="T87" s="293"/>
      <c r="U87" s="293"/>
      <c r="V87" s="293"/>
      <c r="W87" s="294">
        <v>45107</v>
      </c>
      <c r="X87" s="237">
        <v>18700000</v>
      </c>
      <c r="Y87" s="295">
        <f t="shared" si="4"/>
        <v>0</v>
      </c>
      <c r="Z87" s="296">
        <f t="shared" si="5"/>
        <v>1</v>
      </c>
      <c r="AA87" s="85">
        <v>84452087</v>
      </c>
      <c r="AB87" s="85" t="s">
        <v>6601</v>
      </c>
      <c r="AC87" s="290" t="s">
        <v>196</v>
      </c>
      <c r="AD87" s="290" t="s">
        <v>196</v>
      </c>
      <c r="AE87" s="236"/>
      <c r="AF87" s="85" t="s">
        <v>6723</v>
      </c>
      <c r="AG87" s="290" t="s">
        <v>192</v>
      </c>
      <c r="AH87" s="290" t="s">
        <v>192</v>
      </c>
    </row>
    <row r="88" spans="1:34" s="297" customFormat="1" ht="15" customHeight="1" x14ac:dyDescent="0.25">
      <c r="A88" s="289">
        <v>891780111</v>
      </c>
      <c r="B88" s="289" t="s">
        <v>54</v>
      </c>
      <c r="C88" s="290" t="s">
        <v>56</v>
      </c>
      <c r="D88" s="289" t="s">
        <v>60</v>
      </c>
      <c r="E88" s="290" t="s">
        <v>6724</v>
      </c>
      <c r="F88" s="289" t="s">
        <v>61</v>
      </c>
      <c r="G88" s="85" t="s">
        <v>63</v>
      </c>
      <c r="H88" s="85" t="s">
        <v>73</v>
      </c>
      <c r="I88" s="237">
        <v>10387000</v>
      </c>
      <c r="J88" s="290">
        <v>1</v>
      </c>
      <c r="K88" s="291">
        <v>886000</v>
      </c>
      <c r="L88" s="291"/>
      <c r="M88" s="292">
        <f t="shared" si="3"/>
        <v>11273000</v>
      </c>
      <c r="N88" s="85">
        <v>84459314</v>
      </c>
      <c r="O88" s="85" t="s">
        <v>6725</v>
      </c>
      <c r="P88" s="85" t="s">
        <v>6726</v>
      </c>
      <c r="Q88" s="293">
        <v>44949</v>
      </c>
      <c r="R88" s="293">
        <v>44949</v>
      </c>
      <c r="S88" s="293">
        <v>45093</v>
      </c>
      <c r="T88" s="293"/>
      <c r="U88" s="293"/>
      <c r="V88" s="293"/>
      <c r="W88" s="294">
        <v>45107</v>
      </c>
      <c r="X88" s="237">
        <v>11273000</v>
      </c>
      <c r="Y88" s="295">
        <f t="shared" si="4"/>
        <v>0</v>
      </c>
      <c r="Z88" s="296">
        <f t="shared" si="5"/>
        <v>1</v>
      </c>
      <c r="AA88" s="85">
        <v>85459497</v>
      </c>
      <c r="AB88" s="85" t="s">
        <v>4837</v>
      </c>
      <c r="AC88" s="290" t="s">
        <v>196</v>
      </c>
      <c r="AD88" s="290" t="s">
        <v>196</v>
      </c>
      <c r="AE88" s="236"/>
      <c r="AF88" s="85" t="s">
        <v>6727</v>
      </c>
      <c r="AG88" s="290" t="s">
        <v>192</v>
      </c>
      <c r="AH88" s="290" t="s">
        <v>192</v>
      </c>
    </row>
    <row r="89" spans="1:34" s="297" customFormat="1" ht="15" customHeight="1" x14ac:dyDescent="0.25">
      <c r="A89" s="289">
        <v>891780111</v>
      </c>
      <c r="B89" s="289" t="s">
        <v>54</v>
      </c>
      <c r="C89" s="290" t="s">
        <v>56</v>
      </c>
      <c r="D89" s="289" t="s">
        <v>60</v>
      </c>
      <c r="E89" s="290" t="s">
        <v>6728</v>
      </c>
      <c r="F89" s="289" t="s">
        <v>61</v>
      </c>
      <c r="G89" s="85" t="s">
        <v>63</v>
      </c>
      <c r="H89" s="85" t="s">
        <v>73</v>
      </c>
      <c r="I89" s="237">
        <v>15397000</v>
      </c>
      <c r="J89" s="290"/>
      <c r="K89" s="291"/>
      <c r="L89" s="291"/>
      <c r="M89" s="292">
        <f t="shared" si="3"/>
        <v>15397000</v>
      </c>
      <c r="N89" s="85">
        <v>1081820476</v>
      </c>
      <c r="O89" s="85" t="s">
        <v>6729</v>
      </c>
      <c r="P89" s="85" t="s">
        <v>6730</v>
      </c>
      <c r="Q89" s="293">
        <v>44949</v>
      </c>
      <c r="R89" s="293">
        <v>44949</v>
      </c>
      <c r="S89" s="293">
        <v>45093</v>
      </c>
      <c r="T89" s="293"/>
      <c r="U89" s="293"/>
      <c r="V89" s="293"/>
      <c r="W89" s="294"/>
      <c r="X89" s="237">
        <v>15397000</v>
      </c>
      <c r="Y89" s="295">
        <f t="shared" si="4"/>
        <v>0</v>
      </c>
      <c r="Z89" s="296">
        <f t="shared" si="5"/>
        <v>1</v>
      </c>
      <c r="AA89" s="85">
        <v>1192791759</v>
      </c>
      <c r="AB89" s="85" t="s">
        <v>6649</v>
      </c>
      <c r="AC89" s="290" t="s">
        <v>196</v>
      </c>
      <c r="AD89" s="290" t="s">
        <v>196</v>
      </c>
      <c r="AE89" s="236"/>
      <c r="AF89" s="85" t="s">
        <v>6731</v>
      </c>
      <c r="AG89" s="290" t="s">
        <v>192</v>
      </c>
      <c r="AH89" s="290" t="s">
        <v>192</v>
      </c>
    </row>
    <row r="90" spans="1:34" s="297" customFormat="1" ht="15" customHeight="1" x14ac:dyDescent="0.25">
      <c r="A90" s="289">
        <v>891780111</v>
      </c>
      <c r="B90" s="289" t="s">
        <v>54</v>
      </c>
      <c r="C90" s="290" t="s">
        <v>56</v>
      </c>
      <c r="D90" s="289" t="s">
        <v>60</v>
      </c>
      <c r="E90" s="290" t="s">
        <v>6732</v>
      </c>
      <c r="F90" s="289" t="s">
        <v>61</v>
      </c>
      <c r="G90" s="85" t="s">
        <v>63</v>
      </c>
      <c r="H90" s="85" t="s">
        <v>73</v>
      </c>
      <c r="I90" s="237">
        <v>16120000</v>
      </c>
      <c r="J90" s="290">
        <v>1</v>
      </c>
      <c r="K90" s="291">
        <v>1447000</v>
      </c>
      <c r="L90" s="291"/>
      <c r="M90" s="292">
        <f t="shared" si="3"/>
        <v>17567000</v>
      </c>
      <c r="N90" s="85">
        <v>85472349</v>
      </c>
      <c r="O90" s="85" t="s">
        <v>6733</v>
      </c>
      <c r="P90" s="85" t="s">
        <v>6734</v>
      </c>
      <c r="Q90" s="293">
        <v>44949</v>
      </c>
      <c r="R90" s="293">
        <v>44949</v>
      </c>
      <c r="S90" s="293">
        <v>45093</v>
      </c>
      <c r="T90" s="293"/>
      <c r="U90" s="293"/>
      <c r="V90" s="293"/>
      <c r="W90" s="294">
        <v>45107</v>
      </c>
      <c r="X90" s="237">
        <v>17567000</v>
      </c>
      <c r="Y90" s="295">
        <f t="shared" si="4"/>
        <v>0</v>
      </c>
      <c r="Z90" s="296">
        <f t="shared" si="5"/>
        <v>1</v>
      </c>
      <c r="AA90" s="85">
        <v>85449357</v>
      </c>
      <c r="AB90" s="85" t="s">
        <v>6553</v>
      </c>
      <c r="AC90" s="290" t="s">
        <v>196</v>
      </c>
      <c r="AD90" s="290" t="s">
        <v>196</v>
      </c>
      <c r="AE90" s="236"/>
      <c r="AF90" s="85" t="s">
        <v>6735</v>
      </c>
      <c r="AG90" s="290" t="s">
        <v>192</v>
      </c>
      <c r="AH90" s="290" t="s">
        <v>192</v>
      </c>
    </row>
    <row r="91" spans="1:34" s="297" customFormat="1" ht="15" customHeight="1" x14ac:dyDescent="0.25">
      <c r="A91" s="289">
        <v>891780111</v>
      </c>
      <c r="B91" s="289" t="s">
        <v>54</v>
      </c>
      <c r="C91" s="290" t="s">
        <v>56</v>
      </c>
      <c r="D91" s="289" t="s">
        <v>60</v>
      </c>
      <c r="E91" s="290" t="s">
        <v>6736</v>
      </c>
      <c r="F91" s="289" t="s">
        <v>61</v>
      </c>
      <c r="G91" s="85" t="s">
        <v>63</v>
      </c>
      <c r="H91" s="85" t="s">
        <v>73</v>
      </c>
      <c r="I91" s="237">
        <v>15500000</v>
      </c>
      <c r="J91" s="290"/>
      <c r="K91" s="291"/>
      <c r="L91" s="291"/>
      <c r="M91" s="292">
        <f t="shared" si="3"/>
        <v>15500000</v>
      </c>
      <c r="N91" s="85">
        <v>26671855</v>
      </c>
      <c r="O91" s="85" t="s">
        <v>6737</v>
      </c>
      <c r="P91" s="85" t="s">
        <v>6738</v>
      </c>
      <c r="Q91" s="293">
        <v>44949</v>
      </c>
      <c r="R91" s="293">
        <v>44949</v>
      </c>
      <c r="S91" s="293">
        <v>45093</v>
      </c>
      <c r="T91" s="293"/>
      <c r="U91" s="293"/>
      <c r="V91" s="293"/>
      <c r="W91" s="294"/>
      <c r="X91" s="237">
        <v>15500000</v>
      </c>
      <c r="Y91" s="295">
        <f t="shared" si="4"/>
        <v>0</v>
      </c>
      <c r="Z91" s="296">
        <f t="shared" si="5"/>
        <v>1</v>
      </c>
      <c r="AA91" s="85">
        <v>39058006</v>
      </c>
      <c r="AB91" s="85" t="s">
        <v>6699</v>
      </c>
      <c r="AC91" s="290" t="s">
        <v>196</v>
      </c>
      <c r="AD91" s="290" t="s">
        <v>196</v>
      </c>
      <c r="AE91" s="236"/>
      <c r="AF91" s="85" t="s">
        <v>6739</v>
      </c>
      <c r="AG91" s="290" t="s">
        <v>192</v>
      </c>
      <c r="AH91" s="290" t="s">
        <v>192</v>
      </c>
    </row>
    <row r="92" spans="1:34" s="297" customFormat="1" ht="15" customHeight="1" x14ac:dyDescent="0.25">
      <c r="A92" s="289">
        <v>891780111</v>
      </c>
      <c r="B92" s="289" t="s">
        <v>54</v>
      </c>
      <c r="C92" s="290" t="s">
        <v>56</v>
      </c>
      <c r="D92" s="289" t="s">
        <v>60</v>
      </c>
      <c r="E92" s="290" t="s">
        <v>6740</v>
      </c>
      <c r="F92" s="289" t="s">
        <v>61</v>
      </c>
      <c r="G92" s="85" t="s">
        <v>63</v>
      </c>
      <c r="H92" s="85" t="s">
        <v>73</v>
      </c>
      <c r="I92" s="237">
        <v>16017000</v>
      </c>
      <c r="J92" s="290"/>
      <c r="K92" s="291">
        <v>1446000</v>
      </c>
      <c r="L92" s="291"/>
      <c r="M92" s="292">
        <f t="shared" si="3"/>
        <v>17463000</v>
      </c>
      <c r="N92" s="85">
        <v>1083554776</v>
      </c>
      <c r="O92" s="85" t="s">
        <v>6741</v>
      </c>
      <c r="P92" s="85" t="s">
        <v>6742</v>
      </c>
      <c r="Q92" s="293">
        <v>44949</v>
      </c>
      <c r="R92" s="293">
        <v>44949</v>
      </c>
      <c r="S92" s="293">
        <v>45093</v>
      </c>
      <c r="T92" s="293"/>
      <c r="U92" s="293"/>
      <c r="V92" s="293"/>
      <c r="W92" s="294">
        <v>45107</v>
      </c>
      <c r="X92" s="237">
        <v>17463000</v>
      </c>
      <c r="Y92" s="295">
        <f t="shared" si="4"/>
        <v>0</v>
      </c>
      <c r="Z92" s="296">
        <f t="shared" si="5"/>
        <v>1</v>
      </c>
      <c r="AA92" s="85">
        <v>85465146</v>
      </c>
      <c r="AB92" s="85" t="s">
        <v>6628</v>
      </c>
      <c r="AC92" s="290" t="s">
        <v>196</v>
      </c>
      <c r="AD92" s="290" t="s">
        <v>196</v>
      </c>
      <c r="AE92" s="236"/>
      <c r="AF92" s="85" t="s">
        <v>6743</v>
      </c>
      <c r="AG92" s="290" t="s">
        <v>192</v>
      </c>
      <c r="AH92" s="290" t="s">
        <v>192</v>
      </c>
    </row>
    <row r="93" spans="1:34" s="297" customFormat="1" ht="15" customHeight="1" x14ac:dyDescent="0.25">
      <c r="A93" s="289">
        <v>891780111</v>
      </c>
      <c r="B93" s="289" t="s">
        <v>54</v>
      </c>
      <c r="C93" s="290" t="s">
        <v>56</v>
      </c>
      <c r="D93" s="289" t="s">
        <v>60</v>
      </c>
      <c r="E93" s="290" t="s">
        <v>6744</v>
      </c>
      <c r="F93" s="289" t="s">
        <v>61</v>
      </c>
      <c r="G93" s="85" t="s">
        <v>63</v>
      </c>
      <c r="H93" s="85" t="s">
        <v>73</v>
      </c>
      <c r="I93" s="237">
        <v>15397000</v>
      </c>
      <c r="J93" s="290"/>
      <c r="K93" s="291">
        <v>1446000</v>
      </c>
      <c r="L93" s="291"/>
      <c r="M93" s="292">
        <f t="shared" si="3"/>
        <v>16843000</v>
      </c>
      <c r="N93" s="85">
        <v>1143142377</v>
      </c>
      <c r="O93" s="85" t="s">
        <v>6745</v>
      </c>
      <c r="P93" s="85" t="s">
        <v>6746</v>
      </c>
      <c r="Q93" s="293">
        <v>44949</v>
      </c>
      <c r="R93" s="293">
        <v>44949</v>
      </c>
      <c r="S93" s="293">
        <v>45093</v>
      </c>
      <c r="T93" s="293"/>
      <c r="U93" s="293"/>
      <c r="V93" s="293"/>
      <c r="W93" s="294">
        <v>45107</v>
      </c>
      <c r="X93" s="237">
        <v>16843000</v>
      </c>
      <c r="Y93" s="295">
        <f t="shared" si="4"/>
        <v>0</v>
      </c>
      <c r="Z93" s="296">
        <f t="shared" si="5"/>
        <v>1</v>
      </c>
      <c r="AA93" s="85">
        <v>1192791759</v>
      </c>
      <c r="AB93" s="85" t="s">
        <v>6649</v>
      </c>
      <c r="AC93" s="290" t="s">
        <v>196</v>
      </c>
      <c r="AD93" s="290" t="s">
        <v>196</v>
      </c>
      <c r="AE93" s="236"/>
      <c r="AF93" s="85" t="s">
        <v>6747</v>
      </c>
      <c r="AG93" s="290" t="s">
        <v>192</v>
      </c>
      <c r="AH93" s="290" t="s">
        <v>192</v>
      </c>
    </row>
    <row r="94" spans="1:34" s="297" customFormat="1" ht="15" customHeight="1" x14ac:dyDescent="0.25">
      <c r="A94" s="289">
        <v>891780111</v>
      </c>
      <c r="B94" s="289" t="s">
        <v>54</v>
      </c>
      <c r="C94" s="290" t="s">
        <v>56</v>
      </c>
      <c r="D94" s="289" t="s">
        <v>60</v>
      </c>
      <c r="E94" s="290" t="s">
        <v>6748</v>
      </c>
      <c r="F94" s="289" t="s">
        <v>61</v>
      </c>
      <c r="G94" s="85" t="s">
        <v>63</v>
      </c>
      <c r="H94" s="85" t="s">
        <v>73</v>
      </c>
      <c r="I94" s="237">
        <v>11073000</v>
      </c>
      <c r="J94" s="290"/>
      <c r="K94" s="291">
        <v>1027000.0000000001</v>
      </c>
      <c r="L94" s="291"/>
      <c r="M94" s="292">
        <f t="shared" si="3"/>
        <v>12100000</v>
      </c>
      <c r="N94" s="85">
        <v>1042457246</v>
      </c>
      <c r="O94" s="85" t="s">
        <v>6749</v>
      </c>
      <c r="P94" s="85" t="s">
        <v>6750</v>
      </c>
      <c r="Q94" s="293">
        <v>44949</v>
      </c>
      <c r="R94" s="293">
        <v>44949</v>
      </c>
      <c r="S94" s="293">
        <v>45093</v>
      </c>
      <c r="T94" s="293"/>
      <c r="U94" s="293"/>
      <c r="V94" s="293"/>
      <c r="W94" s="294">
        <v>45107</v>
      </c>
      <c r="X94" s="237">
        <v>12100000</v>
      </c>
      <c r="Y94" s="295">
        <f t="shared" si="4"/>
        <v>0</v>
      </c>
      <c r="Z94" s="296">
        <f t="shared" si="5"/>
        <v>1</v>
      </c>
      <c r="AA94" s="85">
        <v>93400727</v>
      </c>
      <c r="AB94" s="85" t="s">
        <v>6418</v>
      </c>
      <c r="AC94" s="290" t="s">
        <v>196</v>
      </c>
      <c r="AD94" s="290" t="s">
        <v>196</v>
      </c>
      <c r="AE94" s="236"/>
      <c r="AF94" s="85" t="s">
        <v>6751</v>
      </c>
      <c r="AG94" s="290" t="s">
        <v>192</v>
      </c>
      <c r="AH94" s="290" t="s">
        <v>192</v>
      </c>
    </row>
    <row r="95" spans="1:34" s="297" customFormat="1" ht="15" customHeight="1" x14ac:dyDescent="0.25">
      <c r="A95" s="289">
        <v>891780111</v>
      </c>
      <c r="B95" s="289" t="s">
        <v>54</v>
      </c>
      <c r="C95" s="290" t="s">
        <v>56</v>
      </c>
      <c r="D95" s="289" t="s">
        <v>60</v>
      </c>
      <c r="E95" s="290" t="s">
        <v>6752</v>
      </c>
      <c r="F95" s="289" t="s">
        <v>61</v>
      </c>
      <c r="G95" s="85" t="s">
        <v>63</v>
      </c>
      <c r="H95" s="85" t="s">
        <v>73</v>
      </c>
      <c r="I95" s="237">
        <v>17153000</v>
      </c>
      <c r="J95" s="290"/>
      <c r="K95" s="291">
        <v>1447000</v>
      </c>
      <c r="L95" s="291"/>
      <c r="M95" s="292">
        <f t="shared" si="3"/>
        <v>18600000</v>
      </c>
      <c r="N95" s="85">
        <v>1004369176</v>
      </c>
      <c r="O95" s="85" t="s">
        <v>6753</v>
      </c>
      <c r="P95" s="85" t="s">
        <v>6754</v>
      </c>
      <c r="Q95" s="293">
        <v>44949</v>
      </c>
      <c r="R95" s="293">
        <v>44949</v>
      </c>
      <c r="S95" s="293">
        <v>45093</v>
      </c>
      <c r="T95" s="293"/>
      <c r="U95" s="293"/>
      <c r="V95" s="293"/>
      <c r="W95" s="294">
        <v>45107</v>
      </c>
      <c r="X95" s="237">
        <v>18600000</v>
      </c>
      <c r="Y95" s="295">
        <f t="shared" si="4"/>
        <v>0</v>
      </c>
      <c r="Z95" s="296">
        <f t="shared" si="5"/>
        <v>1</v>
      </c>
      <c r="AA95" s="85">
        <v>85449357</v>
      </c>
      <c r="AB95" s="85" t="s">
        <v>6553</v>
      </c>
      <c r="AC95" s="290" t="s">
        <v>196</v>
      </c>
      <c r="AD95" s="290" t="s">
        <v>196</v>
      </c>
      <c r="AE95" s="236"/>
      <c r="AF95" s="85" t="s">
        <v>6755</v>
      </c>
      <c r="AG95" s="290" t="s">
        <v>192</v>
      </c>
      <c r="AH95" s="290" t="s">
        <v>192</v>
      </c>
    </row>
    <row r="96" spans="1:34" s="297" customFormat="1" ht="15" customHeight="1" x14ac:dyDescent="0.25">
      <c r="A96" s="289">
        <v>891780111</v>
      </c>
      <c r="B96" s="289" t="s">
        <v>54</v>
      </c>
      <c r="C96" s="290" t="s">
        <v>56</v>
      </c>
      <c r="D96" s="289" t="s">
        <v>60</v>
      </c>
      <c r="E96" s="290" t="s">
        <v>6756</v>
      </c>
      <c r="F96" s="289" t="s">
        <v>61</v>
      </c>
      <c r="G96" s="85" t="s">
        <v>63</v>
      </c>
      <c r="H96" s="85" t="s">
        <v>73</v>
      </c>
      <c r="I96" s="237">
        <v>15397000</v>
      </c>
      <c r="J96" s="290"/>
      <c r="K96" s="291">
        <v>1446000</v>
      </c>
      <c r="L96" s="291"/>
      <c r="M96" s="292">
        <f t="shared" si="3"/>
        <v>16843000</v>
      </c>
      <c r="N96" s="85">
        <v>1081826881</v>
      </c>
      <c r="O96" s="85" t="s">
        <v>6757</v>
      </c>
      <c r="P96" s="85" t="s">
        <v>6758</v>
      </c>
      <c r="Q96" s="293">
        <v>44949</v>
      </c>
      <c r="R96" s="293">
        <v>44949</v>
      </c>
      <c r="S96" s="293">
        <v>45093</v>
      </c>
      <c r="T96" s="293"/>
      <c r="U96" s="293"/>
      <c r="V96" s="293"/>
      <c r="W96" s="294">
        <v>45107</v>
      </c>
      <c r="X96" s="237">
        <v>16843000</v>
      </c>
      <c r="Y96" s="295">
        <f t="shared" si="4"/>
        <v>0</v>
      </c>
      <c r="Z96" s="296">
        <f t="shared" si="5"/>
        <v>1</v>
      </c>
      <c r="AA96" s="85">
        <v>1192791759</v>
      </c>
      <c r="AB96" s="85" t="s">
        <v>6649</v>
      </c>
      <c r="AC96" s="290" t="s">
        <v>196</v>
      </c>
      <c r="AD96" s="290" t="s">
        <v>196</v>
      </c>
      <c r="AE96" s="236"/>
      <c r="AF96" s="85" t="s">
        <v>6759</v>
      </c>
      <c r="AG96" s="290" t="s">
        <v>192</v>
      </c>
      <c r="AH96" s="290" t="s">
        <v>192</v>
      </c>
    </row>
    <row r="97" spans="1:34" s="297" customFormat="1" ht="15" customHeight="1" x14ac:dyDescent="0.25">
      <c r="A97" s="289">
        <v>891780111</v>
      </c>
      <c r="B97" s="289" t="s">
        <v>54</v>
      </c>
      <c r="C97" s="290" t="s">
        <v>56</v>
      </c>
      <c r="D97" s="289" t="s">
        <v>60</v>
      </c>
      <c r="E97" s="290" t="s">
        <v>6760</v>
      </c>
      <c r="F97" s="289" t="s">
        <v>61</v>
      </c>
      <c r="G97" s="85" t="s">
        <v>63</v>
      </c>
      <c r="H97" s="85" t="s">
        <v>73</v>
      </c>
      <c r="I97" s="237">
        <v>14467000</v>
      </c>
      <c r="J97" s="290"/>
      <c r="K97" s="291">
        <v>1306000</v>
      </c>
      <c r="L97" s="291"/>
      <c r="M97" s="292">
        <f t="shared" si="3"/>
        <v>15773000</v>
      </c>
      <c r="N97" s="85">
        <v>1082872335</v>
      </c>
      <c r="O97" s="85" t="s">
        <v>6761</v>
      </c>
      <c r="P97" s="85" t="s">
        <v>6762</v>
      </c>
      <c r="Q97" s="293">
        <v>44949</v>
      </c>
      <c r="R97" s="293">
        <v>44949</v>
      </c>
      <c r="S97" s="293">
        <v>45093</v>
      </c>
      <c r="T97" s="293"/>
      <c r="U97" s="293"/>
      <c r="V97" s="293"/>
      <c r="W97" s="294">
        <v>45107</v>
      </c>
      <c r="X97" s="237">
        <v>15773000</v>
      </c>
      <c r="Y97" s="295">
        <f t="shared" si="4"/>
        <v>0</v>
      </c>
      <c r="Z97" s="296">
        <f t="shared" si="5"/>
        <v>1</v>
      </c>
      <c r="AA97" s="85">
        <v>85465146</v>
      </c>
      <c r="AB97" s="85" t="s">
        <v>6628</v>
      </c>
      <c r="AC97" s="290" t="s">
        <v>196</v>
      </c>
      <c r="AD97" s="290" t="s">
        <v>196</v>
      </c>
      <c r="AE97" s="236"/>
      <c r="AF97" s="85" t="s">
        <v>6763</v>
      </c>
      <c r="AG97" s="290" t="s">
        <v>192</v>
      </c>
      <c r="AH97" s="290" t="s">
        <v>192</v>
      </c>
    </row>
    <row r="98" spans="1:34" s="297" customFormat="1" ht="15" customHeight="1" x14ac:dyDescent="0.25">
      <c r="A98" s="289">
        <v>891780111</v>
      </c>
      <c r="B98" s="289" t="s">
        <v>54</v>
      </c>
      <c r="C98" s="290" t="s">
        <v>56</v>
      </c>
      <c r="D98" s="289" t="s">
        <v>60</v>
      </c>
      <c r="E98" s="290" t="s">
        <v>6764</v>
      </c>
      <c r="F98" s="289" t="s">
        <v>61</v>
      </c>
      <c r="G98" s="85" t="s">
        <v>63</v>
      </c>
      <c r="H98" s="85" t="s">
        <v>73</v>
      </c>
      <c r="I98" s="237">
        <v>10340000</v>
      </c>
      <c r="J98" s="290"/>
      <c r="K98" s="291">
        <v>1687000</v>
      </c>
      <c r="L98" s="291"/>
      <c r="M98" s="292">
        <f t="shared" si="3"/>
        <v>12027000</v>
      </c>
      <c r="N98" s="85">
        <v>1082880869</v>
      </c>
      <c r="O98" s="85" t="s">
        <v>6765</v>
      </c>
      <c r="P98" s="85" t="s">
        <v>6766</v>
      </c>
      <c r="Q98" s="293">
        <v>44949</v>
      </c>
      <c r="R98" s="293">
        <v>44949</v>
      </c>
      <c r="S98" s="293">
        <v>45084</v>
      </c>
      <c r="T98" s="293"/>
      <c r="U98" s="293"/>
      <c r="V98" s="293"/>
      <c r="W98" s="294">
        <v>45107</v>
      </c>
      <c r="X98" s="237">
        <v>12027000</v>
      </c>
      <c r="Y98" s="295">
        <f t="shared" si="4"/>
        <v>0</v>
      </c>
      <c r="Z98" s="296">
        <f t="shared" si="5"/>
        <v>1</v>
      </c>
      <c r="AA98" s="85">
        <v>57444673</v>
      </c>
      <c r="AB98" s="85" t="s">
        <v>5370</v>
      </c>
      <c r="AC98" s="290" t="s">
        <v>196</v>
      </c>
      <c r="AD98" s="290" t="s">
        <v>196</v>
      </c>
      <c r="AE98" s="236"/>
      <c r="AF98" s="85" t="s">
        <v>6767</v>
      </c>
      <c r="AG98" s="290" t="s">
        <v>192</v>
      </c>
      <c r="AH98" s="290" t="s">
        <v>192</v>
      </c>
    </row>
    <row r="99" spans="1:34" s="297" customFormat="1" ht="15" customHeight="1" x14ac:dyDescent="0.25">
      <c r="A99" s="289">
        <v>891780111</v>
      </c>
      <c r="B99" s="289" t="s">
        <v>54</v>
      </c>
      <c r="C99" s="290" t="s">
        <v>56</v>
      </c>
      <c r="D99" s="289" t="s">
        <v>60</v>
      </c>
      <c r="E99" s="290" t="s">
        <v>6768</v>
      </c>
      <c r="F99" s="289" t="s">
        <v>61</v>
      </c>
      <c r="G99" s="85" t="s">
        <v>63</v>
      </c>
      <c r="H99" s="85" t="s">
        <v>73</v>
      </c>
      <c r="I99" s="237">
        <v>26980000</v>
      </c>
      <c r="J99" s="290">
        <v>2</v>
      </c>
      <c r="K99" s="291">
        <v>6370000</v>
      </c>
      <c r="L99" s="291"/>
      <c r="M99" s="292">
        <f t="shared" si="3"/>
        <v>33350000</v>
      </c>
      <c r="N99" s="85">
        <v>51937854</v>
      </c>
      <c r="O99" s="85" t="s">
        <v>6769</v>
      </c>
      <c r="P99" s="85" t="s">
        <v>6770</v>
      </c>
      <c r="Q99" s="293">
        <v>44949</v>
      </c>
      <c r="R99" s="293">
        <v>44949</v>
      </c>
      <c r="S99" s="293">
        <v>45084</v>
      </c>
      <c r="T99" s="293"/>
      <c r="U99" s="293"/>
      <c r="V99" s="293"/>
      <c r="W99" s="294">
        <v>45107</v>
      </c>
      <c r="X99" s="237">
        <v>33350000</v>
      </c>
      <c r="Y99" s="295">
        <f t="shared" si="4"/>
        <v>0</v>
      </c>
      <c r="Z99" s="296">
        <f t="shared" si="5"/>
        <v>1</v>
      </c>
      <c r="AA99" s="85">
        <v>72175281</v>
      </c>
      <c r="AB99" s="85" t="s">
        <v>6507</v>
      </c>
      <c r="AC99" s="290" t="s">
        <v>196</v>
      </c>
      <c r="AD99" s="290" t="s">
        <v>196</v>
      </c>
      <c r="AE99" s="236"/>
      <c r="AF99" s="85" t="s">
        <v>6771</v>
      </c>
      <c r="AG99" s="290" t="s">
        <v>192</v>
      </c>
      <c r="AH99" s="290" t="s">
        <v>192</v>
      </c>
    </row>
    <row r="100" spans="1:34" s="297" customFormat="1" ht="15" customHeight="1" x14ac:dyDescent="0.25">
      <c r="A100" s="289">
        <v>891780111</v>
      </c>
      <c r="B100" s="289" t="s">
        <v>54</v>
      </c>
      <c r="C100" s="290" t="s">
        <v>56</v>
      </c>
      <c r="D100" s="289" t="s">
        <v>60</v>
      </c>
      <c r="E100" s="290" t="s">
        <v>6772</v>
      </c>
      <c r="F100" s="289" t="s">
        <v>61</v>
      </c>
      <c r="G100" s="85" t="s">
        <v>63</v>
      </c>
      <c r="H100" s="85" t="s">
        <v>73</v>
      </c>
      <c r="I100" s="237">
        <v>9563000</v>
      </c>
      <c r="J100" s="290"/>
      <c r="K100" s="291">
        <v>887000</v>
      </c>
      <c r="L100" s="291"/>
      <c r="M100" s="292">
        <f t="shared" si="3"/>
        <v>10450000</v>
      </c>
      <c r="N100" s="85">
        <v>1083023147</v>
      </c>
      <c r="O100" s="85" t="s">
        <v>6773</v>
      </c>
      <c r="P100" s="85" t="s">
        <v>6774</v>
      </c>
      <c r="Q100" s="293">
        <v>44949</v>
      </c>
      <c r="R100" s="293">
        <v>44949</v>
      </c>
      <c r="S100" s="293">
        <v>45093</v>
      </c>
      <c r="T100" s="293"/>
      <c r="U100" s="293"/>
      <c r="V100" s="293"/>
      <c r="W100" s="294">
        <v>45107</v>
      </c>
      <c r="X100" s="237">
        <v>10450000</v>
      </c>
      <c r="Y100" s="295">
        <f t="shared" si="4"/>
        <v>0</v>
      </c>
      <c r="Z100" s="296">
        <f t="shared" si="5"/>
        <v>1</v>
      </c>
      <c r="AA100" s="85">
        <v>93400727</v>
      </c>
      <c r="AB100" s="85" t="s">
        <v>6418</v>
      </c>
      <c r="AC100" s="290" t="s">
        <v>196</v>
      </c>
      <c r="AD100" s="290" t="s">
        <v>196</v>
      </c>
      <c r="AE100" s="236"/>
      <c r="AF100" s="85" t="s">
        <v>6775</v>
      </c>
      <c r="AG100" s="290" t="s">
        <v>192</v>
      </c>
      <c r="AH100" s="290" t="s">
        <v>192</v>
      </c>
    </row>
    <row r="101" spans="1:34" s="297" customFormat="1" ht="15" customHeight="1" x14ac:dyDescent="0.25">
      <c r="A101" s="289">
        <v>891780111</v>
      </c>
      <c r="B101" s="289" t="s">
        <v>54</v>
      </c>
      <c r="C101" s="290" t="s">
        <v>56</v>
      </c>
      <c r="D101" s="289" t="s">
        <v>60</v>
      </c>
      <c r="E101" s="290" t="s">
        <v>6776</v>
      </c>
      <c r="F101" s="289" t="s">
        <v>61</v>
      </c>
      <c r="G101" s="85" t="s">
        <v>63</v>
      </c>
      <c r="H101" s="85" t="s">
        <v>73</v>
      </c>
      <c r="I101" s="237">
        <v>15307000</v>
      </c>
      <c r="J101" s="290"/>
      <c r="K101" s="291">
        <v>1306000</v>
      </c>
      <c r="L101" s="291"/>
      <c r="M101" s="292">
        <f t="shared" si="3"/>
        <v>16613000</v>
      </c>
      <c r="N101" s="85">
        <v>1143139441</v>
      </c>
      <c r="O101" s="85" t="s">
        <v>6777</v>
      </c>
      <c r="P101" s="85" t="s">
        <v>6778</v>
      </c>
      <c r="Q101" s="293">
        <v>44949</v>
      </c>
      <c r="R101" s="293">
        <v>44949</v>
      </c>
      <c r="S101" s="293">
        <v>45093</v>
      </c>
      <c r="T101" s="293"/>
      <c r="U101" s="293"/>
      <c r="V101" s="293"/>
      <c r="W101" s="294">
        <v>45107</v>
      </c>
      <c r="X101" s="237">
        <v>16613000</v>
      </c>
      <c r="Y101" s="295">
        <f t="shared" si="4"/>
        <v>0</v>
      </c>
      <c r="Z101" s="296">
        <f t="shared" si="5"/>
        <v>1</v>
      </c>
      <c r="AA101" s="85">
        <v>84452087</v>
      </c>
      <c r="AB101" s="85" t="s">
        <v>6601</v>
      </c>
      <c r="AC101" s="290" t="s">
        <v>196</v>
      </c>
      <c r="AD101" s="290" t="s">
        <v>196</v>
      </c>
      <c r="AE101" s="236"/>
      <c r="AF101" s="85" t="s">
        <v>6779</v>
      </c>
      <c r="AG101" s="290" t="s">
        <v>192</v>
      </c>
      <c r="AH101" s="290" t="s">
        <v>192</v>
      </c>
    </row>
    <row r="102" spans="1:34" s="297" customFormat="1" ht="15" customHeight="1" x14ac:dyDescent="0.25">
      <c r="A102" s="289">
        <v>891780111</v>
      </c>
      <c r="B102" s="289" t="s">
        <v>54</v>
      </c>
      <c r="C102" s="290" t="s">
        <v>56</v>
      </c>
      <c r="D102" s="289" t="s">
        <v>60</v>
      </c>
      <c r="E102" s="290" t="s">
        <v>6780</v>
      </c>
      <c r="F102" s="289" t="s">
        <v>61</v>
      </c>
      <c r="G102" s="85" t="s">
        <v>63</v>
      </c>
      <c r="H102" s="85" t="s">
        <v>73</v>
      </c>
      <c r="I102" s="237">
        <v>10583000</v>
      </c>
      <c r="J102" s="290">
        <v>1</v>
      </c>
      <c r="K102" s="291">
        <v>3167000</v>
      </c>
      <c r="L102" s="291"/>
      <c r="M102" s="292">
        <f t="shared" si="3"/>
        <v>13750000</v>
      </c>
      <c r="N102" s="85">
        <v>1148702081</v>
      </c>
      <c r="O102" s="85" t="s">
        <v>6781</v>
      </c>
      <c r="P102" s="85" t="s">
        <v>6782</v>
      </c>
      <c r="Q102" s="293">
        <v>44949</v>
      </c>
      <c r="R102" s="293">
        <v>44949</v>
      </c>
      <c r="S102" s="293">
        <v>45068</v>
      </c>
      <c r="T102" s="293"/>
      <c r="U102" s="293"/>
      <c r="V102" s="293"/>
      <c r="W102" s="294">
        <v>45107</v>
      </c>
      <c r="X102" s="237">
        <v>13750000</v>
      </c>
      <c r="Y102" s="295">
        <f t="shared" si="4"/>
        <v>0</v>
      </c>
      <c r="Z102" s="296">
        <f t="shared" si="5"/>
        <v>1</v>
      </c>
      <c r="AA102" s="85">
        <v>85449357</v>
      </c>
      <c r="AB102" s="85" t="s">
        <v>6553</v>
      </c>
      <c r="AC102" s="290" t="s">
        <v>196</v>
      </c>
      <c r="AD102" s="290" t="s">
        <v>196</v>
      </c>
      <c r="AE102" s="236"/>
      <c r="AF102" s="85" t="s">
        <v>6783</v>
      </c>
      <c r="AG102" s="290" t="s">
        <v>192</v>
      </c>
      <c r="AH102" s="290" t="s">
        <v>192</v>
      </c>
    </row>
    <row r="103" spans="1:34" s="297" customFormat="1" ht="15" customHeight="1" x14ac:dyDescent="0.25">
      <c r="A103" s="289">
        <v>891780111</v>
      </c>
      <c r="B103" s="289" t="s">
        <v>54</v>
      </c>
      <c r="C103" s="290" t="s">
        <v>56</v>
      </c>
      <c r="D103" s="289" t="s">
        <v>60</v>
      </c>
      <c r="E103" s="290" t="s">
        <v>6784</v>
      </c>
      <c r="F103" s="289" t="s">
        <v>61</v>
      </c>
      <c r="G103" s="85" t="s">
        <v>63</v>
      </c>
      <c r="H103" s="85" t="s">
        <v>73</v>
      </c>
      <c r="I103" s="237">
        <v>2700000</v>
      </c>
      <c r="J103" s="290"/>
      <c r="K103" s="291"/>
      <c r="L103" s="291"/>
      <c r="M103" s="292">
        <f t="shared" si="3"/>
        <v>2700000</v>
      </c>
      <c r="N103" s="85">
        <v>32939679</v>
      </c>
      <c r="O103" s="85" t="s">
        <v>6785</v>
      </c>
      <c r="P103" s="85" t="s">
        <v>6786</v>
      </c>
      <c r="Q103" s="293">
        <v>44949</v>
      </c>
      <c r="R103" s="293">
        <v>44949</v>
      </c>
      <c r="S103" s="293">
        <v>44952</v>
      </c>
      <c r="T103" s="293"/>
      <c r="U103" s="293"/>
      <c r="V103" s="293"/>
      <c r="W103" s="294"/>
      <c r="X103" s="237">
        <v>2700000</v>
      </c>
      <c r="Y103" s="295">
        <f t="shared" si="4"/>
        <v>0</v>
      </c>
      <c r="Z103" s="296">
        <f t="shared" si="5"/>
        <v>1</v>
      </c>
      <c r="AA103" s="85">
        <v>41947381</v>
      </c>
      <c r="AB103" s="85" t="s">
        <v>6440</v>
      </c>
      <c r="AC103" s="290" t="s">
        <v>196</v>
      </c>
      <c r="AD103" s="290" t="s">
        <v>196</v>
      </c>
      <c r="AE103" s="236"/>
      <c r="AF103" s="85" t="s">
        <v>6787</v>
      </c>
      <c r="AG103" s="290" t="s">
        <v>192</v>
      </c>
      <c r="AH103" s="290" t="s">
        <v>192</v>
      </c>
    </row>
    <row r="104" spans="1:34" s="297" customFormat="1" ht="15" customHeight="1" x14ac:dyDescent="0.25">
      <c r="A104" s="289">
        <v>891780111</v>
      </c>
      <c r="B104" s="289" t="s">
        <v>54</v>
      </c>
      <c r="C104" s="290" t="s">
        <v>56</v>
      </c>
      <c r="D104" s="289" t="s">
        <v>60</v>
      </c>
      <c r="E104" s="290" t="s">
        <v>6788</v>
      </c>
      <c r="F104" s="289" t="s">
        <v>61</v>
      </c>
      <c r="G104" s="85" t="s">
        <v>63</v>
      </c>
      <c r="H104" s="85" t="s">
        <v>73</v>
      </c>
      <c r="I104" s="237">
        <v>11750000</v>
      </c>
      <c r="J104" s="290">
        <v>1</v>
      </c>
      <c r="K104" s="291">
        <v>1917000</v>
      </c>
      <c r="L104" s="291"/>
      <c r="M104" s="292">
        <f t="shared" si="3"/>
        <v>13667000</v>
      </c>
      <c r="N104" s="85">
        <v>57466567</v>
      </c>
      <c r="O104" s="85" t="s">
        <v>6789</v>
      </c>
      <c r="P104" s="85" t="s">
        <v>6790</v>
      </c>
      <c r="Q104" s="293">
        <v>44949</v>
      </c>
      <c r="R104" s="293">
        <v>44949</v>
      </c>
      <c r="S104" s="293">
        <v>45084</v>
      </c>
      <c r="T104" s="293"/>
      <c r="U104" s="293"/>
      <c r="V104" s="293"/>
      <c r="W104" s="294">
        <v>45107</v>
      </c>
      <c r="X104" s="237">
        <v>13667000</v>
      </c>
      <c r="Y104" s="295">
        <f t="shared" si="4"/>
        <v>0</v>
      </c>
      <c r="Z104" s="296">
        <f t="shared" si="5"/>
        <v>1</v>
      </c>
      <c r="AA104" s="85">
        <v>57444673</v>
      </c>
      <c r="AB104" s="85" t="s">
        <v>5370</v>
      </c>
      <c r="AC104" s="290" t="s">
        <v>196</v>
      </c>
      <c r="AD104" s="290" t="s">
        <v>196</v>
      </c>
      <c r="AE104" s="236"/>
      <c r="AF104" s="85" t="s">
        <v>6791</v>
      </c>
      <c r="AG104" s="290" t="s">
        <v>192</v>
      </c>
      <c r="AH104" s="290" t="s">
        <v>192</v>
      </c>
    </row>
    <row r="105" spans="1:34" s="297" customFormat="1" ht="15" customHeight="1" x14ac:dyDescent="0.25">
      <c r="A105" s="289">
        <v>891780111</v>
      </c>
      <c r="B105" s="289" t="s">
        <v>54</v>
      </c>
      <c r="C105" s="290" t="s">
        <v>56</v>
      </c>
      <c r="D105" s="289" t="s">
        <v>60</v>
      </c>
      <c r="E105" s="290" t="s">
        <v>6792</v>
      </c>
      <c r="F105" s="289" t="s">
        <v>61</v>
      </c>
      <c r="G105" s="85" t="s">
        <v>63</v>
      </c>
      <c r="H105" s="85" t="s">
        <v>73</v>
      </c>
      <c r="I105" s="237">
        <v>12583000</v>
      </c>
      <c r="J105" s="290">
        <v>1</v>
      </c>
      <c r="K105" s="291">
        <v>1167000</v>
      </c>
      <c r="L105" s="291"/>
      <c r="M105" s="292">
        <f t="shared" si="3"/>
        <v>13750000</v>
      </c>
      <c r="N105" s="85">
        <v>84451148</v>
      </c>
      <c r="O105" s="85" t="s">
        <v>6793</v>
      </c>
      <c r="P105" s="85" t="s">
        <v>6711</v>
      </c>
      <c r="Q105" s="293">
        <v>44949</v>
      </c>
      <c r="R105" s="293">
        <v>44949</v>
      </c>
      <c r="S105" s="293">
        <v>45093</v>
      </c>
      <c r="T105" s="293"/>
      <c r="U105" s="293"/>
      <c r="V105" s="293"/>
      <c r="W105" s="294">
        <v>45107</v>
      </c>
      <c r="X105" s="237">
        <v>13750000</v>
      </c>
      <c r="Y105" s="295">
        <f t="shared" si="4"/>
        <v>0</v>
      </c>
      <c r="Z105" s="296">
        <f t="shared" si="5"/>
        <v>1</v>
      </c>
      <c r="AA105" s="85">
        <v>85465146</v>
      </c>
      <c r="AB105" s="85" t="s">
        <v>6628</v>
      </c>
      <c r="AC105" s="290" t="s">
        <v>196</v>
      </c>
      <c r="AD105" s="290" t="s">
        <v>196</v>
      </c>
      <c r="AE105" s="236"/>
      <c r="AF105" s="85" t="s">
        <v>6794</v>
      </c>
      <c r="AG105" s="290" t="s">
        <v>192</v>
      </c>
      <c r="AH105" s="290" t="s">
        <v>192</v>
      </c>
    </row>
    <row r="106" spans="1:34" s="297" customFormat="1" ht="15" customHeight="1" x14ac:dyDescent="0.25">
      <c r="A106" s="289">
        <v>891780111</v>
      </c>
      <c r="B106" s="289" t="s">
        <v>54</v>
      </c>
      <c r="C106" s="290" t="s">
        <v>56</v>
      </c>
      <c r="D106" s="289" t="s">
        <v>60</v>
      </c>
      <c r="E106" s="290" t="s">
        <v>6795</v>
      </c>
      <c r="F106" s="289" t="s">
        <v>61</v>
      </c>
      <c r="G106" s="85" t="s">
        <v>63</v>
      </c>
      <c r="H106" s="85" t="s">
        <v>73</v>
      </c>
      <c r="I106" s="237">
        <v>9563000</v>
      </c>
      <c r="J106" s="290">
        <v>1</v>
      </c>
      <c r="K106" s="291"/>
      <c r="L106" s="291">
        <v>8613000</v>
      </c>
      <c r="M106" s="292">
        <f t="shared" si="3"/>
        <v>950000</v>
      </c>
      <c r="N106" s="85">
        <v>1140855705</v>
      </c>
      <c r="O106" s="85" t="s">
        <v>6796</v>
      </c>
      <c r="P106" s="85" t="s">
        <v>6797</v>
      </c>
      <c r="Q106" s="293">
        <v>44949</v>
      </c>
      <c r="R106" s="293">
        <v>44949</v>
      </c>
      <c r="S106" s="293">
        <v>45093</v>
      </c>
      <c r="T106" s="293"/>
      <c r="U106" s="293"/>
      <c r="V106" s="293"/>
      <c r="W106" s="294">
        <v>44957</v>
      </c>
      <c r="X106" s="237">
        <v>950000</v>
      </c>
      <c r="Y106" s="295">
        <f t="shared" si="4"/>
        <v>0</v>
      </c>
      <c r="Z106" s="296">
        <f t="shared" si="5"/>
        <v>1</v>
      </c>
      <c r="AA106" s="85">
        <v>93400727</v>
      </c>
      <c r="AB106" s="85" t="s">
        <v>6418</v>
      </c>
      <c r="AC106" s="290" t="s">
        <v>196</v>
      </c>
      <c r="AD106" s="290" t="s">
        <v>196</v>
      </c>
      <c r="AE106" s="236"/>
      <c r="AF106" s="85" t="s">
        <v>6798</v>
      </c>
      <c r="AG106" s="290" t="s">
        <v>192</v>
      </c>
      <c r="AH106" s="290" t="s">
        <v>192</v>
      </c>
    </row>
    <row r="107" spans="1:34" s="297" customFormat="1" ht="15" customHeight="1" x14ac:dyDescent="0.25">
      <c r="A107" s="289">
        <v>891780111</v>
      </c>
      <c r="B107" s="289" t="s">
        <v>54</v>
      </c>
      <c r="C107" s="290" t="s">
        <v>56</v>
      </c>
      <c r="D107" s="289" t="s">
        <v>60</v>
      </c>
      <c r="E107" s="290" t="s">
        <v>6799</v>
      </c>
      <c r="F107" s="289" t="s">
        <v>61</v>
      </c>
      <c r="G107" s="85" t="s">
        <v>63</v>
      </c>
      <c r="H107" s="85" t="s">
        <v>73</v>
      </c>
      <c r="I107" s="237">
        <v>13627000</v>
      </c>
      <c r="J107" s="290">
        <v>1</v>
      </c>
      <c r="K107" s="291">
        <v>2146000</v>
      </c>
      <c r="L107" s="291"/>
      <c r="M107" s="292">
        <f t="shared" si="3"/>
        <v>15773000</v>
      </c>
      <c r="N107" s="85">
        <v>7602221</v>
      </c>
      <c r="O107" s="85" t="s">
        <v>6800</v>
      </c>
      <c r="P107" s="85" t="s">
        <v>6801</v>
      </c>
      <c r="Q107" s="293">
        <v>44949</v>
      </c>
      <c r="R107" s="293">
        <v>44949</v>
      </c>
      <c r="S107" s="293">
        <v>45084</v>
      </c>
      <c r="T107" s="293"/>
      <c r="U107" s="293"/>
      <c r="V107" s="293"/>
      <c r="W107" s="294">
        <v>45107</v>
      </c>
      <c r="X107" s="237">
        <v>15773000</v>
      </c>
      <c r="Y107" s="295">
        <f t="shared" si="4"/>
        <v>0</v>
      </c>
      <c r="Z107" s="296">
        <f t="shared" si="5"/>
        <v>1</v>
      </c>
      <c r="AA107" s="85">
        <v>57297693</v>
      </c>
      <c r="AB107" s="85" t="s">
        <v>5446</v>
      </c>
      <c r="AC107" s="290" t="s">
        <v>196</v>
      </c>
      <c r="AD107" s="290" t="s">
        <v>196</v>
      </c>
      <c r="AE107" s="236"/>
      <c r="AF107" s="85" t="s">
        <v>6802</v>
      </c>
      <c r="AG107" s="290" t="s">
        <v>192</v>
      </c>
      <c r="AH107" s="290" t="s">
        <v>192</v>
      </c>
    </row>
    <row r="108" spans="1:34" s="297" customFormat="1" ht="15" customHeight="1" x14ac:dyDescent="0.25">
      <c r="A108" s="289">
        <v>891780111</v>
      </c>
      <c r="B108" s="289" t="s">
        <v>54</v>
      </c>
      <c r="C108" s="290" t="s">
        <v>56</v>
      </c>
      <c r="D108" s="289" t="s">
        <v>60</v>
      </c>
      <c r="E108" s="290" t="s">
        <v>6803</v>
      </c>
      <c r="F108" s="289" t="s">
        <v>61</v>
      </c>
      <c r="G108" s="85" t="s">
        <v>63</v>
      </c>
      <c r="H108" s="85" t="s">
        <v>73</v>
      </c>
      <c r="I108" s="237">
        <v>14109000</v>
      </c>
      <c r="J108" s="290">
        <v>1</v>
      </c>
      <c r="K108" s="291">
        <v>2193000</v>
      </c>
      <c r="L108" s="291"/>
      <c r="M108" s="292">
        <f t="shared" si="3"/>
        <v>16302000</v>
      </c>
      <c r="N108" s="85">
        <v>1085045367</v>
      </c>
      <c r="O108" s="85" t="s">
        <v>6804</v>
      </c>
      <c r="P108" s="85" t="s">
        <v>6805</v>
      </c>
      <c r="Q108" s="293">
        <v>44949</v>
      </c>
      <c r="R108" s="293">
        <v>44949</v>
      </c>
      <c r="S108" s="293">
        <v>45084</v>
      </c>
      <c r="T108" s="293"/>
      <c r="U108" s="293"/>
      <c r="V108" s="293"/>
      <c r="W108" s="294">
        <v>45107</v>
      </c>
      <c r="X108" s="237">
        <v>16302000</v>
      </c>
      <c r="Y108" s="295">
        <f t="shared" si="4"/>
        <v>0</v>
      </c>
      <c r="Z108" s="296">
        <f t="shared" si="5"/>
        <v>1</v>
      </c>
      <c r="AA108" s="85">
        <v>57461216</v>
      </c>
      <c r="AB108" s="85" t="s">
        <v>6512</v>
      </c>
      <c r="AC108" s="290" t="s">
        <v>196</v>
      </c>
      <c r="AD108" s="290" t="s">
        <v>196</v>
      </c>
      <c r="AE108" s="236"/>
      <c r="AF108" s="85" t="s">
        <v>6806</v>
      </c>
      <c r="AG108" s="290" t="s">
        <v>192</v>
      </c>
      <c r="AH108" s="290" t="s">
        <v>192</v>
      </c>
    </row>
    <row r="109" spans="1:34" s="297" customFormat="1" ht="15" customHeight="1" x14ac:dyDescent="0.25">
      <c r="A109" s="289">
        <v>891780111</v>
      </c>
      <c r="B109" s="289" t="s">
        <v>54</v>
      </c>
      <c r="C109" s="290" t="s">
        <v>56</v>
      </c>
      <c r="D109" s="289" t="s">
        <v>60</v>
      </c>
      <c r="E109" s="290" t="s">
        <v>6807</v>
      </c>
      <c r="F109" s="289" t="s">
        <v>61</v>
      </c>
      <c r="G109" s="85" t="s">
        <v>63</v>
      </c>
      <c r="H109" s="85" t="s">
        <v>73</v>
      </c>
      <c r="I109" s="237">
        <v>15397000</v>
      </c>
      <c r="J109" s="290"/>
      <c r="K109" s="291"/>
      <c r="L109" s="291"/>
      <c r="M109" s="292">
        <f t="shared" si="3"/>
        <v>15397000</v>
      </c>
      <c r="N109" s="85">
        <v>1084739561</v>
      </c>
      <c r="O109" s="85" t="s">
        <v>6808</v>
      </c>
      <c r="P109" s="85" t="s">
        <v>6809</v>
      </c>
      <c r="Q109" s="293">
        <v>44949</v>
      </c>
      <c r="R109" s="293">
        <v>44949</v>
      </c>
      <c r="S109" s="293">
        <v>45093</v>
      </c>
      <c r="T109" s="293"/>
      <c r="U109" s="293"/>
      <c r="V109" s="293"/>
      <c r="W109" s="294"/>
      <c r="X109" s="237">
        <v>15397000</v>
      </c>
      <c r="Y109" s="295">
        <f t="shared" si="4"/>
        <v>0</v>
      </c>
      <c r="Z109" s="296">
        <f t="shared" si="5"/>
        <v>1</v>
      </c>
      <c r="AA109" s="85">
        <v>1192791759</v>
      </c>
      <c r="AB109" s="85" t="s">
        <v>6649</v>
      </c>
      <c r="AC109" s="290" t="s">
        <v>196</v>
      </c>
      <c r="AD109" s="290" t="s">
        <v>196</v>
      </c>
      <c r="AE109" s="236"/>
      <c r="AF109" s="85" t="s">
        <v>6810</v>
      </c>
      <c r="AG109" s="290" t="s">
        <v>192</v>
      </c>
      <c r="AH109" s="290" t="s">
        <v>192</v>
      </c>
    </row>
    <row r="110" spans="1:34" s="297" customFormat="1" ht="15" customHeight="1" x14ac:dyDescent="0.25">
      <c r="A110" s="289">
        <v>891780111</v>
      </c>
      <c r="B110" s="289" t="s">
        <v>54</v>
      </c>
      <c r="C110" s="290" t="s">
        <v>56</v>
      </c>
      <c r="D110" s="289" t="s">
        <v>60</v>
      </c>
      <c r="E110" s="290" t="s">
        <v>6811</v>
      </c>
      <c r="F110" s="289" t="s">
        <v>61</v>
      </c>
      <c r="G110" s="85" t="s">
        <v>63</v>
      </c>
      <c r="H110" s="85" t="s">
        <v>73</v>
      </c>
      <c r="I110" s="237">
        <v>13813000</v>
      </c>
      <c r="J110" s="290"/>
      <c r="K110" s="291"/>
      <c r="L110" s="291"/>
      <c r="M110" s="292">
        <f t="shared" si="3"/>
        <v>13813000</v>
      </c>
      <c r="N110" s="85">
        <v>1065836973</v>
      </c>
      <c r="O110" s="85" t="s">
        <v>6812</v>
      </c>
      <c r="P110" s="85" t="s">
        <v>6813</v>
      </c>
      <c r="Q110" s="293">
        <v>44949</v>
      </c>
      <c r="R110" s="293">
        <v>44949</v>
      </c>
      <c r="S110" s="293">
        <v>45084</v>
      </c>
      <c r="T110" s="293"/>
      <c r="U110" s="293"/>
      <c r="V110" s="293"/>
      <c r="W110" s="294"/>
      <c r="X110" s="237">
        <v>13813000</v>
      </c>
      <c r="Y110" s="295">
        <f t="shared" si="4"/>
        <v>0</v>
      </c>
      <c r="Z110" s="296">
        <f t="shared" si="5"/>
        <v>1</v>
      </c>
      <c r="AA110" s="85">
        <v>57461216</v>
      </c>
      <c r="AB110" s="85" t="s">
        <v>6512</v>
      </c>
      <c r="AC110" s="290" t="s">
        <v>196</v>
      </c>
      <c r="AD110" s="290" t="s">
        <v>196</v>
      </c>
      <c r="AE110" s="236"/>
      <c r="AF110" s="85" t="s">
        <v>6814</v>
      </c>
      <c r="AG110" s="290" t="s">
        <v>192</v>
      </c>
      <c r="AH110" s="290" t="s">
        <v>192</v>
      </c>
    </row>
    <row r="111" spans="1:34" s="297" customFormat="1" ht="15" customHeight="1" x14ac:dyDescent="0.25">
      <c r="A111" s="289">
        <v>891780111</v>
      </c>
      <c r="B111" s="289" t="s">
        <v>54</v>
      </c>
      <c r="C111" s="290" t="s">
        <v>56</v>
      </c>
      <c r="D111" s="289" t="s">
        <v>60</v>
      </c>
      <c r="E111" s="290" t="s">
        <v>6815</v>
      </c>
      <c r="F111" s="289" t="s">
        <v>61</v>
      </c>
      <c r="G111" s="85" t="s">
        <v>63</v>
      </c>
      <c r="H111" s="85" t="s">
        <v>73</v>
      </c>
      <c r="I111" s="237">
        <v>11440000</v>
      </c>
      <c r="J111" s="290">
        <v>1</v>
      </c>
      <c r="K111" s="291">
        <v>1027000.0000000001</v>
      </c>
      <c r="L111" s="291"/>
      <c r="M111" s="292">
        <f t="shared" si="3"/>
        <v>12467000</v>
      </c>
      <c r="N111" s="85">
        <v>36667908</v>
      </c>
      <c r="O111" s="85" t="s">
        <v>6816</v>
      </c>
      <c r="P111" s="85" t="s">
        <v>6817</v>
      </c>
      <c r="Q111" s="293">
        <v>44949</v>
      </c>
      <c r="R111" s="293">
        <v>44949</v>
      </c>
      <c r="S111" s="293">
        <v>45093</v>
      </c>
      <c r="T111" s="293"/>
      <c r="U111" s="293"/>
      <c r="V111" s="293"/>
      <c r="W111" s="294">
        <v>45107</v>
      </c>
      <c r="X111" s="237">
        <v>12467000</v>
      </c>
      <c r="Y111" s="295">
        <f t="shared" si="4"/>
        <v>0</v>
      </c>
      <c r="Z111" s="296">
        <f t="shared" si="5"/>
        <v>1</v>
      </c>
      <c r="AA111" s="85">
        <v>36694483</v>
      </c>
      <c r="AB111" s="85" t="s">
        <v>551</v>
      </c>
      <c r="AC111" s="290" t="s">
        <v>196</v>
      </c>
      <c r="AD111" s="290" t="s">
        <v>196</v>
      </c>
      <c r="AE111" s="236"/>
      <c r="AF111" s="85" t="s">
        <v>6818</v>
      </c>
      <c r="AG111" s="290" t="s">
        <v>192</v>
      </c>
      <c r="AH111" s="290" t="s">
        <v>192</v>
      </c>
    </row>
    <row r="112" spans="1:34" s="297" customFormat="1" ht="15" customHeight="1" x14ac:dyDescent="0.25">
      <c r="A112" s="289">
        <v>891780111</v>
      </c>
      <c r="B112" s="289" t="s">
        <v>54</v>
      </c>
      <c r="C112" s="290" t="s">
        <v>56</v>
      </c>
      <c r="D112" s="289" t="s">
        <v>60</v>
      </c>
      <c r="E112" s="290" t="s">
        <v>6819</v>
      </c>
      <c r="F112" s="289" t="s">
        <v>61</v>
      </c>
      <c r="G112" s="85" t="s">
        <v>63</v>
      </c>
      <c r="H112" s="85" t="s">
        <v>73</v>
      </c>
      <c r="I112" s="237">
        <v>16223000</v>
      </c>
      <c r="J112" s="290">
        <v>1</v>
      </c>
      <c r="K112" s="291">
        <v>1447000</v>
      </c>
      <c r="L112" s="291"/>
      <c r="M112" s="292">
        <f t="shared" si="3"/>
        <v>17670000</v>
      </c>
      <c r="N112" s="85">
        <v>84453261</v>
      </c>
      <c r="O112" s="85" t="s">
        <v>6820</v>
      </c>
      <c r="P112" s="85" t="s">
        <v>6821</v>
      </c>
      <c r="Q112" s="293">
        <v>44949</v>
      </c>
      <c r="R112" s="293">
        <v>44949</v>
      </c>
      <c r="S112" s="293">
        <v>45093</v>
      </c>
      <c r="T112" s="293"/>
      <c r="U112" s="293"/>
      <c r="V112" s="293"/>
      <c r="W112" s="294">
        <v>45107</v>
      </c>
      <c r="X112" s="237">
        <v>17670000</v>
      </c>
      <c r="Y112" s="295">
        <f t="shared" si="4"/>
        <v>0</v>
      </c>
      <c r="Z112" s="296">
        <f t="shared" si="5"/>
        <v>1</v>
      </c>
      <c r="AA112" s="85">
        <v>85459497</v>
      </c>
      <c r="AB112" s="85" t="s">
        <v>4837</v>
      </c>
      <c r="AC112" s="290" t="s">
        <v>196</v>
      </c>
      <c r="AD112" s="290" t="s">
        <v>196</v>
      </c>
      <c r="AE112" s="236"/>
      <c r="AF112" s="85" t="s">
        <v>6822</v>
      </c>
      <c r="AG112" s="290" t="s">
        <v>192</v>
      </c>
      <c r="AH112" s="290" t="s">
        <v>192</v>
      </c>
    </row>
    <row r="113" spans="1:34" s="297" customFormat="1" ht="15" customHeight="1" x14ac:dyDescent="0.25">
      <c r="A113" s="289">
        <v>891780111</v>
      </c>
      <c r="B113" s="289" t="s">
        <v>54</v>
      </c>
      <c r="C113" s="290" t="s">
        <v>56</v>
      </c>
      <c r="D113" s="289" t="s">
        <v>60</v>
      </c>
      <c r="E113" s="290" t="s">
        <v>6823</v>
      </c>
      <c r="F113" s="289" t="s">
        <v>61</v>
      </c>
      <c r="G113" s="85" t="s">
        <v>63</v>
      </c>
      <c r="H113" s="85" t="s">
        <v>73</v>
      </c>
      <c r="I113" s="237">
        <v>17000000</v>
      </c>
      <c r="J113" s="290">
        <v>1</v>
      </c>
      <c r="K113" s="291">
        <v>1587000</v>
      </c>
      <c r="L113" s="291"/>
      <c r="M113" s="292">
        <f t="shared" si="3"/>
        <v>18587000</v>
      </c>
      <c r="N113" s="85">
        <v>1082968283</v>
      </c>
      <c r="O113" s="85" t="s">
        <v>6824</v>
      </c>
      <c r="P113" s="85" t="s">
        <v>6825</v>
      </c>
      <c r="Q113" s="293">
        <v>44949</v>
      </c>
      <c r="R113" s="293">
        <v>44949</v>
      </c>
      <c r="S113" s="293">
        <v>45093</v>
      </c>
      <c r="T113" s="293"/>
      <c r="U113" s="293"/>
      <c r="V113" s="293"/>
      <c r="W113" s="294">
        <v>45107</v>
      </c>
      <c r="X113" s="237">
        <v>18587000</v>
      </c>
      <c r="Y113" s="295">
        <f t="shared" si="4"/>
        <v>0</v>
      </c>
      <c r="Z113" s="296">
        <f t="shared" si="5"/>
        <v>1</v>
      </c>
      <c r="AA113" s="85">
        <v>12621405</v>
      </c>
      <c r="AB113" s="85" t="s">
        <v>6396</v>
      </c>
      <c r="AC113" s="290" t="s">
        <v>196</v>
      </c>
      <c r="AD113" s="290" t="s">
        <v>196</v>
      </c>
      <c r="AE113" s="236"/>
      <c r="AF113" s="85" t="s">
        <v>6826</v>
      </c>
      <c r="AG113" s="290" t="s">
        <v>192</v>
      </c>
      <c r="AH113" s="290" t="s">
        <v>192</v>
      </c>
    </row>
    <row r="114" spans="1:34" s="297" customFormat="1" ht="15" customHeight="1" x14ac:dyDescent="0.25">
      <c r="A114" s="289">
        <v>891780111</v>
      </c>
      <c r="B114" s="289" t="s">
        <v>54</v>
      </c>
      <c r="C114" s="290" t="s">
        <v>56</v>
      </c>
      <c r="D114" s="289" t="s">
        <v>60</v>
      </c>
      <c r="E114" s="290" t="s">
        <v>6827</v>
      </c>
      <c r="F114" s="289" t="s">
        <v>61</v>
      </c>
      <c r="G114" s="85" t="s">
        <v>63</v>
      </c>
      <c r="H114" s="85" t="s">
        <v>73</v>
      </c>
      <c r="I114" s="237">
        <v>11853000</v>
      </c>
      <c r="J114" s="290">
        <v>1</v>
      </c>
      <c r="K114" s="291">
        <v>3547000</v>
      </c>
      <c r="L114" s="291"/>
      <c r="M114" s="292">
        <f t="shared" si="3"/>
        <v>15400000</v>
      </c>
      <c r="N114" s="85">
        <v>7628973</v>
      </c>
      <c r="O114" s="85" t="s">
        <v>6828</v>
      </c>
      <c r="P114" s="85" t="s">
        <v>6829</v>
      </c>
      <c r="Q114" s="293">
        <v>44949</v>
      </c>
      <c r="R114" s="293">
        <v>44949</v>
      </c>
      <c r="S114" s="293">
        <v>45068</v>
      </c>
      <c r="T114" s="293"/>
      <c r="U114" s="293"/>
      <c r="V114" s="293"/>
      <c r="W114" s="294">
        <v>45107</v>
      </c>
      <c r="X114" s="237">
        <v>15400000</v>
      </c>
      <c r="Y114" s="295">
        <f t="shared" si="4"/>
        <v>0</v>
      </c>
      <c r="Z114" s="296">
        <f t="shared" si="5"/>
        <v>1</v>
      </c>
      <c r="AA114" s="85">
        <v>85465146</v>
      </c>
      <c r="AB114" s="85" t="s">
        <v>6628</v>
      </c>
      <c r="AC114" s="290" t="s">
        <v>196</v>
      </c>
      <c r="AD114" s="290" t="s">
        <v>196</v>
      </c>
      <c r="AE114" s="236"/>
      <c r="AF114" s="85" t="s">
        <v>6830</v>
      </c>
      <c r="AG114" s="290" t="s">
        <v>192</v>
      </c>
      <c r="AH114" s="290" t="s">
        <v>192</v>
      </c>
    </row>
    <row r="115" spans="1:34" s="297" customFormat="1" ht="15" customHeight="1" x14ac:dyDescent="0.25">
      <c r="A115" s="289">
        <v>891780111</v>
      </c>
      <c r="B115" s="289" t="s">
        <v>54</v>
      </c>
      <c r="C115" s="290" t="s">
        <v>56</v>
      </c>
      <c r="D115" s="289" t="s">
        <v>60</v>
      </c>
      <c r="E115" s="290" t="s">
        <v>6831</v>
      </c>
      <c r="F115" s="289" t="s">
        <v>61</v>
      </c>
      <c r="G115" s="85" t="s">
        <v>63</v>
      </c>
      <c r="H115" s="85" t="s">
        <v>73</v>
      </c>
      <c r="I115" s="237">
        <v>15913000</v>
      </c>
      <c r="J115" s="290">
        <v>1</v>
      </c>
      <c r="K115" s="291">
        <v>1447000</v>
      </c>
      <c r="L115" s="291"/>
      <c r="M115" s="292">
        <f t="shared" si="3"/>
        <v>17360000</v>
      </c>
      <c r="N115" s="85">
        <v>1065883393</v>
      </c>
      <c r="O115" s="85" t="s">
        <v>6832</v>
      </c>
      <c r="P115" s="85" t="s">
        <v>6833</v>
      </c>
      <c r="Q115" s="293">
        <v>44949</v>
      </c>
      <c r="R115" s="293">
        <v>44949</v>
      </c>
      <c r="S115" s="293">
        <v>45093</v>
      </c>
      <c r="T115" s="293"/>
      <c r="U115" s="293"/>
      <c r="V115" s="293"/>
      <c r="W115" s="294">
        <v>45107</v>
      </c>
      <c r="X115" s="237">
        <v>17360000</v>
      </c>
      <c r="Y115" s="295">
        <f t="shared" si="4"/>
        <v>0</v>
      </c>
      <c r="Z115" s="296">
        <f t="shared" si="5"/>
        <v>1</v>
      </c>
      <c r="AA115" s="85">
        <v>15443332</v>
      </c>
      <c r="AB115" s="85" t="s">
        <v>5907</v>
      </c>
      <c r="AC115" s="290" t="s">
        <v>196</v>
      </c>
      <c r="AD115" s="290" t="s">
        <v>196</v>
      </c>
      <c r="AE115" s="236"/>
      <c r="AF115" s="85" t="s">
        <v>6834</v>
      </c>
      <c r="AG115" s="290" t="s">
        <v>192</v>
      </c>
      <c r="AH115" s="290" t="s">
        <v>192</v>
      </c>
    </row>
    <row r="116" spans="1:34" s="297" customFormat="1" ht="15" customHeight="1" x14ac:dyDescent="0.25">
      <c r="A116" s="289">
        <v>891780111</v>
      </c>
      <c r="B116" s="289" t="s">
        <v>54</v>
      </c>
      <c r="C116" s="290" t="s">
        <v>56</v>
      </c>
      <c r="D116" s="289" t="s">
        <v>60</v>
      </c>
      <c r="E116" s="290" t="s">
        <v>6835</v>
      </c>
      <c r="F116" s="289" t="s">
        <v>61</v>
      </c>
      <c r="G116" s="85" t="s">
        <v>63</v>
      </c>
      <c r="H116" s="85" t="s">
        <v>73</v>
      </c>
      <c r="I116" s="237">
        <v>17987000</v>
      </c>
      <c r="J116" s="290">
        <v>1</v>
      </c>
      <c r="K116" s="291">
        <v>2913000</v>
      </c>
      <c r="L116" s="291"/>
      <c r="M116" s="292">
        <f t="shared" si="3"/>
        <v>20900000</v>
      </c>
      <c r="N116" s="85">
        <v>1018414715</v>
      </c>
      <c r="O116" s="85" t="s">
        <v>6836</v>
      </c>
      <c r="P116" s="85" t="s">
        <v>6837</v>
      </c>
      <c r="Q116" s="293">
        <v>44949</v>
      </c>
      <c r="R116" s="293">
        <v>44949</v>
      </c>
      <c r="S116" s="293">
        <v>45084</v>
      </c>
      <c r="T116" s="293"/>
      <c r="U116" s="293"/>
      <c r="V116" s="293"/>
      <c r="W116" s="294">
        <v>45107</v>
      </c>
      <c r="X116" s="237">
        <v>20900000</v>
      </c>
      <c r="Y116" s="295">
        <f t="shared" si="4"/>
        <v>0</v>
      </c>
      <c r="Z116" s="296">
        <f t="shared" si="5"/>
        <v>1</v>
      </c>
      <c r="AA116" s="85">
        <v>72175281</v>
      </c>
      <c r="AB116" s="85" t="s">
        <v>6507</v>
      </c>
      <c r="AC116" s="290" t="s">
        <v>196</v>
      </c>
      <c r="AD116" s="290" t="s">
        <v>196</v>
      </c>
      <c r="AE116" s="236"/>
      <c r="AF116" s="85" t="s">
        <v>6838</v>
      </c>
      <c r="AG116" s="290" t="s">
        <v>192</v>
      </c>
      <c r="AH116" s="290" t="s">
        <v>192</v>
      </c>
    </row>
    <row r="117" spans="1:34" s="297" customFormat="1" ht="15" customHeight="1" x14ac:dyDescent="0.25">
      <c r="A117" s="289">
        <v>891780111</v>
      </c>
      <c r="B117" s="289" t="s">
        <v>54</v>
      </c>
      <c r="C117" s="290" t="s">
        <v>56</v>
      </c>
      <c r="D117" s="289" t="s">
        <v>60</v>
      </c>
      <c r="E117" s="290" t="s">
        <v>6839</v>
      </c>
      <c r="F117" s="289" t="s">
        <v>61</v>
      </c>
      <c r="G117" s="85" t="s">
        <v>63</v>
      </c>
      <c r="H117" s="85" t="s">
        <v>73</v>
      </c>
      <c r="I117" s="237">
        <v>9943000</v>
      </c>
      <c r="J117" s="290">
        <v>1</v>
      </c>
      <c r="K117" s="291">
        <v>887000</v>
      </c>
      <c r="L117" s="291"/>
      <c r="M117" s="292">
        <f t="shared" si="3"/>
        <v>10830000</v>
      </c>
      <c r="N117" s="85">
        <v>1082900551</v>
      </c>
      <c r="O117" s="85" t="s">
        <v>6840</v>
      </c>
      <c r="P117" s="85" t="s">
        <v>6841</v>
      </c>
      <c r="Q117" s="293">
        <v>44949</v>
      </c>
      <c r="R117" s="293">
        <v>44949</v>
      </c>
      <c r="S117" s="293">
        <v>45093</v>
      </c>
      <c r="T117" s="293"/>
      <c r="U117" s="293"/>
      <c r="V117" s="293"/>
      <c r="W117" s="294">
        <v>45107</v>
      </c>
      <c r="X117" s="237">
        <v>10830000</v>
      </c>
      <c r="Y117" s="295">
        <f t="shared" si="4"/>
        <v>0</v>
      </c>
      <c r="Z117" s="296">
        <f t="shared" si="5"/>
        <v>1</v>
      </c>
      <c r="AA117" s="85">
        <v>7631392</v>
      </c>
      <c r="AB117" s="85" t="s">
        <v>6633</v>
      </c>
      <c r="AC117" s="290" t="s">
        <v>196</v>
      </c>
      <c r="AD117" s="290" t="s">
        <v>196</v>
      </c>
      <c r="AE117" s="236"/>
      <c r="AF117" s="85" t="s">
        <v>6842</v>
      </c>
      <c r="AG117" s="290" t="s">
        <v>192</v>
      </c>
      <c r="AH117" s="290" t="s">
        <v>192</v>
      </c>
    </row>
    <row r="118" spans="1:34" s="297" customFormat="1" ht="15" customHeight="1" x14ac:dyDescent="0.25">
      <c r="A118" s="289">
        <v>891780111</v>
      </c>
      <c r="B118" s="289" t="s">
        <v>54</v>
      </c>
      <c r="C118" s="290" t="s">
        <v>56</v>
      </c>
      <c r="D118" s="289" t="s">
        <v>60</v>
      </c>
      <c r="E118" s="290" t="s">
        <v>6843</v>
      </c>
      <c r="F118" s="289" t="s">
        <v>61</v>
      </c>
      <c r="G118" s="85" t="s">
        <v>63</v>
      </c>
      <c r="H118" s="85" t="s">
        <v>73</v>
      </c>
      <c r="I118" s="237">
        <v>13253000</v>
      </c>
      <c r="J118" s="290"/>
      <c r="K118" s="291"/>
      <c r="L118" s="291"/>
      <c r="M118" s="292">
        <f t="shared" si="3"/>
        <v>13253000</v>
      </c>
      <c r="N118" s="85">
        <v>1082921709</v>
      </c>
      <c r="O118" s="85" t="s">
        <v>6844</v>
      </c>
      <c r="P118" s="85" t="s">
        <v>6845</v>
      </c>
      <c r="Q118" s="293">
        <v>44949</v>
      </c>
      <c r="R118" s="293">
        <v>44949</v>
      </c>
      <c r="S118" s="293">
        <v>45084</v>
      </c>
      <c r="T118" s="293"/>
      <c r="U118" s="293"/>
      <c r="V118" s="293"/>
      <c r="W118" s="294"/>
      <c r="X118" s="237">
        <v>13253000</v>
      </c>
      <c r="Y118" s="295">
        <f t="shared" si="4"/>
        <v>0</v>
      </c>
      <c r="Z118" s="296">
        <f t="shared" si="5"/>
        <v>1</v>
      </c>
      <c r="AA118" s="85">
        <v>72175281</v>
      </c>
      <c r="AB118" s="85" t="s">
        <v>6507</v>
      </c>
      <c r="AC118" s="290" t="s">
        <v>196</v>
      </c>
      <c r="AD118" s="290" t="s">
        <v>196</v>
      </c>
      <c r="AE118" s="236"/>
      <c r="AF118" s="85" t="s">
        <v>6846</v>
      </c>
      <c r="AG118" s="290" t="s">
        <v>192</v>
      </c>
      <c r="AH118" s="290" t="s">
        <v>192</v>
      </c>
    </row>
    <row r="119" spans="1:34" s="297" customFormat="1" ht="15" customHeight="1" x14ac:dyDescent="0.25">
      <c r="A119" s="289">
        <v>891780111</v>
      </c>
      <c r="B119" s="289" t="s">
        <v>54</v>
      </c>
      <c r="C119" s="290" t="s">
        <v>56</v>
      </c>
      <c r="D119" s="289" t="s">
        <v>60</v>
      </c>
      <c r="E119" s="290" t="s">
        <v>6847</v>
      </c>
      <c r="F119" s="289" t="s">
        <v>61</v>
      </c>
      <c r="G119" s="85" t="s">
        <v>63</v>
      </c>
      <c r="H119" s="85" t="s">
        <v>73</v>
      </c>
      <c r="I119" s="237">
        <v>15293000</v>
      </c>
      <c r="J119" s="290">
        <v>1</v>
      </c>
      <c r="K119" s="291">
        <v>2377000</v>
      </c>
      <c r="L119" s="291"/>
      <c r="M119" s="292">
        <f t="shared" si="3"/>
        <v>17670000</v>
      </c>
      <c r="N119" s="85">
        <v>1082990998</v>
      </c>
      <c r="O119" s="85" t="s">
        <v>6848</v>
      </c>
      <c r="P119" s="85" t="s">
        <v>6849</v>
      </c>
      <c r="Q119" s="293">
        <v>44949</v>
      </c>
      <c r="R119" s="293">
        <v>44951</v>
      </c>
      <c r="S119" s="293">
        <v>45084</v>
      </c>
      <c r="T119" s="293"/>
      <c r="U119" s="293"/>
      <c r="V119" s="293"/>
      <c r="W119" s="294">
        <v>45107</v>
      </c>
      <c r="X119" s="237">
        <v>17670000</v>
      </c>
      <c r="Y119" s="295">
        <f t="shared" si="4"/>
        <v>0</v>
      </c>
      <c r="Z119" s="296">
        <f t="shared" si="5"/>
        <v>1</v>
      </c>
      <c r="AA119" s="85">
        <v>57461216</v>
      </c>
      <c r="AB119" s="85" t="s">
        <v>6512</v>
      </c>
      <c r="AC119" s="290" t="s">
        <v>196</v>
      </c>
      <c r="AD119" s="290" t="s">
        <v>196</v>
      </c>
      <c r="AE119" s="236"/>
      <c r="AF119" s="85" t="s">
        <v>6850</v>
      </c>
      <c r="AG119" s="290" t="s">
        <v>192</v>
      </c>
      <c r="AH119" s="290" t="s">
        <v>192</v>
      </c>
    </row>
    <row r="120" spans="1:34" s="297" customFormat="1" ht="15" customHeight="1" x14ac:dyDescent="0.25">
      <c r="A120" s="289">
        <v>891780111</v>
      </c>
      <c r="B120" s="289" t="s">
        <v>54</v>
      </c>
      <c r="C120" s="290" t="s">
        <v>56</v>
      </c>
      <c r="D120" s="289" t="s">
        <v>60</v>
      </c>
      <c r="E120" s="290" t="s">
        <v>6851</v>
      </c>
      <c r="F120" s="289" t="s">
        <v>61</v>
      </c>
      <c r="G120" s="85" t="s">
        <v>63</v>
      </c>
      <c r="H120" s="85" t="s">
        <v>73</v>
      </c>
      <c r="I120" s="237">
        <v>12000000</v>
      </c>
      <c r="J120" s="290">
        <v>1</v>
      </c>
      <c r="K120" s="291">
        <v>1167000</v>
      </c>
      <c r="L120" s="291"/>
      <c r="M120" s="292">
        <f t="shared" si="3"/>
        <v>13167000</v>
      </c>
      <c r="N120" s="85">
        <v>1082941024</v>
      </c>
      <c r="O120" s="85" t="s">
        <v>6852</v>
      </c>
      <c r="P120" s="85" t="s">
        <v>6853</v>
      </c>
      <c r="Q120" s="293">
        <v>44950</v>
      </c>
      <c r="R120" s="293">
        <v>44950</v>
      </c>
      <c r="S120" s="293">
        <v>45093</v>
      </c>
      <c r="T120" s="293"/>
      <c r="U120" s="293"/>
      <c r="V120" s="293"/>
      <c r="W120" s="294">
        <v>45107</v>
      </c>
      <c r="X120" s="237">
        <v>13167000</v>
      </c>
      <c r="Y120" s="295">
        <f t="shared" si="4"/>
        <v>0</v>
      </c>
      <c r="Z120" s="296">
        <f t="shared" si="5"/>
        <v>1</v>
      </c>
      <c r="AA120" s="85">
        <v>12621405</v>
      </c>
      <c r="AB120" s="85" t="s">
        <v>6396</v>
      </c>
      <c r="AC120" s="290" t="s">
        <v>196</v>
      </c>
      <c r="AD120" s="290" t="s">
        <v>196</v>
      </c>
      <c r="AE120" s="236"/>
      <c r="AF120" s="85" t="s">
        <v>6854</v>
      </c>
      <c r="AG120" s="290" t="s">
        <v>192</v>
      </c>
      <c r="AH120" s="290" t="s">
        <v>192</v>
      </c>
    </row>
    <row r="121" spans="1:34" s="297" customFormat="1" ht="15" customHeight="1" x14ac:dyDescent="0.25">
      <c r="A121" s="289">
        <v>891780111</v>
      </c>
      <c r="B121" s="289" t="s">
        <v>54</v>
      </c>
      <c r="C121" s="290" t="s">
        <v>56</v>
      </c>
      <c r="D121" s="289" t="s">
        <v>60</v>
      </c>
      <c r="E121" s="290" t="s">
        <v>6855</v>
      </c>
      <c r="F121" s="289" t="s">
        <v>61</v>
      </c>
      <c r="G121" s="85" t="s">
        <v>63</v>
      </c>
      <c r="H121" s="85" t="s">
        <v>73</v>
      </c>
      <c r="I121" s="237">
        <v>10413000</v>
      </c>
      <c r="J121" s="290"/>
      <c r="K121" s="291"/>
      <c r="L121" s="291"/>
      <c r="M121" s="292">
        <f t="shared" si="3"/>
        <v>10413000</v>
      </c>
      <c r="N121" s="85">
        <v>57463940</v>
      </c>
      <c r="O121" s="85" t="s">
        <v>6856</v>
      </c>
      <c r="P121" s="85" t="s">
        <v>6857</v>
      </c>
      <c r="Q121" s="293">
        <v>44950</v>
      </c>
      <c r="R121" s="293">
        <v>44950</v>
      </c>
      <c r="S121" s="293">
        <v>45084</v>
      </c>
      <c r="T121" s="293" t="s">
        <v>192</v>
      </c>
      <c r="U121" s="293">
        <v>44980</v>
      </c>
      <c r="V121" s="293">
        <v>45104</v>
      </c>
      <c r="W121" s="294"/>
      <c r="X121" s="237">
        <v>2787000</v>
      </c>
      <c r="Y121" s="295">
        <f t="shared" si="4"/>
        <v>7626000</v>
      </c>
      <c r="Z121" s="296">
        <f t="shared" si="5"/>
        <v>0.26764621146643619</v>
      </c>
      <c r="AA121" s="85">
        <v>57297693</v>
      </c>
      <c r="AB121" s="85" t="s">
        <v>5446</v>
      </c>
      <c r="AC121" s="290" t="s">
        <v>196</v>
      </c>
      <c r="AD121" s="290" t="s">
        <v>196</v>
      </c>
      <c r="AE121" s="236"/>
      <c r="AF121" s="85" t="s">
        <v>6858</v>
      </c>
      <c r="AG121" s="290" t="s">
        <v>192</v>
      </c>
      <c r="AH121" s="290" t="s">
        <v>192</v>
      </c>
    </row>
    <row r="122" spans="1:34" s="297" customFormat="1" ht="15" customHeight="1" x14ac:dyDescent="0.25">
      <c r="A122" s="289">
        <v>891780111</v>
      </c>
      <c r="B122" s="289" t="s">
        <v>54</v>
      </c>
      <c r="C122" s="290" t="s">
        <v>56</v>
      </c>
      <c r="D122" s="289" t="s">
        <v>60</v>
      </c>
      <c r="E122" s="290" t="s">
        <v>6859</v>
      </c>
      <c r="F122" s="289" t="s">
        <v>61</v>
      </c>
      <c r="G122" s="85" t="s">
        <v>63</v>
      </c>
      <c r="H122" s="85" t="s">
        <v>73</v>
      </c>
      <c r="I122" s="237">
        <v>13627000</v>
      </c>
      <c r="J122" s="290">
        <v>1</v>
      </c>
      <c r="K122" s="291">
        <v>2146000</v>
      </c>
      <c r="L122" s="291"/>
      <c r="M122" s="292">
        <f t="shared" si="3"/>
        <v>15773000</v>
      </c>
      <c r="N122" s="85">
        <v>1082927274</v>
      </c>
      <c r="O122" s="85" t="s">
        <v>3671</v>
      </c>
      <c r="P122" s="85" t="s">
        <v>6860</v>
      </c>
      <c r="Q122" s="293">
        <v>44950</v>
      </c>
      <c r="R122" s="293">
        <v>44950</v>
      </c>
      <c r="S122" s="293">
        <v>45084</v>
      </c>
      <c r="T122" s="293"/>
      <c r="U122" s="293"/>
      <c r="V122" s="293"/>
      <c r="W122" s="294">
        <v>45107</v>
      </c>
      <c r="X122" s="237">
        <v>15773000</v>
      </c>
      <c r="Y122" s="295">
        <f t="shared" si="4"/>
        <v>0</v>
      </c>
      <c r="Z122" s="296">
        <f t="shared" si="5"/>
        <v>1</v>
      </c>
      <c r="AA122" s="85">
        <v>57297693</v>
      </c>
      <c r="AB122" s="85" t="s">
        <v>5446</v>
      </c>
      <c r="AC122" s="290" t="s">
        <v>196</v>
      </c>
      <c r="AD122" s="290" t="s">
        <v>196</v>
      </c>
      <c r="AE122" s="236"/>
      <c r="AF122" s="85" t="s">
        <v>6861</v>
      </c>
      <c r="AG122" s="290" t="s">
        <v>192</v>
      </c>
      <c r="AH122" s="290" t="s">
        <v>192</v>
      </c>
    </row>
    <row r="123" spans="1:34" s="297" customFormat="1" ht="15" customHeight="1" x14ac:dyDescent="0.25">
      <c r="A123" s="289">
        <v>891780111</v>
      </c>
      <c r="B123" s="289" t="s">
        <v>54</v>
      </c>
      <c r="C123" s="290" t="s">
        <v>56</v>
      </c>
      <c r="D123" s="289" t="s">
        <v>60</v>
      </c>
      <c r="E123" s="290" t="s">
        <v>6862</v>
      </c>
      <c r="F123" s="289" t="s">
        <v>61</v>
      </c>
      <c r="G123" s="85" t="s">
        <v>63</v>
      </c>
      <c r="H123" s="85" t="s">
        <v>73</v>
      </c>
      <c r="I123" s="237">
        <v>14560000</v>
      </c>
      <c r="J123" s="290">
        <v>1</v>
      </c>
      <c r="K123" s="291">
        <v>1307000</v>
      </c>
      <c r="L123" s="291"/>
      <c r="M123" s="292">
        <f t="shared" si="3"/>
        <v>15867000</v>
      </c>
      <c r="N123" s="85">
        <v>1082952176</v>
      </c>
      <c r="O123" s="85" t="s">
        <v>6863</v>
      </c>
      <c r="P123" s="85" t="s">
        <v>6864</v>
      </c>
      <c r="Q123" s="293">
        <v>44950</v>
      </c>
      <c r="R123" s="293">
        <v>44950</v>
      </c>
      <c r="S123" s="293">
        <v>45093</v>
      </c>
      <c r="T123" s="293"/>
      <c r="U123" s="293"/>
      <c r="V123" s="293"/>
      <c r="W123" s="294">
        <v>45107</v>
      </c>
      <c r="X123" s="237">
        <v>15867000</v>
      </c>
      <c r="Y123" s="295">
        <f t="shared" si="4"/>
        <v>0</v>
      </c>
      <c r="Z123" s="296">
        <f t="shared" si="5"/>
        <v>1</v>
      </c>
      <c r="AA123" s="85">
        <v>85449357</v>
      </c>
      <c r="AB123" s="85" t="s">
        <v>6553</v>
      </c>
      <c r="AC123" s="290" t="s">
        <v>196</v>
      </c>
      <c r="AD123" s="290" t="s">
        <v>196</v>
      </c>
      <c r="AE123" s="236"/>
      <c r="AF123" s="85" t="s">
        <v>6865</v>
      </c>
      <c r="AG123" s="290" t="s">
        <v>192</v>
      </c>
      <c r="AH123" s="290" t="s">
        <v>192</v>
      </c>
    </row>
    <row r="124" spans="1:34" s="297" customFormat="1" ht="15" customHeight="1" x14ac:dyDescent="0.25">
      <c r="A124" s="289">
        <v>891780111</v>
      </c>
      <c r="B124" s="289" t="s">
        <v>54</v>
      </c>
      <c r="C124" s="290" t="s">
        <v>56</v>
      </c>
      <c r="D124" s="289" t="s">
        <v>60</v>
      </c>
      <c r="E124" s="290" t="s">
        <v>6866</v>
      </c>
      <c r="F124" s="289" t="s">
        <v>61</v>
      </c>
      <c r="G124" s="85" t="s">
        <v>63</v>
      </c>
      <c r="H124" s="85" t="s">
        <v>73</v>
      </c>
      <c r="I124" s="237">
        <v>17000000</v>
      </c>
      <c r="J124" s="290">
        <v>1</v>
      </c>
      <c r="K124" s="291">
        <v>1587000</v>
      </c>
      <c r="L124" s="291"/>
      <c r="M124" s="292">
        <f t="shared" si="3"/>
        <v>18587000</v>
      </c>
      <c r="N124" s="85">
        <v>1082926372</v>
      </c>
      <c r="O124" s="85" t="s">
        <v>6867</v>
      </c>
      <c r="P124" s="85" t="s">
        <v>6868</v>
      </c>
      <c r="Q124" s="293">
        <v>44951</v>
      </c>
      <c r="R124" s="293">
        <v>44951</v>
      </c>
      <c r="S124" s="293">
        <v>45093</v>
      </c>
      <c r="T124" s="293"/>
      <c r="U124" s="293"/>
      <c r="V124" s="293"/>
      <c r="W124" s="294">
        <v>45107</v>
      </c>
      <c r="X124" s="237">
        <v>18587000</v>
      </c>
      <c r="Y124" s="295">
        <f t="shared" si="4"/>
        <v>0</v>
      </c>
      <c r="Z124" s="296">
        <f t="shared" si="5"/>
        <v>1</v>
      </c>
      <c r="AA124" s="85">
        <v>12621405</v>
      </c>
      <c r="AB124" s="85" t="s">
        <v>6396</v>
      </c>
      <c r="AC124" s="290" t="s">
        <v>196</v>
      </c>
      <c r="AD124" s="290" t="s">
        <v>196</v>
      </c>
      <c r="AE124" s="236"/>
      <c r="AF124" s="85" t="s">
        <v>6869</v>
      </c>
      <c r="AG124" s="290" t="s">
        <v>192</v>
      </c>
      <c r="AH124" s="290" t="s">
        <v>192</v>
      </c>
    </row>
    <row r="125" spans="1:34" s="297" customFormat="1" ht="15" customHeight="1" x14ac:dyDescent="0.25">
      <c r="A125" s="289">
        <v>891780111</v>
      </c>
      <c r="B125" s="289" t="s">
        <v>54</v>
      </c>
      <c r="C125" s="290" t="s">
        <v>56</v>
      </c>
      <c r="D125" s="289" t="s">
        <v>60</v>
      </c>
      <c r="E125" s="290" t="s">
        <v>6870</v>
      </c>
      <c r="F125" s="289" t="s">
        <v>61</v>
      </c>
      <c r="G125" s="85" t="s">
        <v>63</v>
      </c>
      <c r="H125" s="85" t="s">
        <v>73</v>
      </c>
      <c r="I125" s="237">
        <v>14560000</v>
      </c>
      <c r="J125" s="290">
        <v>1</v>
      </c>
      <c r="K125" s="291">
        <v>1307000</v>
      </c>
      <c r="L125" s="291"/>
      <c r="M125" s="292">
        <f t="shared" si="3"/>
        <v>15867000</v>
      </c>
      <c r="N125" s="85">
        <v>1082908421</v>
      </c>
      <c r="O125" s="85" t="s">
        <v>6871</v>
      </c>
      <c r="P125" s="85" t="s">
        <v>6872</v>
      </c>
      <c r="Q125" s="293">
        <v>44951</v>
      </c>
      <c r="R125" s="293">
        <v>44951</v>
      </c>
      <c r="S125" s="293">
        <v>45093</v>
      </c>
      <c r="T125" s="293"/>
      <c r="U125" s="293"/>
      <c r="V125" s="293"/>
      <c r="W125" s="294">
        <v>45107</v>
      </c>
      <c r="X125" s="237">
        <v>15867000</v>
      </c>
      <c r="Y125" s="295">
        <f t="shared" si="4"/>
        <v>0</v>
      </c>
      <c r="Z125" s="296">
        <f t="shared" si="5"/>
        <v>1</v>
      </c>
      <c r="AA125" s="85">
        <v>85449357</v>
      </c>
      <c r="AB125" s="85" t="s">
        <v>6553</v>
      </c>
      <c r="AC125" s="290" t="s">
        <v>196</v>
      </c>
      <c r="AD125" s="290" t="s">
        <v>196</v>
      </c>
      <c r="AE125" s="236"/>
      <c r="AF125" s="85" t="s">
        <v>6873</v>
      </c>
      <c r="AG125" s="290" t="s">
        <v>192</v>
      </c>
      <c r="AH125" s="290" t="s">
        <v>192</v>
      </c>
    </row>
    <row r="126" spans="1:34" s="297" customFormat="1" ht="15" customHeight="1" x14ac:dyDescent="0.25">
      <c r="A126" s="289">
        <v>891780111</v>
      </c>
      <c r="B126" s="289" t="s">
        <v>54</v>
      </c>
      <c r="C126" s="290" t="s">
        <v>56</v>
      </c>
      <c r="D126" s="289" t="s">
        <v>60</v>
      </c>
      <c r="E126" s="290" t="s">
        <v>6874</v>
      </c>
      <c r="F126" s="289" t="s">
        <v>61</v>
      </c>
      <c r="G126" s="85" t="s">
        <v>63</v>
      </c>
      <c r="H126" s="85" t="s">
        <v>73</v>
      </c>
      <c r="I126" s="237">
        <v>16947000</v>
      </c>
      <c r="J126" s="290"/>
      <c r="K126" s="291"/>
      <c r="L126" s="291"/>
      <c r="M126" s="292">
        <f t="shared" si="3"/>
        <v>16947000</v>
      </c>
      <c r="N126" s="85">
        <v>7601915</v>
      </c>
      <c r="O126" s="85" t="s">
        <v>6875</v>
      </c>
      <c r="P126" s="85" t="s">
        <v>6876</v>
      </c>
      <c r="Q126" s="293">
        <v>44951</v>
      </c>
      <c r="R126" s="293">
        <v>44951</v>
      </c>
      <c r="S126" s="293">
        <v>45093</v>
      </c>
      <c r="T126" s="293"/>
      <c r="U126" s="293"/>
      <c r="V126" s="293"/>
      <c r="W126" s="294"/>
      <c r="X126" s="237">
        <v>16947000</v>
      </c>
      <c r="Y126" s="295">
        <f t="shared" si="4"/>
        <v>0</v>
      </c>
      <c r="Z126" s="296">
        <f t="shared" si="5"/>
        <v>1</v>
      </c>
      <c r="AA126" s="85">
        <v>39058006</v>
      </c>
      <c r="AB126" s="85" t="s">
        <v>6699</v>
      </c>
      <c r="AC126" s="290" t="s">
        <v>196</v>
      </c>
      <c r="AD126" s="290" t="s">
        <v>196</v>
      </c>
      <c r="AE126" s="236"/>
      <c r="AF126" s="85" t="s">
        <v>6877</v>
      </c>
      <c r="AG126" s="290" t="s">
        <v>192</v>
      </c>
      <c r="AH126" s="290" t="s">
        <v>192</v>
      </c>
    </row>
    <row r="127" spans="1:34" s="297" customFormat="1" ht="15" customHeight="1" x14ac:dyDescent="0.25">
      <c r="A127" s="289">
        <v>891780111</v>
      </c>
      <c r="B127" s="289" t="s">
        <v>54</v>
      </c>
      <c r="C127" s="290" t="s">
        <v>56</v>
      </c>
      <c r="D127" s="289" t="s">
        <v>60</v>
      </c>
      <c r="E127" s="290" t="s">
        <v>6878</v>
      </c>
      <c r="F127" s="289" t="s">
        <v>61</v>
      </c>
      <c r="G127" s="85" t="s">
        <v>63</v>
      </c>
      <c r="H127" s="85" t="s">
        <v>73</v>
      </c>
      <c r="I127" s="237">
        <v>8930000</v>
      </c>
      <c r="J127" s="290">
        <v>1</v>
      </c>
      <c r="K127" s="291">
        <v>570000</v>
      </c>
      <c r="L127" s="291"/>
      <c r="M127" s="292">
        <f t="shared" si="3"/>
        <v>9500000</v>
      </c>
      <c r="N127" s="85">
        <v>39055352</v>
      </c>
      <c r="O127" s="85" t="s">
        <v>6879</v>
      </c>
      <c r="P127" s="85" t="s">
        <v>6880</v>
      </c>
      <c r="Q127" s="293">
        <v>44951</v>
      </c>
      <c r="R127" s="293">
        <v>44951</v>
      </c>
      <c r="S127" s="293">
        <v>45084</v>
      </c>
      <c r="T127" s="293"/>
      <c r="U127" s="293"/>
      <c r="V127" s="293"/>
      <c r="W127" s="294">
        <v>45093</v>
      </c>
      <c r="X127" s="237">
        <v>9500000</v>
      </c>
      <c r="Y127" s="295">
        <f t="shared" si="4"/>
        <v>0</v>
      </c>
      <c r="Z127" s="296">
        <f t="shared" si="5"/>
        <v>1</v>
      </c>
      <c r="AA127" s="85">
        <v>57444673</v>
      </c>
      <c r="AB127" s="85" t="s">
        <v>5370</v>
      </c>
      <c r="AC127" s="290" t="s">
        <v>196</v>
      </c>
      <c r="AD127" s="290" t="s">
        <v>196</v>
      </c>
      <c r="AE127" s="236"/>
      <c r="AF127" s="85" t="s">
        <v>6881</v>
      </c>
      <c r="AG127" s="290" t="s">
        <v>192</v>
      </c>
      <c r="AH127" s="290" t="s">
        <v>192</v>
      </c>
    </row>
    <row r="128" spans="1:34" s="297" customFormat="1" ht="15" customHeight="1" x14ac:dyDescent="0.25">
      <c r="A128" s="289">
        <v>891780111</v>
      </c>
      <c r="B128" s="289" t="s">
        <v>54</v>
      </c>
      <c r="C128" s="290" t="s">
        <v>56</v>
      </c>
      <c r="D128" s="289" t="s">
        <v>60</v>
      </c>
      <c r="E128" s="290" t="s">
        <v>6882</v>
      </c>
      <c r="F128" s="289" t="s">
        <v>61</v>
      </c>
      <c r="G128" s="85" t="s">
        <v>63</v>
      </c>
      <c r="H128" s="85" t="s">
        <v>73</v>
      </c>
      <c r="I128" s="237">
        <v>10413000</v>
      </c>
      <c r="J128" s="290">
        <v>1</v>
      </c>
      <c r="K128" s="291">
        <v>1687000</v>
      </c>
      <c r="L128" s="291"/>
      <c r="M128" s="292">
        <f t="shared" si="3"/>
        <v>12100000</v>
      </c>
      <c r="N128" s="85">
        <v>39047351</v>
      </c>
      <c r="O128" s="85" t="s">
        <v>6883</v>
      </c>
      <c r="P128" s="85" t="s">
        <v>6884</v>
      </c>
      <c r="Q128" s="293">
        <v>44951</v>
      </c>
      <c r="R128" s="293">
        <v>44951</v>
      </c>
      <c r="S128" s="293">
        <v>45084</v>
      </c>
      <c r="T128" s="293"/>
      <c r="U128" s="293"/>
      <c r="V128" s="293"/>
      <c r="W128" s="294">
        <v>45107</v>
      </c>
      <c r="X128" s="237">
        <v>12100000</v>
      </c>
      <c r="Y128" s="295">
        <f t="shared" si="4"/>
        <v>0</v>
      </c>
      <c r="Z128" s="296">
        <f t="shared" si="5"/>
        <v>1</v>
      </c>
      <c r="AA128" s="85">
        <v>57441846</v>
      </c>
      <c r="AB128" s="85" t="s">
        <v>6885</v>
      </c>
      <c r="AC128" s="290" t="s">
        <v>196</v>
      </c>
      <c r="AD128" s="290" t="s">
        <v>196</v>
      </c>
      <c r="AE128" s="236"/>
      <c r="AF128" s="85" t="s">
        <v>6886</v>
      </c>
      <c r="AG128" s="290" t="s">
        <v>192</v>
      </c>
      <c r="AH128" s="290" t="s">
        <v>192</v>
      </c>
    </row>
    <row r="129" spans="1:34" s="297" customFormat="1" ht="15" customHeight="1" x14ac:dyDescent="0.25">
      <c r="A129" s="289">
        <v>891780111</v>
      </c>
      <c r="B129" s="289" t="s">
        <v>54</v>
      </c>
      <c r="C129" s="290" t="s">
        <v>56</v>
      </c>
      <c r="D129" s="289" t="s">
        <v>60</v>
      </c>
      <c r="E129" s="290" t="s">
        <v>6887</v>
      </c>
      <c r="F129" s="289" t="s">
        <v>61</v>
      </c>
      <c r="G129" s="85" t="s">
        <v>63</v>
      </c>
      <c r="H129" s="85" t="s">
        <v>73</v>
      </c>
      <c r="I129" s="237">
        <v>9437000</v>
      </c>
      <c r="J129" s="290">
        <v>1</v>
      </c>
      <c r="K129" s="291">
        <v>886000</v>
      </c>
      <c r="L129" s="291"/>
      <c r="M129" s="292">
        <f t="shared" si="3"/>
        <v>10323000</v>
      </c>
      <c r="N129" s="85">
        <v>1082887356</v>
      </c>
      <c r="O129" s="85" t="s">
        <v>6888</v>
      </c>
      <c r="P129" s="85" t="s">
        <v>6889</v>
      </c>
      <c r="Q129" s="293">
        <v>44951</v>
      </c>
      <c r="R129" s="293">
        <v>44951</v>
      </c>
      <c r="S129" s="293">
        <v>45093</v>
      </c>
      <c r="T129" s="293"/>
      <c r="U129" s="293"/>
      <c r="V129" s="293"/>
      <c r="W129" s="294">
        <v>45107</v>
      </c>
      <c r="X129" s="237">
        <v>10323000</v>
      </c>
      <c r="Y129" s="295">
        <f t="shared" si="4"/>
        <v>0</v>
      </c>
      <c r="Z129" s="296">
        <f t="shared" si="5"/>
        <v>1</v>
      </c>
      <c r="AA129" s="85">
        <v>26668285</v>
      </c>
      <c r="AB129" s="85" t="s">
        <v>5038</v>
      </c>
      <c r="AC129" s="290" t="s">
        <v>196</v>
      </c>
      <c r="AD129" s="290" t="s">
        <v>196</v>
      </c>
      <c r="AE129" s="236"/>
      <c r="AF129" s="85" t="s">
        <v>6890</v>
      </c>
      <c r="AG129" s="290" t="s">
        <v>192</v>
      </c>
      <c r="AH129" s="290" t="s">
        <v>192</v>
      </c>
    </row>
    <row r="130" spans="1:34" s="297" customFormat="1" ht="15" customHeight="1" x14ac:dyDescent="0.25">
      <c r="A130" s="289">
        <v>891780111</v>
      </c>
      <c r="B130" s="289" t="s">
        <v>54</v>
      </c>
      <c r="C130" s="290" t="s">
        <v>56</v>
      </c>
      <c r="D130" s="289" t="s">
        <v>60</v>
      </c>
      <c r="E130" s="290" t="s">
        <v>6891</v>
      </c>
      <c r="F130" s="289" t="s">
        <v>61</v>
      </c>
      <c r="G130" s="85" t="s">
        <v>63</v>
      </c>
      <c r="H130" s="85" t="s">
        <v>73</v>
      </c>
      <c r="I130" s="237">
        <v>11833000</v>
      </c>
      <c r="J130" s="290">
        <v>1</v>
      </c>
      <c r="K130" s="291">
        <v>1917000</v>
      </c>
      <c r="L130" s="291"/>
      <c r="M130" s="292">
        <f t="shared" si="3"/>
        <v>13750000</v>
      </c>
      <c r="N130" s="85">
        <v>1083006157</v>
      </c>
      <c r="O130" s="85" t="s">
        <v>6892</v>
      </c>
      <c r="P130" s="85" t="s">
        <v>6893</v>
      </c>
      <c r="Q130" s="293">
        <v>44951</v>
      </c>
      <c r="R130" s="293">
        <v>44951</v>
      </c>
      <c r="S130" s="293">
        <v>45084</v>
      </c>
      <c r="T130" s="293"/>
      <c r="U130" s="293"/>
      <c r="V130" s="293"/>
      <c r="W130" s="294">
        <v>45107</v>
      </c>
      <c r="X130" s="237">
        <v>13750000</v>
      </c>
      <c r="Y130" s="295">
        <f t="shared" si="4"/>
        <v>0</v>
      </c>
      <c r="Z130" s="296">
        <f t="shared" si="5"/>
        <v>1</v>
      </c>
      <c r="AA130" s="85">
        <v>7144175</v>
      </c>
      <c r="AB130" s="85" t="s">
        <v>2040</v>
      </c>
      <c r="AC130" s="290" t="s">
        <v>196</v>
      </c>
      <c r="AD130" s="290" t="s">
        <v>196</v>
      </c>
      <c r="AE130" s="236"/>
      <c r="AF130" s="85" t="s">
        <v>6894</v>
      </c>
      <c r="AG130" s="290" t="s">
        <v>192</v>
      </c>
      <c r="AH130" s="290" t="s">
        <v>192</v>
      </c>
    </row>
    <row r="131" spans="1:34" s="297" customFormat="1" ht="15" customHeight="1" x14ac:dyDescent="0.25">
      <c r="A131" s="289">
        <v>891780111</v>
      </c>
      <c r="B131" s="289" t="s">
        <v>54</v>
      </c>
      <c r="C131" s="290" t="s">
        <v>56</v>
      </c>
      <c r="D131" s="289" t="s">
        <v>60</v>
      </c>
      <c r="E131" s="290" t="s">
        <v>6895</v>
      </c>
      <c r="F131" s="289" t="s">
        <v>61</v>
      </c>
      <c r="G131" s="85" t="s">
        <v>63</v>
      </c>
      <c r="H131" s="85" t="s">
        <v>73</v>
      </c>
      <c r="I131" s="237">
        <v>1667000</v>
      </c>
      <c r="J131" s="290"/>
      <c r="K131" s="291"/>
      <c r="L131" s="291"/>
      <c r="M131" s="292">
        <f t="shared" si="3"/>
        <v>1667000</v>
      </c>
      <c r="N131" s="85">
        <v>1081827299</v>
      </c>
      <c r="O131" s="85" t="s">
        <v>6896</v>
      </c>
      <c r="P131" s="85" t="s">
        <v>6897</v>
      </c>
      <c r="Q131" s="293">
        <v>44951</v>
      </c>
      <c r="R131" s="293">
        <v>44951</v>
      </c>
      <c r="S131" s="293">
        <v>44956</v>
      </c>
      <c r="T131" s="293"/>
      <c r="U131" s="293"/>
      <c r="V131" s="293"/>
      <c r="W131" s="294"/>
      <c r="X131" s="237">
        <v>1667000</v>
      </c>
      <c r="Y131" s="295">
        <f t="shared" si="4"/>
        <v>0</v>
      </c>
      <c r="Z131" s="296">
        <f t="shared" si="5"/>
        <v>1</v>
      </c>
      <c r="AA131" s="85">
        <v>72004252</v>
      </c>
      <c r="AB131" s="85" t="s">
        <v>6898</v>
      </c>
      <c r="AC131" s="290" t="s">
        <v>196</v>
      </c>
      <c r="AD131" s="290" t="s">
        <v>196</v>
      </c>
      <c r="AE131" s="236"/>
      <c r="AF131" s="85" t="s">
        <v>6899</v>
      </c>
      <c r="AG131" s="290" t="s">
        <v>192</v>
      </c>
      <c r="AH131" s="290" t="s">
        <v>192</v>
      </c>
    </row>
    <row r="132" spans="1:34" s="297" customFormat="1" ht="15" customHeight="1" x14ac:dyDescent="0.25">
      <c r="A132" s="289">
        <v>891780111</v>
      </c>
      <c r="B132" s="289" t="s">
        <v>54</v>
      </c>
      <c r="C132" s="290" t="s">
        <v>56</v>
      </c>
      <c r="D132" s="289" t="s">
        <v>60</v>
      </c>
      <c r="E132" s="290" t="s">
        <v>6900</v>
      </c>
      <c r="F132" s="289" t="s">
        <v>61</v>
      </c>
      <c r="G132" s="85" t="s">
        <v>63</v>
      </c>
      <c r="H132" s="85" t="s">
        <v>73</v>
      </c>
      <c r="I132" s="237">
        <v>13253000</v>
      </c>
      <c r="J132" s="290">
        <v>1</v>
      </c>
      <c r="K132" s="291">
        <v>2147000</v>
      </c>
      <c r="L132" s="291"/>
      <c r="M132" s="292">
        <f t="shared" si="3"/>
        <v>15400000</v>
      </c>
      <c r="N132" s="85">
        <v>1083553499</v>
      </c>
      <c r="O132" s="85" t="s">
        <v>6901</v>
      </c>
      <c r="P132" s="85" t="s">
        <v>6902</v>
      </c>
      <c r="Q132" s="293">
        <v>44951</v>
      </c>
      <c r="R132" s="293">
        <v>44951</v>
      </c>
      <c r="S132" s="293">
        <v>45084</v>
      </c>
      <c r="T132" s="293"/>
      <c r="U132" s="293"/>
      <c r="V132" s="293"/>
      <c r="W132" s="294">
        <v>45107</v>
      </c>
      <c r="X132" s="237">
        <v>15400000</v>
      </c>
      <c r="Y132" s="295">
        <f t="shared" si="4"/>
        <v>0</v>
      </c>
      <c r="Z132" s="296">
        <f t="shared" si="5"/>
        <v>1</v>
      </c>
      <c r="AA132" s="85">
        <v>7144175</v>
      </c>
      <c r="AB132" s="85" t="s">
        <v>2040</v>
      </c>
      <c r="AC132" s="290" t="s">
        <v>196</v>
      </c>
      <c r="AD132" s="290" t="s">
        <v>196</v>
      </c>
      <c r="AE132" s="236"/>
      <c r="AF132" s="85" t="s">
        <v>6903</v>
      </c>
      <c r="AG132" s="290" t="s">
        <v>192</v>
      </c>
      <c r="AH132" s="290" t="s">
        <v>192</v>
      </c>
    </row>
    <row r="133" spans="1:34" s="297" customFormat="1" ht="15" customHeight="1" x14ac:dyDescent="0.25">
      <c r="A133" s="289">
        <v>891780111</v>
      </c>
      <c r="B133" s="289" t="s">
        <v>54</v>
      </c>
      <c r="C133" s="290" t="s">
        <v>56</v>
      </c>
      <c r="D133" s="289" t="s">
        <v>60</v>
      </c>
      <c r="E133" s="290" t="s">
        <v>6904</v>
      </c>
      <c r="F133" s="289" t="s">
        <v>61</v>
      </c>
      <c r="G133" s="85" t="s">
        <v>63</v>
      </c>
      <c r="H133" s="85" t="s">
        <v>73</v>
      </c>
      <c r="I133" s="237">
        <v>14673000</v>
      </c>
      <c r="J133" s="290">
        <v>2</v>
      </c>
      <c r="K133" s="291">
        <v>1653000</v>
      </c>
      <c r="L133" s="291"/>
      <c r="M133" s="292">
        <f t="shared" ref="M133:M196" si="6">I133+K133-L133</f>
        <v>16326000</v>
      </c>
      <c r="N133" s="85">
        <v>1082957435</v>
      </c>
      <c r="O133" s="85" t="s">
        <v>6905</v>
      </c>
      <c r="P133" s="85" t="s">
        <v>6906</v>
      </c>
      <c r="Q133" s="293">
        <v>44951</v>
      </c>
      <c r="R133" s="293">
        <v>44951</v>
      </c>
      <c r="S133" s="293">
        <v>45084</v>
      </c>
      <c r="T133" s="293"/>
      <c r="U133" s="293"/>
      <c r="V133" s="293"/>
      <c r="W133" s="294">
        <v>45100</v>
      </c>
      <c r="X133" s="237">
        <v>16326000</v>
      </c>
      <c r="Y133" s="295">
        <f t="shared" ref="Y133:Y196" si="7">M133-X133</f>
        <v>0</v>
      </c>
      <c r="Z133" s="296">
        <f t="shared" ref="Z133:Z196" si="8">+(X133/M133)</f>
        <v>1</v>
      </c>
      <c r="AA133" s="85">
        <v>1082868728</v>
      </c>
      <c r="AB133" s="85" t="s">
        <v>6010</v>
      </c>
      <c r="AC133" s="290" t="s">
        <v>196</v>
      </c>
      <c r="AD133" s="290" t="s">
        <v>196</v>
      </c>
      <c r="AE133" s="236"/>
      <c r="AF133" s="85" t="s">
        <v>6907</v>
      </c>
      <c r="AG133" s="290" t="s">
        <v>192</v>
      </c>
      <c r="AH133" s="290" t="s">
        <v>192</v>
      </c>
    </row>
    <row r="134" spans="1:34" s="297" customFormat="1" ht="15" customHeight="1" x14ac:dyDescent="0.25">
      <c r="A134" s="289">
        <v>891780111</v>
      </c>
      <c r="B134" s="289" t="s">
        <v>54</v>
      </c>
      <c r="C134" s="290" t="s">
        <v>56</v>
      </c>
      <c r="D134" s="289" t="s">
        <v>60</v>
      </c>
      <c r="E134" s="290" t="s">
        <v>6908</v>
      </c>
      <c r="F134" s="289" t="s">
        <v>61</v>
      </c>
      <c r="G134" s="85" t="s">
        <v>63</v>
      </c>
      <c r="H134" s="85" t="s">
        <v>73</v>
      </c>
      <c r="I134" s="237">
        <v>9900000</v>
      </c>
      <c r="J134" s="290">
        <v>1</v>
      </c>
      <c r="K134" s="291">
        <v>3740000</v>
      </c>
      <c r="L134" s="291"/>
      <c r="M134" s="292">
        <f t="shared" si="6"/>
        <v>13640000</v>
      </c>
      <c r="N134" s="85">
        <v>36719808</v>
      </c>
      <c r="O134" s="85" t="s">
        <v>6909</v>
      </c>
      <c r="P134" s="85" t="s">
        <v>6910</v>
      </c>
      <c r="Q134" s="293">
        <v>44951</v>
      </c>
      <c r="R134" s="293">
        <v>44951</v>
      </c>
      <c r="S134" s="293">
        <v>45084</v>
      </c>
      <c r="T134" s="293"/>
      <c r="U134" s="293"/>
      <c r="V134" s="293"/>
      <c r="W134" s="294">
        <v>45105</v>
      </c>
      <c r="X134" s="237">
        <v>11587000</v>
      </c>
      <c r="Y134" s="295">
        <f t="shared" si="7"/>
        <v>2053000</v>
      </c>
      <c r="Z134" s="296">
        <f t="shared" si="8"/>
        <v>0.84948680351906158</v>
      </c>
      <c r="AA134" s="85">
        <v>45507423</v>
      </c>
      <c r="AB134" s="85" t="s">
        <v>6911</v>
      </c>
      <c r="AC134" s="290" t="s">
        <v>196</v>
      </c>
      <c r="AD134" s="290" t="s">
        <v>196</v>
      </c>
      <c r="AE134" s="236"/>
      <c r="AF134" s="85" t="s">
        <v>6912</v>
      </c>
      <c r="AG134" s="290" t="s">
        <v>192</v>
      </c>
      <c r="AH134" s="290" t="s">
        <v>192</v>
      </c>
    </row>
    <row r="135" spans="1:34" s="297" customFormat="1" ht="15" customHeight="1" x14ac:dyDescent="0.25">
      <c r="A135" s="289">
        <v>891780111</v>
      </c>
      <c r="B135" s="289" t="s">
        <v>54</v>
      </c>
      <c r="C135" s="290" t="s">
        <v>56</v>
      </c>
      <c r="D135" s="289" t="s">
        <v>60</v>
      </c>
      <c r="E135" s="290" t="s">
        <v>6913</v>
      </c>
      <c r="F135" s="289" t="s">
        <v>61</v>
      </c>
      <c r="G135" s="85" t="s">
        <v>63</v>
      </c>
      <c r="H135" s="85" t="s">
        <v>73</v>
      </c>
      <c r="I135" s="237">
        <v>11833000</v>
      </c>
      <c r="J135" s="290">
        <v>1</v>
      </c>
      <c r="K135" s="291">
        <v>1917000</v>
      </c>
      <c r="L135" s="291"/>
      <c r="M135" s="292">
        <f t="shared" si="6"/>
        <v>13750000</v>
      </c>
      <c r="N135" s="85">
        <v>85449538</v>
      </c>
      <c r="O135" s="85" t="s">
        <v>6914</v>
      </c>
      <c r="P135" s="85" t="s">
        <v>6915</v>
      </c>
      <c r="Q135" s="293">
        <v>44951</v>
      </c>
      <c r="R135" s="293">
        <v>44951</v>
      </c>
      <c r="S135" s="293">
        <v>45084</v>
      </c>
      <c r="T135" s="293"/>
      <c r="U135" s="293"/>
      <c r="V135" s="293"/>
      <c r="W135" s="294">
        <v>45107</v>
      </c>
      <c r="X135" s="237">
        <v>13750000</v>
      </c>
      <c r="Y135" s="295">
        <f t="shared" si="7"/>
        <v>0</v>
      </c>
      <c r="Z135" s="296">
        <f t="shared" si="8"/>
        <v>1</v>
      </c>
      <c r="AA135" s="85">
        <v>36557666</v>
      </c>
      <c r="AB135" s="85" t="s">
        <v>6916</v>
      </c>
      <c r="AC135" s="290" t="s">
        <v>196</v>
      </c>
      <c r="AD135" s="290" t="s">
        <v>196</v>
      </c>
      <c r="AE135" s="236"/>
      <c r="AF135" s="85" t="s">
        <v>6917</v>
      </c>
      <c r="AG135" s="290" t="s">
        <v>192</v>
      </c>
      <c r="AH135" s="290" t="s">
        <v>192</v>
      </c>
    </row>
    <row r="136" spans="1:34" s="297" customFormat="1" ht="15" customHeight="1" x14ac:dyDescent="0.25">
      <c r="A136" s="289">
        <v>891780111</v>
      </c>
      <c r="B136" s="289" t="s">
        <v>54</v>
      </c>
      <c r="C136" s="290" t="s">
        <v>56</v>
      </c>
      <c r="D136" s="289" t="s">
        <v>60</v>
      </c>
      <c r="E136" s="290" t="s">
        <v>6918</v>
      </c>
      <c r="F136" s="289" t="s">
        <v>61</v>
      </c>
      <c r="G136" s="85" t="s">
        <v>63</v>
      </c>
      <c r="H136" s="85" t="s">
        <v>73</v>
      </c>
      <c r="I136" s="237">
        <v>16017000</v>
      </c>
      <c r="J136" s="290">
        <v>1</v>
      </c>
      <c r="K136" s="291">
        <v>1446000</v>
      </c>
      <c r="L136" s="291"/>
      <c r="M136" s="292">
        <f t="shared" si="6"/>
        <v>17463000</v>
      </c>
      <c r="N136" s="85">
        <v>85155379</v>
      </c>
      <c r="O136" s="85" t="s">
        <v>6919</v>
      </c>
      <c r="P136" s="85" t="s">
        <v>6920</v>
      </c>
      <c r="Q136" s="293">
        <v>44951</v>
      </c>
      <c r="R136" s="293">
        <v>44951</v>
      </c>
      <c r="S136" s="293">
        <v>45093</v>
      </c>
      <c r="T136" s="293"/>
      <c r="U136" s="293"/>
      <c r="V136" s="293"/>
      <c r="W136" s="294">
        <v>45107</v>
      </c>
      <c r="X136" s="237">
        <v>17463000</v>
      </c>
      <c r="Y136" s="295">
        <f t="shared" si="7"/>
        <v>0</v>
      </c>
      <c r="Z136" s="296">
        <f t="shared" si="8"/>
        <v>1</v>
      </c>
      <c r="AA136" s="85">
        <v>85465146</v>
      </c>
      <c r="AB136" s="85" t="s">
        <v>6628</v>
      </c>
      <c r="AC136" s="290" t="s">
        <v>196</v>
      </c>
      <c r="AD136" s="290" t="s">
        <v>196</v>
      </c>
      <c r="AE136" s="236"/>
      <c r="AF136" s="85" t="s">
        <v>6921</v>
      </c>
      <c r="AG136" s="290" t="s">
        <v>192</v>
      </c>
      <c r="AH136" s="290" t="s">
        <v>192</v>
      </c>
    </row>
    <row r="137" spans="1:34" s="297" customFormat="1" ht="15" customHeight="1" x14ac:dyDescent="0.25">
      <c r="A137" s="289">
        <v>891780111</v>
      </c>
      <c r="B137" s="289" t="s">
        <v>54</v>
      </c>
      <c r="C137" s="290" t="s">
        <v>56</v>
      </c>
      <c r="D137" s="289" t="s">
        <v>60</v>
      </c>
      <c r="E137" s="290" t="s">
        <v>6922</v>
      </c>
      <c r="F137" s="289" t="s">
        <v>61</v>
      </c>
      <c r="G137" s="85" t="s">
        <v>63</v>
      </c>
      <c r="H137" s="85" t="s">
        <v>73</v>
      </c>
      <c r="I137" s="237">
        <v>14673000</v>
      </c>
      <c r="J137" s="290"/>
      <c r="K137" s="291"/>
      <c r="L137" s="291"/>
      <c r="M137" s="292">
        <f t="shared" si="6"/>
        <v>14673000</v>
      </c>
      <c r="N137" s="85">
        <v>26671795</v>
      </c>
      <c r="O137" s="85" t="s">
        <v>6923</v>
      </c>
      <c r="P137" s="85" t="s">
        <v>6924</v>
      </c>
      <c r="Q137" s="293">
        <v>44951</v>
      </c>
      <c r="R137" s="293">
        <v>44951</v>
      </c>
      <c r="S137" s="293">
        <v>45084</v>
      </c>
      <c r="T137" s="293"/>
      <c r="U137" s="293"/>
      <c r="V137" s="293"/>
      <c r="W137" s="294"/>
      <c r="X137" s="237">
        <v>14673000</v>
      </c>
      <c r="Y137" s="295">
        <f t="shared" si="7"/>
        <v>0</v>
      </c>
      <c r="Z137" s="296">
        <f t="shared" si="8"/>
        <v>1</v>
      </c>
      <c r="AA137" s="85">
        <v>12548945</v>
      </c>
      <c r="AB137" s="85" t="s">
        <v>6925</v>
      </c>
      <c r="AC137" s="290" t="s">
        <v>196</v>
      </c>
      <c r="AD137" s="290" t="s">
        <v>196</v>
      </c>
      <c r="AE137" s="236"/>
      <c r="AF137" s="85" t="s">
        <v>6926</v>
      </c>
      <c r="AG137" s="290" t="s">
        <v>192</v>
      </c>
      <c r="AH137" s="290" t="s">
        <v>192</v>
      </c>
    </row>
    <row r="138" spans="1:34" s="297" customFormat="1" ht="15" customHeight="1" x14ac:dyDescent="0.25">
      <c r="A138" s="289">
        <v>891780111</v>
      </c>
      <c r="B138" s="289" t="s">
        <v>54</v>
      </c>
      <c r="C138" s="290" t="s">
        <v>56</v>
      </c>
      <c r="D138" s="289" t="s">
        <v>60</v>
      </c>
      <c r="E138" s="290" t="s">
        <v>6927</v>
      </c>
      <c r="F138" s="289" t="s">
        <v>61</v>
      </c>
      <c r="G138" s="85" t="s">
        <v>63</v>
      </c>
      <c r="H138" s="85" t="s">
        <v>73</v>
      </c>
      <c r="I138" s="237">
        <v>30500000</v>
      </c>
      <c r="J138" s="290">
        <v>1</v>
      </c>
      <c r="K138" s="291">
        <v>2847000</v>
      </c>
      <c r="L138" s="291"/>
      <c r="M138" s="292">
        <f t="shared" si="6"/>
        <v>33347000</v>
      </c>
      <c r="N138" s="85">
        <v>36724902</v>
      </c>
      <c r="O138" s="85" t="s">
        <v>6928</v>
      </c>
      <c r="P138" s="85" t="s">
        <v>6929</v>
      </c>
      <c r="Q138" s="293">
        <v>44951</v>
      </c>
      <c r="R138" s="293">
        <v>44951</v>
      </c>
      <c r="S138" s="293">
        <v>45093</v>
      </c>
      <c r="T138" s="293"/>
      <c r="U138" s="293"/>
      <c r="V138" s="293"/>
      <c r="W138" s="294">
        <v>45107</v>
      </c>
      <c r="X138" s="237">
        <v>15047000</v>
      </c>
      <c r="Y138" s="295">
        <f t="shared" si="7"/>
        <v>18300000</v>
      </c>
      <c r="Z138" s="296">
        <f t="shared" si="8"/>
        <v>0.45122499775092212</v>
      </c>
      <c r="AA138" s="85">
        <v>12621405</v>
      </c>
      <c r="AB138" s="85" t="s">
        <v>6396</v>
      </c>
      <c r="AC138" s="290" t="s">
        <v>196</v>
      </c>
      <c r="AD138" s="290" t="s">
        <v>196</v>
      </c>
      <c r="AE138" s="236"/>
      <c r="AF138" s="85" t="s">
        <v>6930</v>
      </c>
      <c r="AG138" s="290" t="s">
        <v>192</v>
      </c>
      <c r="AH138" s="290" t="s">
        <v>192</v>
      </c>
    </row>
    <row r="139" spans="1:34" s="297" customFormat="1" ht="15" customHeight="1" x14ac:dyDescent="0.25">
      <c r="A139" s="289">
        <v>891780111</v>
      </c>
      <c r="B139" s="289" t="s">
        <v>54</v>
      </c>
      <c r="C139" s="290" t="s">
        <v>56</v>
      </c>
      <c r="D139" s="289" t="s">
        <v>60</v>
      </c>
      <c r="E139" s="290" t="s">
        <v>6931</v>
      </c>
      <c r="F139" s="289" t="s">
        <v>61</v>
      </c>
      <c r="G139" s="85" t="s">
        <v>63</v>
      </c>
      <c r="H139" s="85" t="s">
        <v>73</v>
      </c>
      <c r="I139" s="237">
        <v>17513000</v>
      </c>
      <c r="J139" s="290"/>
      <c r="K139" s="291"/>
      <c r="L139" s="291"/>
      <c r="M139" s="292">
        <f t="shared" si="6"/>
        <v>17513000</v>
      </c>
      <c r="N139" s="85">
        <v>1082889745</v>
      </c>
      <c r="O139" s="85" t="s">
        <v>6932</v>
      </c>
      <c r="P139" s="85" t="s">
        <v>6933</v>
      </c>
      <c r="Q139" s="293">
        <v>44951</v>
      </c>
      <c r="R139" s="293">
        <v>44951</v>
      </c>
      <c r="S139" s="293">
        <v>45084</v>
      </c>
      <c r="T139" s="293"/>
      <c r="U139" s="293"/>
      <c r="V139" s="293"/>
      <c r="W139" s="294"/>
      <c r="X139" s="237">
        <v>16650000</v>
      </c>
      <c r="Y139" s="295">
        <f t="shared" si="7"/>
        <v>863000</v>
      </c>
      <c r="Z139" s="296">
        <f t="shared" si="8"/>
        <v>0.95072232056186834</v>
      </c>
      <c r="AA139" s="85">
        <v>36718996</v>
      </c>
      <c r="AB139" s="85" t="s">
        <v>6686</v>
      </c>
      <c r="AC139" s="290" t="s">
        <v>196</v>
      </c>
      <c r="AD139" s="290" t="s">
        <v>196</v>
      </c>
      <c r="AE139" s="236"/>
      <c r="AF139" s="85" t="s">
        <v>6934</v>
      </c>
      <c r="AG139" s="290" t="s">
        <v>192</v>
      </c>
      <c r="AH139" s="290" t="s">
        <v>192</v>
      </c>
    </row>
    <row r="140" spans="1:34" s="297" customFormat="1" ht="15" customHeight="1" x14ac:dyDescent="0.25">
      <c r="A140" s="289">
        <v>891780111</v>
      </c>
      <c r="B140" s="289" t="s">
        <v>54</v>
      </c>
      <c r="C140" s="290" t="s">
        <v>56</v>
      </c>
      <c r="D140" s="289" t="s">
        <v>60</v>
      </c>
      <c r="E140" s="290" t="s">
        <v>6935</v>
      </c>
      <c r="F140" s="289" t="s">
        <v>61</v>
      </c>
      <c r="G140" s="85" t="s">
        <v>63</v>
      </c>
      <c r="H140" s="85" t="s">
        <v>73</v>
      </c>
      <c r="I140" s="237">
        <v>14570000</v>
      </c>
      <c r="J140" s="290">
        <v>1</v>
      </c>
      <c r="K140" s="291">
        <v>2377000</v>
      </c>
      <c r="L140" s="291"/>
      <c r="M140" s="292">
        <f t="shared" si="6"/>
        <v>16947000</v>
      </c>
      <c r="N140" s="85">
        <v>1082996348</v>
      </c>
      <c r="O140" s="85" t="s">
        <v>6936</v>
      </c>
      <c r="P140" s="85" t="s">
        <v>6937</v>
      </c>
      <c r="Q140" s="293">
        <v>44951</v>
      </c>
      <c r="R140" s="293">
        <v>44951</v>
      </c>
      <c r="S140" s="293">
        <v>45084</v>
      </c>
      <c r="T140" s="293"/>
      <c r="U140" s="293"/>
      <c r="V140" s="293"/>
      <c r="W140" s="294">
        <v>45107</v>
      </c>
      <c r="X140" s="237">
        <v>16947000</v>
      </c>
      <c r="Y140" s="295">
        <f t="shared" si="7"/>
        <v>0</v>
      </c>
      <c r="Z140" s="296">
        <f t="shared" si="8"/>
        <v>1</v>
      </c>
      <c r="AA140" s="85">
        <v>32770239</v>
      </c>
      <c r="AB140" s="85" t="s">
        <v>2135</v>
      </c>
      <c r="AC140" s="290" t="s">
        <v>196</v>
      </c>
      <c r="AD140" s="290" t="s">
        <v>196</v>
      </c>
      <c r="AE140" s="236"/>
      <c r="AF140" s="85" t="s">
        <v>6938</v>
      </c>
      <c r="AG140" s="290" t="s">
        <v>192</v>
      </c>
      <c r="AH140" s="290" t="s">
        <v>192</v>
      </c>
    </row>
    <row r="141" spans="1:34" s="297" customFormat="1" ht="15" customHeight="1" x14ac:dyDescent="0.25">
      <c r="A141" s="289">
        <v>891780111</v>
      </c>
      <c r="B141" s="289" t="s">
        <v>54</v>
      </c>
      <c r="C141" s="290" t="s">
        <v>56</v>
      </c>
      <c r="D141" s="289" t="s">
        <v>60</v>
      </c>
      <c r="E141" s="290" t="s">
        <v>6939</v>
      </c>
      <c r="F141" s="289" t="s">
        <v>61</v>
      </c>
      <c r="G141" s="85" t="s">
        <v>63</v>
      </c>
      <c r="H141" s="85" t="s">
        <v>73</v>
      </c>
      <c r="I141" s="237">
        <v>15397000</v>
      </c>
      <c r="J141" s="290">
        <v>1</v>
      </c>
      <c r="K141" s="291">
        <v>1446000</v>
      </c>
      <c r="L141" s="291"/>
      <c r="M141" s="292">
        <f t="shared" si="6"/>
        <v>16843000</v>
      </c>
      <c r="N141" s="85">
        <v>84450965</v>
      </c>
      <c r="O141" s="85" t="s">
        <v>6940</v>
      </c>
      <c r="P141" s="85" t="s">
        <v>6941</v>
      </c>
      <c r="Q141" s="293">
        <v>44951</v>
      </c>
      <c r="R141" s="293">
        <v>44951</v>
      </c>
      <c r="S141" s="293">
        <v>45093</v>
      </c>
      <c r="T141" s="293"/>
      <c r="U141" s="293"/>
      <c r="V141" s="293"/>
      <c r="W141" s="294">
        <v>45107</v>
      </c>
      <c r="X141" s="237">
        <v>16843000</v>
      </c>
      <c r="Y141" s="295">
        <f t="shared" si="7"/>
        <v>0</v>
      </c>
      <c r="Z141" s="296">
        <f t="shared" si="8"/>
        <v>1</v>
      </c>
      <c r="AA141" s="85">
        <v>26668285</v>
      </c>
      <c r="AB141" s="85" t="s">
        <v>5038</v>
      </c>
      <c r="AC141" s="290" t="s">
        <v>196</v>
      </c>
      <c r="AD141" s="290" t="s">
        <v>196</v>
      </c>
      <c r="AE141" s="236"/>
      <c r="AF141" s="85" t="s">
        <v>6942</v>
      </c>
      <c r="AG141" s="290" t="s">
        <v>192</v>
      </c>
      <c r="AH141" s="290" t="s">
        <v>192</v>
      </c>
    </row>
    <row r="142" spans="1:34" s="297" customFormat="1" ht="15" customHeight="1" x14ac:dyDescent="0.25">
      <c r="A142" s="289">
        <v>891780111</v>
      </c>
      <c r="B142" s="289" t="s">
        <v>54</v>
      </c>
      <c r="C142" s="290" t="s">
        <v>56</v>
      </c>
      <c r="D142" s="289" t="s">
        <v>60</v>
      </c>
      <c r="E142" s="290" t="s">
        <v>6943</v>
      </c>
      <c r="F142" s="289" t="s">
        <v>61</v>
      </c>
      <c r="G142" s="85" t="s">
        <v>63</v>
      </c>
      <c r="H142" s="85" t="s">
        <v>73</v>
      </c>
      <c r="I142" s="237">
        <v>13253000</v>
      </c>
      <c r="J142" s="290">
        <v>1</v>
      </c>
      <c r="K142" s="291">
        <v>2147000</v>
      </c>
      <c r="L142" s="291"/>
      <c r="M142" s="292">
        <f t="shared" si="6"/>
        <v>15400000</v>
      </c>
      <c r="N142" s="85">
        <v>1082881245</v>
      </c>
      <c r="O142" s="85" t="s">
        <v>6944</v>
      </c>
      <c r="P142" s="85" t="s">
        <v>6945</v>
      </c>
      <c r="Q142" s="293">
        <v>44951</v>
      </c>
      <c r="R142" s="293">
        <v>44951</v>
      </c>
      <c r="S142" s="293">
        <v>45084</v>
      </c>
      <c r="T142" s="293"/>
      <c r="U142" s="293"/>
      <c r="V142" s="293"/>
      <c r="W142" s="294">
        <v>45107</v>
      </c>
      <c r="X142" s="237">
        <v>15400000</v>
      </c>
      <c r="Y142" s="295">
        <f t="shared" si="7"/>
        <v>0</v>
      </c>
      <c r="Z142" s="296">
        <f t="shared" si="8"/>
        <v>1</v>
      </c>
      <c r="AA142" s="85">
        <v>36557666</v>
      </c>
      <c r="AB142" s="85" t="s">
        <v>6916</v>
      </c>
      <c r="AC142" s="290" t="s">
        <v>196</v>
      </c>
      <c r="AD142" s="290" t="s">
        <v>196</v>
      </c>
      <c r="AE142" s="236"/>
      <c r="AF142" s="85" t="s">
        <v>6946</v>
      </c>
      <c r="AG142" s="290" t="s">
        <v>192</v>
      </c>
      <c r="AH142" s="290" t="s">
        <v>192</v>
      </c>
    </row>
    <row r="143" spans="1:34" s="297" customFormat="1" ht="15" customHeight="1" x14ac:dyDescent="0.25">
      <c r="A143" s="289">
        <v>891780111</v>
      </c>
      <c r="B143" s="289" t="s">
        <v>54</v>
      </c>
      <c r="C143" s="290" t="s">
        <v>56</v>
      </c>
      <c r="D143" s="289" t="s">
        <v>60</v>
      </c>
      <c r="E143" s="290" t="s">
        <v>6947</v>
      </c>
      <c r="F143" s="289" t="s">
        <v>61</v>
      </c>
      <c r="G143" s="85" t="s">
        <v>63</v>
      </c>
      <c r="H143" s="85" t="s">
        <v>73</v>
      </c>
      <c r="I143" s="237">
        <v>9000000</v>
      </c>
      <c r="J143" s="290"/>
      <c r="K143" s="291"/>
      <c r="L143" s="291"/>
      <c r="M143" s="292">
        <f t="shared" si="6"/>
        <v>9000000</v>
      </c>
      <c r="N143" s="85">
        <v>84459830</v>
      </c>
      <c r="O143" s="85" t="s">
        <v>6948</v>
      </c>
      <c r="P143" s="85" t="s">
        <v>6949</v>
      </c>
      <c r="Q143" s="293">
        <v>44951</v>
      </c>
      <c r="R143" s="293">
        <v>44951</v>
      </c>
      <c r="S143" s="293">
        <v>45032</v>
      </c>
      <c r="T143" s="293"/>
      <c r="U143" s="293"/>
      <c r="V143" s="293"/>
      <c r="W143" s="294"/>
      <c r="X143" s="237">
        <v>9000000</v>
      </c>
      <c r="Y143" s="295">
        <f t="shared" si="7"/>
        <v>0</v>
      </c>
      <c r="Z143" s="296">
        <f t="shared" si="8"/>
        <v>1</v>
      </c>
      <c r="AA143" s="85">
        <v>7631392</v>
      </c>
      <c r="AB143" s="85" t="s">
        <v>6633</v>
      </c>
      <c r="AC143" s="290" t="s">
        <v>196</v>
      </c>
      <c r="AD143" s="290" t="s">
        <v>196</v>
      </c>
      <c r="AE143" s="236"/>
      <c r="AF143" s="85" t="s">
        <v>6950</v>
      </c>
      <c r="AG143" s="290" t="s">
        <v>192</v>
      </c>
      <c r="AH143" s="290" t="s">
        <v>192</v>
      </c>
    </row>
    <row r="144" spans="1:34" s="297" customFormat="1" ht="15" customHeight="1" x14ac:dyDescent="0.25">
      <c r="A144" s="289">
        <v>891780111</v>
      </c>
      <c r="B144" s="289" t="s">
        <v>54</v>
      </c>
      <c r="C144" s="290" t="s">
        <v>56</v>
      </c>
      <c r="D144" s="289" t="s">
        <v>60</v>
      </c>
      <c r="E144" s="290" t="s">
        <v>6951</v>
      </c>
      <c r="F144" s="289" t="s">
        <v>61</v>
      </c>
      <c r="G144" s="85" t="s">
        <v>63</v>
      </c>
      <c r="H144" s="85" t="s">
        <v>73</v>
      </c>
      <c r="I144" s="237">
        <v>12167000</v>
      </c>
      <c r="J144" s="290">
        <v>1</v>
      </c>
      <c r="K144" s="291">
        <v>1916000</v>
      </c>
      <c r="L144" s="291"/>
      <c r="M144" s="292">
        <f t="shared" si="6"/>
        <v>14083000</v>
      </c>
      <c r="N144" s="85">
        <v>7144425</v>
      </c>
      <c r="O144" s="85" t="s">
        <v>6952</v>
      </c>
      <c r="P144" s="85" t="s">
        <v>6953</v>
      </c>
      <c r="Q144" s="293">
        <v>44951</v>
      </c>
      <c r="R144" s="293">
        <v>44951</v>
      </c>
      <c r="S144" s="293">
        <v>45084</v>
      </c>
      <c r="T144" s="293"/>
      <c r="U144" s="293"/>
      <c r="V144" s="293"/>
      <c r="W144" s="294">
        <v>45107</v>
      </c>
      <c r="X144" s="237">
        <v>14083000</v>
      </c>
      <c r="Y144" s="295">
        <f t="shared" si="7"/>
        <v>0</v>
      </c>
      <c r="Z144" s="296">
        <f t="shared" si="8"/>
        <v>1</v>
      </c>
      <c r="AA144" s="85">
        <v>57297693</v>
      </c>
      <c r="AB144" s="85" t="s">
        <v>5446</v>
      </c>
      <c r="AC144" s="290" t="s">
        <v>196</v>
      </c>
      <c r="AD144" s="290" t="s">
        <v>196</v>
      </c>
      <c r="AE144" s="236"/>
      <c r="AF144" s="85" t="s">
        <v>6954</v>
      </c>
      <c r="AG144" s="290" t="s">
        <v>192</v>
      </c>
      <c r="AH144" s="290" t="s">
        <v>192</v>
      </c>
    </row>
    <row r="145" spans="1:34" s="297" customFormat="1" ht="15" customHeight="1" x14ac:dyDescent="0.25">
      <c r="A145" s="289">
        <v>891780111</v>
      </c>
      <c r="B145" s="289" t="s">
        <v>54</v>
      </c>
      <c r="C145" s="290" t="s">
        <v>56</v>
      </c>
      <c r="D145" s="289" t="s">
        <v>60</v>
      </c>
      <c r="E145" s="290" t="s">
        <v>6955</v>
      </c>
      <c r="F145" s="289" t="s">
        <v>61</v>
      </c>
      <c r="G145" s="85" t="s">
        <v>63</v>
      </c>
      <c r="H145" s="85" t="s">
        <v>73</v>
      </c>
      <c r="I145" s="237">
        <v>13160000</v>
      </c>
      <c r="J145" s="290">
        <v>1</v>
      </c>
      <c r="K145" s="291">
        <v>2147000</v>
      </c>
      <c r="L145" s="291"/>
      <c r="M145" s="292">
        <f t="shared" si="6"/>
        <v>15307000</v>
      </c>
      <c r="N145" s="85">
        <v>1082992753</v>
      </c>
      <c r="O145" s="85" t="s">
        <v>2253</v>
      </c>
      <c r="P145" s="85" t="s">
        <v>6956</v>
      </c>
      <c r="Q145" s="293">
        <v>44951</v>
      </c>
      <c r="R145" s="293">
        <v>44951</v>
      </c>
      <c r="S145" s="293">
        <v>45084</v>
      </c>
      <c r="T145" s="293"/>
      <c r="U145" s="293"/>
      <c r="V145" s="293"/>
      <c r="W145" s="294">
        <v>45107</v>
      </c>
      <c r="X145" s="237">
        <v>15307000</v>
      </c>
      <c r="Y145" s="295">
        <f t="shared" si="7"/>
        <v>0</v>
      </c>
      <c r="Z145" s="296">
        <f t="shared" si="8"/>
        <v>1</v>
      </c>
      <c r="AA145" s="85">
        <v>36718996</v>
      </c>
      <c r="AB145" s="85" t="s">
        <v>6686</v>
      </c>
      <c r="AC145" s="290" t="s">
        <v>196</v>
      </c>
      <c r="AD145" s="290" t="s">
        <v>196</v>
      </c>
      <c r="AE145" s="236"/>
      <c r="AF145" s="85" t="s">
        <v>6957</v>
      </c>
      <c r="AG145" s="290" t="s">
        <v>192</v>
      </c>
      <c r="AH145" s="290" t="s">
        <v>192</v>
      </c>
    </row>
    <row r="146" spans="1:34" s="297" customFormat="1" ht="15" customHeight="1" x14ac:dyDescent="0.25">
      <c r="A146" s="289">
        <v>891780111</v>
      </c>
      <c r="B146" s="289" t="s">
        <v>54</v>
      </c>
      <c r="C146" s="290" t="s">
        <v>56</v>
      </c>
      <c r="D146" s="289" t="s">
        <v>60</v>
      </c>
      <c r="E146" s="290" t="s">
        <v>6958</v>
      </c>
      <c r="F146" s="289" t="s">
        <v>61</v>
      </c>
      <c r="G146" s="85" t="s">
        <v>63</v>
      </c>
      <c r="H146" s="85" t="s">
        <v>73</v>
      </c>
      <c r="I146" s="237">
        <v>10387000</v>
      </c>
      <c r="J146" s="290"/>
      <c r="K146" s="291"/>
      <c r="L146" s="291"/>
      <c r="M146" s="292">
        <f t="shared" si="6"/>
        <v>10387000</v>
      </c>
      <c r="N146" s="85">
        <v>12637472</v>
      </c>
      <c r="O146" s="85" t="s">
        <v>6959</v>
      </c>
      <c r="P146" s="85" t="s">
        <v>6540</v>
      </c>
      <c r="Q146" s="293">
        <v>44951</v>
      </c>
      <c r="R146" s="293">
        <v>44951</v>
      </c>
      <c r="S146" s="293">
        <v>45093</v>
      </c>
      <c r="T146" s="293"/>
      <c r="U146" s="293"/>
      <c r="V146" s="293"/>
      <c r="W146" s="294"/>
      <c r="X146" s="237">
        <v>10387000</v>
      </c>
      <c r="Y146" s="295">
        <f t="shared" si="7"/>
        <v>0</v>
      </c>
      <c r="Z146" s="296">
        <f t="shared" si="8"/>
        <v>1</v>
      </c>
      <c r="AA146" s="85">
        <v>85459497</v>
      </c>
      <c r="AB146" s="85" t="s">
        <v>4837</v>
      </c>
      <c r="AC146" s="290" t="s">
        <v>196</v>
      </c>
      <c r="AD146" s="290" t="s">
        <v>196</v>
      </c>
      <c r="AE146" s="236"/>
      <c r="AF146" s="85" t="s">
        <v>6960</v>
      </c>
      <c r="AG146" s="290" t="s">
        <v>192</v>
      </c>
      <c r="AH146" s="290" t="s">
        <v>192</v>
      </c>
    </row>
    <row r="147" spans="1:34" s="297" customFormat="1" ht="15" customHeight="1" x14ac:dyDescent="0.25">
      <c r="A147" s="289">
        <v>891780111</v>
      </c>
      <c r="B147" s="289" t="s">
        <v>54</v>
      </c>
      <c r="C147" s="290" t="s">
        <v>56</v>
      </c>
      <c r="D147" s="289" t="s">
        <v>60</v>
      </c>
      <c r="E147" s="290" t="s">
        <v>6961</v>
      </c>
      <c r="F147" s="289" t="s">
        <v>61</v>
      </c>
      <c r="G147" s="85" t="s">
        <v>63</v>
      </c>
      <c r="H147" s="85" t="s">
        <v>73</v>
      </c>
      <c r="I147" s="237">
        <v>25167000</v>
      </c>
      <c r="J147" s="290">
        <v>1</v>
      </c>
      <c r="K147" s="291">
        <v>2333000</v>
      </c>
      <c r="L147" s="291"/>
      <c r="M147" s="292">
        <f t="shared" si="6"/>
        <v>27500000</v>
      </c>
      <c r="N147" s="85">
        <v>1082939683</v>
      </c>
      <c r="O147" s="85" t="s">
        <v>6962</v>
      </c>
      <c r="P147" s="85" t="s">
        <v>6963</v>
      </c>
      <c r="Q147" s="293">
        <v>44951</v>
      </c>
      <c r="R147" s="293">
        <v>44951</v>
      </c>
      <c r="S147" s="293">
        <v>45093</v>
      </c>
      <c r="T147" s="293"/>
      <c r="U147" s="293"/>
      <c r="V147" s="293"/>
      <c r="W147" s="294">
        <v>45107</v>
      </c>
      <c r="X147" s="237">
        <v>27500000</v>
      </c>
      <c r="Y147" s="295">
        <f t="shared" si="7"/>
        <v>0</v>
      </c>
      <c r="Z147" s="296">
        <f t="shared" si="8"/>
        <v>1</v>
      </c>
      <c r="AA147" s="85">
        <v>85455983</v>
      </c>
      <c r="AB147" s="85" t="s">
        <v>6413</v>
      </c>
      <c r="AC147" s="290" t="s">
        <v>196</v>
      </c>
      <c r="AD147" s="290" t="s">
        <v>196</v>
      </c>
      <c r="AE147" s="236"/>
      <c r="AF147" s="85" t="s">
        <v>6964</v>
      </c>
      <c r="AG147" s="290" t="s">
        <v>192</v>
      </c>
      <c r="AH147" s="290" t="s">
        <v>192</v>
      </c>
    </row>
    <row r="148" spans="1:34" s="297" customFormat="1" ht="15" customHeight="1" x14ac:dyDescent="0.25">
      <c r="A148" s="289">
        <v>891780111</v>
      </c>
      <c r="B148" s="289" t="s">
        <v>54</v>
      </c>
      <c r="C148" s="290" t="s">
        <v>56</v>
      </c>
      <c r="D148" s="289" t="s">
        <v>60</v>
      </c>
      <c r="E148" s="290" t="s">
        <v>6965</v>
      </c>
      <c r="F148" s="289" t="s">
        <v>61</v>
      </c>
      <c r="G148" s="85" t="s">
        <v>63</v>
      </c>
      <c r="H148" s="85" t="s">
        <v>73</v>
      </c>
      <c r="I148" s="237">
        <v>10413000</v>
      </c>
      <c r="J148" s="290">
        <v>1</v>
      </c>
      <c r="K148" s="291">
        <v>1687000</v>
      </c>
      <c r="L148" s="291"/>
      <c r="M148" s="292">
        <f t="shared" si="6"/>
        <v>12100000</v>
      </c>
      <c r="N148" s="85">
        <v>32801897</v>
      </c>
      <c r="O148" s="85" t="s">
        <v>6966</v>
      </c>
      <c r="P148" s="85" t="s">
        <v>6967</v>
      </c>
      <c r="Q148" s="293">
        <v>44951</v>
      </c>
      <c r="R148" s="293">
        <v>44951</v>
      </c>
      <c r="S148" s="293">
        <v>45084</v>
      </c>
      <c r="T148" s="293"/>
      <c r="U148" s="293"/>
      <c r="V148" s="293"/>
      <c r="W148" s="294">
        <v>45107</v>
      </c>
      <c r="X148" s="237">
        <v>12100000</v>
      </c>
      <c r="Y148" s="295">
        <f t="shared" si="7"/>
        <v>0</v>
      </c>
      <c r="Z148" s="296">
        <f t="shared" si="8"/>
        <v>1</v>
      </c>
      <c r="AA148" s="85">
        <v>57441846</v>
      </c>
      <c r="AB148" s="85" t="s">
        <v>6885</v>
      </c>
      <c r="AC148" s="290" t="s">
        <v>196</v>
      </c>
      <c r="AD148" s="290" t="s">
        <v>196</v>
      </c>
      <c r="AE148" s="236"/>
      <c r="AF148" s="85" t="s">
        <v>6968</v>
      </c>
      <c r="AG148" s="290" t="s">
        <v>192</v>
      </c>
      <c r="AH148" s="290" t="s">
        <v>192</v>
      </c>
    </row>
    <row r="149" spans="1:34" s="297" customFormat="1" ht="15" customHeight="1" x14ac:dyDescent="0.25">
      <c r="A149" s="289">
        <v>891780111</v>
      </c>
      <c r="B149" s="289" t="s">
        <v>54</v>
      </c>
      <c r="C149" s="290" t="s">
        <v>56</v>
      </c>
      <c r="D149" s="289" t="s">
        <v>60</v>
      </c>
      <c r="E149" s="290" t="s">
        <v>6969</v>
      </c>
      <c r="F149" s="289" t="s">
        <v>61</v>
      </c>
      <c r="G149" s="85" t="s">
        <v>63</v>
      </c>
      <c r="H149" s="85" t="s">
        <v>73</v>
      </c>
      <c r="I149" s="237">
        <v>13253000</v>
      </c>
      <c r="J149" s="290">
        <v>1</v>
      </c>
      <c r="K149" s="291">
        <v>2147000</v>
      </c>
      <c r="L149" s="291"/>
      <c r="M149" s="292">
        <f t="shared" si="6"/>
        <v>15400000</v>
      </c>
      <c r="N149" s="85">
        <v>1083465166</v>
      </c>
      <c r="O149" s="85" t="s">
        <v>6970</v>
      </c>
      <c r="P149" s="85" t="s">
        <v>6971</v>
      </c>
      <c r="Q149" s="293">
        <v>44951</v>
      </c>
      <c r="R149" s="293">
        <v>44951</v>
      </c>
      <c r="S149" s="293">
        <v>45084</v>
      </c>
      <c r="T149" s="293"/>
      <c r="U149" s="293"/>
      <c r="V149" s="293"/>
      <c r="W149" s="294">
        <v>45107</v>
      </c>
      <c r="X149" s="237">
        <v>15400000</v>
      </c>
      <c r="Y149" s="295">
        <f t="shared" si="7"/>
        <v>0</v>
      </c>
      <c r="Z149" s="296">
        <f t="shared" si="8"/>
        <v>1</v>
      </c>
      <c r="AA149" s="85">
        <v>57441846</v>
      </c>
      <c r="AB149" s="85" t="s">
        <v>6885</v>
      </c>
      <c r="AC149" s="290" t="s">
        <v>196</v>
      </c>
      <c r="AD149" s="290" t="s">
        <v>196</v>
      </c>
      <c r="AE149" s="236"/>
      <c r="AF149" s="85" t="s">
        <v>6972</v>
      </c>
      <c r="AG149" s="290" t="s">
        <v>192</v>
      </c>
      <c r="AH149" s="290" t="s">
        <v>192</v>
      </c>
    </row>
    <row r="150" spans="1:34" s="297" customFormat="1" ht="15" customHeight="1" x14ac:dyDescent="0.25">
      <c r="A150" s="289">
        <v>891780111</v>
      </c>
      <c r="B150" s="289" t="s">
        <v>54</v>
      </c>
      <c r="C150" s="290" t="s">
        <v>56</v>
      </c>
      <c r="D150" s="289" t="s">
        <v>60</v>
      </c>
      <c r="E150" s="290" t="s">
        <v>6973</v>
      </c>
      <c r="F150" s="289" t="s">
        <v>61</v>
      </c>
      <c r="G150" s="85" t="s">
        <v>63</v>
      </c>
      <c r="H150" s="85" t="s">
        <v>73</v>
      </c>
      <c r="I150" s="237">
        <v>16093000</v>
      </c>
      <c r="J150" s="290">
        <v>1</v>
      </c>
      <c r="K150" s="291">
        <v>2607000</v>
      </c>
      <c r="L150" s="291"/>
      <c r="M150" s="292">
        <f t="shared" si="6"/>
        <v>18700000</v>
      </c>
      <c r="N150" s="85">
        <v>32790934</v>
      </c>
      <c r="O150" s="85" t="s">
        <v>6974</v>
      </c>
      <c r="P150" s="85" t="s">
        <v>6975</v>
      </c>
      <c r="Q150" s="293">
        <v>44951</v>
      </c>
      <c r="R150" s="293">
        <v>44951</v>
      </c>
      <c r="S150" s="293">
        <v>45084</v>
      </c>
      <c r="T150" s="293"/>
      <c r="U150" s="293"/>
      <c r="V150" s="293"/>
      <c r="W150" s="294">
        <v>45107</v>
      </c>
      <c r="X150" s="237">
        <v>18700000</v>
      </c>
      <c r="Y150" s="295">
        <f t="shared" si="7"/>
        <v>0</v>
      </c>
      <c r="Z150" s="296">
        <f t="shared" si="8"/>
        <v>1</v>
      </c>
      <c r="AA150" s="85">
        <v>7144175</v>
      </c>
      <c r="AB150" s="85" t="s">
        <v>2040</v>
      </c>
      <c r="AC150" s="290" t="s">
        <v>196</v>
      </c>
      <c r="AD150" s="290" t="s">
        <v>196</v>
      </c>
      <c r="AE150" s="236"/>
      <c r="AF150" s="85" t="s">
        <v>6976</v>
      </c>
      <c r="AG150" s="290" t="s">
        <v>192</v>
      </c>
      <c r="AH150" s="290" t="s">
        <v>192</v>
      </c>
    </row>
    <row r="151" spans="1:34" s="297" customFormat="1" ht="15" customHeight="1" x14ac:dyDescent="0.25">
      <c r="A151" s="289">
        <v>891780111</v>
      </c>
      <c r="B151" s="289" t="s">
        <v>54</v>
      </c>
      <c r="C151" s="290" t="s">
        <v>56</v>
      </c>
      <c r="D151" s="289" t="s">
        <v>60</v>
      </c>
      <c r="E151" s="290" t="s">
        <v>6977</v>
      </c>
      <c r="F151" s="289" t="s">
        <v>61</v>
      </c>
      <c r="G151" s="85" t="s">
        <v>63</v>
      </c>
      <c r="H151" s="85" t="s">
        <v>73</v>
      </c>
      <c r="I151" s="237">
        <v>10413000</v>
      </c>
      <c r="J151" s="290">
        <v>1</v>
      </c>
      <c r="K151" s="291">
        <v>1687000</v>
      </c>
      <c r="L151" s="291"/>
      <c r="M151" s="292">
        <f t="shared" si="6"/>
        <v>12100000</v>
      </c>
      <c r="N151" s="85">
        <v>36729451</v>
      </c>
      <c r="O151" s="85" t="s">
        <v>6978</v>
      </c>
      <c r="P151" s="85" t="s">
        <v>6979</v>
      </c>
      <c r="Q151" s="293">
        <v>44951</v>
      </c>
      <c r="R151" s="293">
        <v>44951</v>
      </c>
      <c r="S151" s="293">
        <v>45084</v>
      </c>
      <c r="T151" s="293"/>
      <c r="U151" s="293"/>
      <c r="V151" s="293"/>
      <c r="W151" s="294">
        <v>45107</v>
      </c>
      <c r="X151" s="237">
        <v>12100000</v>
      </c>
      <c r="Y151" s="295">
        <f t="shared" si="7"/>
        <v>0</v>
      </c>
      <c r="Z151" s="296">
        <f t="shared" si="8"/>
        <v>1</v>
      </c>
      <c r="AA151" s="85">
        <v>57441846</v>
      </c>
      <c r="AB151" s="85" t="s">
        <v>6885</v>
      </c>
      <c r="AC151" s="290" t="s">
        <v>196</v>
      </c>
      <c r="AD151" s="290" t="s">
        <v>196</v>
      </c>
      <c r="AE151" s="236"/>
      <c r="AF151" s="85" t="s">
        <v>6980</v>
      </c>
      <c r="AG151" s="290" t="s">
        <v>192</v>
      </c>
      <c r="AH151" s="290" t="s">
        <v>192</v>
      </c>
    </row>
    <row r="152" spans="1:34" s="297" customFormat="1" ht="15" customHeight="1" x14ac:dyDescent="0.25">
      <c r="A152" s="289">
        <v>891780111</v>
      </c>
      <c r="B152" s="289" t="s">
        <v>54</v>
      </c>
      <c r="C152" s="290" t="s">
        <v>56</v>
      </c>
      <c r="D152" s="289" t="s">
        <v>60</v>
      </c>
      <c r="E152" s="290" t="s">
        <v>6981</v>
      </c>
      <c r="F152" s="289" t="s">
        <v>61</v>
      </c>
      <c r="G152" s="85" t="s">
        <v>63</v>
      </c>
      <c r="H152" s="85" t="s">
        <v>73</v>
      </c>
      <c r="I152" s="237">
        <v>16093000</v>
      </c>
      <c r="J152" s="290">
        <v>1</v>
      </c>
      <c r="K152" s="291">
        <v>2607000</v>
      </c>
      <c r="L152" s="291"/>
      <c r="M152" s="292">
        <f t="shared" si="6"/>
        <v>18700000</v>
      </c>
      <c r="N152" s="85">
        <v>1082964829</v>
      </c>
      <c r="O152" s="85" t="s">
        <v>6982</v>
      </c>
      <c r="P152" s="85" t="s">
        <v>6983</v>
      </c>
      <c r="Q152" s="293">
        <v>44951</v>
      </c>
      <c r="R152" s="293">
        <v>44951</v>
      </c>
      <c r="S152" s="293">
        <v>45084</v>
      </c>
      <c r="T152" s="293"/>
      <c r="U152" s="293"/>
      <c r="V152" s="293"/>
      <c r="W152" s="294">
        <v>45107</v>
      </c>
      <c r="X152" s="237">
        <v>18700000</v>
      </c>
      <c r="Y152" s="295">
        <f t="shared" si="7"/>
        <v>0</v>
      </c>
      <c r="Z152" s="296">
        <f t="shared" si="8"/>
        <v>1</v>
      </c>
      <c r="AA152" s="85">
        <v>85152695</v>
      </c>
      <c r="AB152" s="85" t="s">
        <v>6984</v>
      </c>
      <c r="AC152" s="290" t="s">
        <v>196</v>
      </c>
      <c r="AD152" s="290" t="s">
        <v>196</v>
      </c>
      <c r="AE152" s="236"/>
      <c r="AF152" s="85" t="s">
        <v>6985</v>
      </c>
      <c r="AG152" s="290" t="s">
        <v>192</v>
      </c>
      <c r="AH152" s="290" t="s">
        <v>192</v>
      </c>
    </row>
    <row r="153" spans="1:34" s="297" customFormat="1" ht="15" customHeight="1" x14ac:dyDescent="0.25">
      <c r="A153" s="289">
        <v>891780111</v>
      </c>
      <c r="B153" s="289" t="s">
        <v>54</v>
      </c>
      <c r="C153" s="290" t="s">
        <v>56</v>
      </c>
      <c r="D153" s="289" t="s">
        <v>60</v>
      </c>
      <c r="E153" s="290" t="s">
        <v>6986</v>
      </c>
      <c r="F153" s="289" t="s">
        <v>61</v>
      </c>
      <c r="G153" s="85" t="s">
        <v>63</v>
      </c>
      <c r="H153" s="85" t="s">
        <v>73</v>
      </c>
      <c r="I153" s="237">
        <v>10413000</v>
      </c>
      <c r="J153" s="290">
        <v>1</v>
      </c>
      <c r="K153" s="291">
        <v>1687000</v>
      </c>
      <c r="L153" s="291"/>
      <c r="M153" s="292">
        <f t="shared" si="6"/>
        <v>12100000</v>
      </c>
      <c r="N153" s="85">
        <v>84455851</v>
      </c>
      <c r="O153" s="85" t="s">
        <v>6987</v>
      </c>
      <c r="P153" s="85" t="s">
        <v>6988</v>
      </c>
      <c r="Q153" s="293">
        <v>44951</v>
      </c>
      <c r="R153" s="293">
        <v>44951</v>
      </c>
      <c r="S153" s="293">
        <v>45084</v>
      </c>
      <c r="T153" s="293"/>
      <c r="U153" s="293"/>
      <c r="V153" s="293"/>
      <c r="W153" s="294">
        <v>45107</v>
      </c>
      <c r="X153" s="237">
        <v>12100000</v>
      </c>
      <c r="Y153" s="295">
        <f t="shared" si="7"/>
        <v>0</v>
      </c>
      <c r="Z153" s="296">
        <f t="shared" si="8"/>
        <v>1</v>
      </c>
      <c r="AA153" s="85">
        <v>57441846</v>
      </c>
      <c r="AB153" s="85" t="s">
        <v>6885</v>
      </c>
      <c r="AC153" s="290" t="s">
        <v>196</v>
      </c>
      <c r="AD153" s="290" t="s">
        <v>196</v>
      </c>
      <c r="AE153" s="236"/>
      <c r="AF153" s="85" t="s">
        <v>6989</v>
      </c>
      <c r="AG153" s="290" t="s">
        <v>192</v>
      </c>
      <c r="AH153" s="290" t="s">
        <v>192</v>
      </c>
    </row>
    <row r="154" spans="1:34" s="297" customFormat="1" ht="15" customHeight="1" x14ac:dyDescent="0.25">
      <c r="A154" s="289">
        <v>891780111</v>
      </c>
      <c r="B154" s="289" t="s">
        <v>54</v>
      </c>
      <c r="C154" s="290" t="s">
        <v>56</v>
      </c>
      <c r="D154" s="289" t="s">
        <v>60</v>
      </c>
      <c r="E154" s="290" t="s">
        <v>6990</v>
      </c>
      <c r="F154" s="289" t="s">
        <v>61</v>
      </c>
      <c r="G154" s="85" t="s">
        <v>63</v>
      </c>
      <c r="H154" s="85" t="s">
        <v>73</v>
      </c>
      <c r="I154" s="237">
        <v>9563000</v>
      </c>
      <c r="J154" s="290"/>
      <c r="K154" s="291"/>
      <c r="L154" s="291"/>
      <c r="M154" s="292">
        <f t="shared" si="6"/>
        <v>9563000</v>
      </c>
      <c r="N154" s="85">
        <v>85153213</v>
      </c>
      <c r="O154" s="85" t="s">
        <v>6991</v>
      </c>
      <c r="P154" s="85" t="s">
        <v>6540</v>
      </c>
      <c r="Q154" s="293">
        <v>44951</v>
      </c>
      <c r="R154" s="293">
        <v>44951</v>
      </c>
      <c r="S154" s="293">
        <v>45093</v>
      </c>
      <c r="T154" s="293"/>
      <c r="U154" s="293"/>
      <c r="V154" s="293"/>
      <c r="W154" s="294"/>
      <c r="X154" s="237">
        <v>7663000</v>
      </c>
      <c r="Y154" s="295">
        <f t="shared" si="7"/>
        <v>1900000</v>
      </c>
      <c r="Z154" s="296">
        <f t="shared" si="8"/>
        <v>0.80131757816584759</v>
      </c>
      <c r="AA154" s="85">
        <v>85459497</v>
      </c>
      <c r="AB154" s="85" t="s">
        <v>4837</v>
      </c>
      <c r="AC154" s="290" t="s">
        <v>196</v>
      </c>
      <c r="AD154" s="290" t="s">
        <v>196</v>
      </c>
      <c r="AE154" s="236"/>
      <c r="AF154" s="85" t="s">
        <v>6992</v>
      </c>
      <c r="AG154" s="290" t="s">
        <v>192</v>
      </c>
      <c r="AH154" s="290" t="s">
        <v>192</v>
      </c>
    </row>
    <row r="155" spans="1:34" s="297" customFormat="1" ht="15" customHeight="1" x14ac:dyDescent="0.25">
      <c r="A155" s="289">
        <v>891780111</v>
      </c>
      <c r="B155" s="289" t="s">
        <v>54</v>
      </c>
      <c r="C155" s="290" t="s">
        <v>56</v>
      </c>
      <c r="D155" s="289" t="s">
        <v>60</v>
      </c>
      <c r="E155" s="290" t="s">
        <v>6993</v>
      </c>
      <c r="F155" s="289" t="s">
        <v>61</v>
      </c>
      <c r="G155" s="85" t="s">
        <v>63</v>
      </c>
      <c r="H155" s="85" t="s">
        <v>73</v>
      </c>
      <c r="I155" s="237">
        <v>15190000</v>
      </c>
      <c r="J155" s="290">
        <v>1</v>
      </c>
      <c r="K155" s="291">
        <v>1447000</v>
      </c>
      <c r="L155" s="291"/>
      <c r="M155" s="292">
        <f t="shared" si="6"/>
        <v>16637000</v>
      </c>
      <c r="N155" s="85">
        <v>85472799</v>
      </c>
      <c r="O155" s="85" t="s">
        <v>6994</v>
      </c>
      <c r="P155" s="85" t="s">
        <v>6995</v>
      </c>
      <c r="Q155" s="293">
        <v>44951</v>
      </c>
      <c r="R155" s="293">
        <v>44951</v>
      </c>
      <c r="S155" s="293">
        <v>45093</v>
      </c>
      <c r="T155" s="293"/>
      <c r="U155" s="293"/>
      <c r="V155" s="293"/>
      <c r="W155" s="294">
        <v>45107</v>
      </c>
      <c r="X155" s="237">
        <v>16637000</v>
      </c>
      <c r="Y155" s="295">
        <f t="shared" si="7"/>
        <v>0</v>
      </c>
      <c r="Z155" s="296">
        <f t="shared" si="8"/>
        <v>1</v>
      </c>
      <c r="AA155" s="85">
        <v>12621405</v>
      </c>
      <c r="AB155" s="85" t="s">
        <v>6396</v>
      </c>
      <c r="AC155" s="290" t="s">
        <v>196</v>
      </c>
      <c r="AD155" s="290" t="s">
        <v>196</v>
      </c>
      <c r="AE155" s="236"/>
      <c r="AF155" s="85" t="s">
        <v>6996</v>
      </c>
      <c r="AG155" s="290" t="s">
        <v>192</v>
      </c>
      <c r="AH155" s="290" t="s">
        <v>192</v>
      </c>
    </row>
    <row r="156" spans="1:34" s="297" customFormat="1" ht="15" customHeight="1" x14ac:dyDescent="0.25">
      <c r="A156" s="289">
        <v>891780111</v>
      </c>
      <c r="B156" s="289" t="s">
        <v>54</v>
      </c>
      <c r="C156" s="290" t="s">
        <v>56</v>
      </c>
      <c r="D156" s="289" t="s">
        <v>60</v>
      </c>
      <c r="E156" s="290" t="s">
        <v>6997</v>
      </c>
      <c r="F156" s="289" t="s">
        <v>61</v>
      </c>
      <c r="G156" s="85" t="s">
        <v>63</v>
      </c>
      <c r="H156" s="85" t="s">
        <v>73</v>
      </c>
      <c r="I156" s="237">
        <v>30297000</v>
      </c>
      <c r="J156" s="290">
        <v>1</v>
      </c>
      <c r="K156" s="291">
        <v>2846000</v>
      </c>
      <c r="L156" s="291"/>
      <c r="M156" s="292">
        <f t="shared" si="6"/>
        <v>33143000</v>
      </c>
      <c r="N156" s="85">
        <v>39029599</v>
      </c>
      <c r="O156" s="85" t="s">
        <v>6998</v>
      </c>
      <c r="P156" s="85" t="s">
        <v>6999</v>
      </c>
      <c r="Q156" s="293">
        <v>44951</v>
      </c>
      <c r="R156" s="293">
        <v>44951</v>
      </c>
      <c r="S156" s="293">
        <v>45093</v>
      </c>
      <c r="T156" s="293"/>
      <c r="U156" s="293"/>
      <c r="V156" s="293"/>
      <c r="W156" s="294">
        <v>45107</v>
      </c>
      <c r="X156" s="237">
        <v>33143000</v>
      </c>
      <c r="Y156" s="295">
        <f t="shared" si="7"/>
        <v>0</v>
      </c>
      <c r="Z156" s="296">
        <f t="shared" si="8"/>
        <v>1</v>
      </c>
      <c r="AA156" s="85">
        <v>26668285</v>
      </c>
      <c r="AB156" s="85" t="s">
        <v>5038</v>
      </c>
      <c r="AC156" s="290" t="s">
        <v>196</v>
      </c>
      <c r="AD156" s="290" t="s">
        <v>196</v>
      </c>
      <c r="AE156" s="236"/>
      <c r="AF156" s="85" t="s">
        <v>7000</v>
      </c>
      <c r="AG156" s="290" t="s">
        <v>192</v>
      </c>
      <c r="AH156" s="290" t="s">
        <v>192</v>
      </c>
    </row>
    <row r="157" spans="1:34" s="297" customFormat="1" ht="15" customHeight="1" x14ac:dyDescent="0.25">
      <c r="A157" s="289">
        <v>891780111</v>
      </c>
      <c r="B157" s="289" t="s">
        <v>54</v>
      </c>
      <c r="C157" s="290" t="s">
        <v>56</v>
      </c>
      <c r="D157" s="289" t="s">
        <v>60</v>
      </c>
      <c r="E157" s="290" t="s">
        <v>7001</v>
      </c>
      <c r="F157" s="289" t="s">
        <v>61</v>
      </c>
      <c r="G157" s="85" t="s">
        <v>63</v>
      </c>
      <c r="H157" s="85" t="s">
        <v>73</v>
      </c>
      <c r="I157" s="237">
        <v>9437000</v>
      </c>
      <c r="J157" s="290">
        <v>1</v>
      </c>
      <c r="K157" s="291">
        <v>886000</v>
      </c>
      <c r="L157" s="291"/>
      <c r="M157" s="292">
        <f t="shared" si="6"/>
        <v>10323000</v>
      </c>
      <c r="N157" s="85">
        <v>1079916249</v>
      </c>
      <c r="O157" s="85" t="s">
        <v>7002</v>
      </c>
      <c r="P157" s="85" t="s">
        <v>7003</v>
      </c>
      <c r="Q157" s="293">
        <v>44951</v>
      </c>
      <c r="R157" s="293">
        <v>44951</v>
      </c>
      <c r="S157" s="293">
        <v>45093</v>
      </c>
      <c r="T157" s="293"/>
      <c r="U157" s="293"/>
      <c r="V157" s="293"/>
      <c r="W157" s="294">
        <v>45107</v>
      </c>
      <c r="X157" s="237">
        <v>10323000</v>
      </c>
      <c r="Y157" s="295">
        <f t="shared" si="7"/>
        <v>0</v>
      </c>
      <c r="Z157" s="296">
        <f t="shared" si="8"/>
        <v>1</v>
      </c>
      <c r="AA157" s="85">
        <v>26668285</v>
      </c>
      <c r="AB157" s="85" t="s">
        <v>5038</v>
      </c>
      <c r="AC157" s="290" t="s">
        <v>196</v>
      </c>
      <c r="AD157" s="290" t="s">
        <v>196</v>
      </c>
      <c r="AE157" s="236"/>
      <c r="AF157" s="85" t="s">
        <v>7004</v>
      </c>
      <c r="AG157" s="290" t="s">
        <v>192</v>
      </c>
      <c r="AH157" s="290" t="s">
        <v>192</v>
      </c>
    </row>
    <row r="158" spans="1:34" s="297" customFormat="1" ht="15" customHeight="1" x14ac:dyDescent="0.25">
      <c r="A158" s="289">
        <v>891780111</v>
      </c>
      <c r="B158" s="289" t="s">
        <v>54</v>
      </c>
      <c r="C158" s="290" t="s">
        <v>56</v>
      </c>
      <c r="D158" s="289" t="s">
        <v>60</v>
      </c>
      <c r="E158" s="290" t="s">
        <v>7005</v>
      </c>
      <c r="F158" s="289" t="s">
        <v>61</v>
      </c>
      <c r="G158" s="85" t="s">
        <v>63</v>
      </c>
      <c r="H158" s="85" t="s">
        <v>73</v>
      </c>
      <c r="I158" s="237">
        <v>13160000</v>
      </c>
      <c r="J158" s="290">
        <v>1</v>
      </c>
      <c r="K158" s="291">
        <v>2147000</v>
      </c>
      <c r="L158" s="291"/>
      <c r="M158" s="292">
        <f t="shared" si="6"/>
        <v>15307000</v>
      </c>
      <c r="N158" s="85">
        <v>57461182</v>
      </c>
      <c r="O158" s="85" t="s">
        <v>7006</v>
      </c>
      <c r="P158" s="85" t="s">
        <v>7007</v>
      </c>
      <c r="Q158" s="293">
        <v>44951</v>
      </c>
      <c r="R158" s="293">
        <v>44951</v>
      </c>
      <c r="S158" s="293">
        <v>45084</v>
      </c>
      <c r="T158" s="293"/>
      <c r="U158" s="293"/>
      <c r="V158" s="293"/>
      <c r="W158" s="294">
        <v>45107</v>
      </c>
      <c r="X158" s="237">
        <v>15307000</v>
      </c>
      <c r="Y158" s="295">
        <f t="shared" si="7"/>
        <v>0</v>
      </c>
      <c r="Z158" s="296">
        <f t="shared" si="8"/>
        <v>1</v>
      </c>
      <c r="AA158" s="85">
        <v>1082889541</v>
      </c>
      <c r="AB158" s="85" t="s">
        <v>5388</v>
      </c>
      <c r="AC158" s="290" t="s">
        <v>196</v>
      </c>
      <c r="AD158" s="290" t="s">
        <v>196</v>
      </c>
      <c r="AE158" s="236"/>
      <c r="AF158" s="85" t="s">
        <v>7008</v>
      </c>
      <c r="AG158" s="290" t="s">
        <v>192</v>
      </c>
      <c r="AH158" s="290" t="s">
        <v>192</v>
      </c>
    </row>
    <row r="159" spans="1:34" s="297" customFormat="1" ht="15" customHeight="1" x14ac:dyDescent="0.25">
      <c r="A159" s="289">
        <v>891780111</v>
      </c>
      <c r="B159" s="289" t="s">
        <v>54</v>
      </c>
      <c r="C159" s="290" t="s">
        <v>56</v>
      </c>
      <c r="D159" s="289" t="s">
        <v>60</v>
      </c>
      <c r="E159" s="290" t="s">
        <v>7009</v>
      </c>
      <c r="F159" s="289" t="s">
        <v>61</v>
      </c>
      <c r="G159" s="85" t="s">
        <v>63</v>
      </c>
      <c r="H159" s="85" t="s">
        <v>73</v>
      </c>
      <c r="I159" s="237">
        <v>12600000</v>
      </c>
      <c r="J159" s="290">
        <v>1</v>
      </c>
      <c r="K159" s="291">
        <v>1493000</v>
      </c>
      <c r="L159" s="291"/>
      <c r="M159" s="292">
        <f t="shared" si="6"/>
        <v>14093000</v>
      </c>
      <c r="N159" s="85">
        <v>84450853</v>
      </c>
      <c r="O159" s="85" t="s">
        <v>7010</v>
      </c>
      <c r="P159" s="85" t="s">
        <v>7011</v>
      </c>
      <c r="Q159" s="293">
        <v>44951</v>
      </c>
      <c r="R159" s="293">
        <v>44951</v>
      </c>
      <c r="S159" s="293">
        <v>45084</v>
      </c>
      <c r="T159" s="293"/>
      <c r="U159" s="293"/>
      <c r="V159" s="293"/>
      <c r="W159" s="294">
        <v>45100</v>
      </c>
      <c r="X159" s="237">
        <v>14093000</v>
      </c>
      <c r="Y159" s="295">
        <f t="shared" si="7"/>
        <v>0</v>
      </c>
      <c r="Z159" s="296">
        <f t="shared" si="8"/>
        <v>1</v>
      </c>
      <c r="AA159" s="85">
        <v>41947381</v>
      </c>
      <c r="AB159" s="85" t="s">
        <v>6440</v>
      </c>
      <c r="AC159" s="290" t="s">
        <v>196</v>
      </c>
      <c r="AD159" s="290" t="s">
        <v>196</v>
      </c>
      <c r="AE159" s="236"/>
      <c r="AF159" s="85" t="s">
        <v>7012</v>
      </c>
      <c r="AG159" s="290" t="s">
        <v>192</v>
      </c>
      <c r="AH159" s="290" t="s">
        <v>192</v>
      </c>
    </row>
    <row r="160" spans="1:34" s="297" customFormat="1" ht="15" customHeight="1" x14ac:dyDescent="0.25">
      <c r="A160" s="289">
        <v>891780111</v>
      </c>
      <c r="B160" s="289" t="s">
        <v>54</v>
      </c>
      <c r="C160" s="290" t="s">
        <v>56</v>
      </c>
      <c r="D160" s="289" t="s">
        <v>60</v>
      </c>
      <c r="E160" s="290" t="s">
        <v>7013</v>
      </c>
      <c r="F160" s="289" t="s">
        <v>61</v>
      </c>
      <c r="G160" s="85" t="s">
        <v>63</v>
      </c>
      <c r="H160" s="85" t="s">
        <v>73</v>
      </c>
      <c r="I160" s="237">
        <v>10267000</v>
      </c>
      <c r="J160" s="290">
        <v>1</v>
      </c>
      <c r="K160" s="291">
        <v>660000</v>
      </c>
      <c r="L160" s="291"/>
      <c r="M160" s="292">
        <f t="shared" si="6"/>
        <v>10927000</v>
      </c>
      <c r="N160" s="85">
        <v>1082992511</v>
      </c>
      <c r="O160" s="85" t="s">
        <v>7014</v>
      </c>
      <c r="P160" s="85" t="s">
        <v>7015</v>
      </c>
      <c r="Q160" s="293">
        <v>44951</v>
      </c>
      <c r="R160" s="293">
        <v>44951</v>
      </c>
      <c r="S160" s="293">
        <v>45084</v>
      </c>
      <c r="T160" s="293"/>
      <c r="U160" s="293"/>
      <c r="V160" s="293"/>
      <c r="W160" s="294">
        <v>45093</v>
      </c>
      <c r="X160" s="237">
        <v>7553000</v>
      </c>
      <c r="Y160" s="295">
        <f t="shared" si="7"/>
        <v>3374000</v>
      </c>
      <c r="Z160" s="296">
        <f t="shared" si="8"/>
        <v>0.69122357463164641</v>
      </c>
      <c r="AA160" s="85">
        <v>1082868728</v>
      </c>
      <c r="AB160" s="85" t="s">
        <v>6010</v>
      </c>
      <c r="AC160" s="290" t="s">
        <v>196</v>
      </c>
      <c r="AD160" s="290" t="s">
        <v>196</v>
      </c>
      <c r="AE160" s="236"/>
      <c r="AF160" s="85" t="s">
        <v>7016</v>
      </c>
      <c r="AG160" s="290" t="s">
        <v>192</v>
      </c>
      <c r="AH160" s="290" t="s">
        <v>192</v>
      </c>
    </row>
    <row r="161" spans="1:34" s="297" customFormat="1" ht="15" customHeight="1" x14ac:dyDescent="0.25">
      <c r="A161" s="289">
        <v>891780111</v>
      </c>
      <c r="B161" s="289" t="s">
        <v>54</v>
      </c>
      <c r="C161" s="290" t="s">
        <v>56</v>
      </c>
      <c r="D161" s="289" t="s">
        <v>60</v>
      </c>
      <c r="E161" s="290" t="s">
        <v>7017</v>
      </c>
      <c r="F161" s="289" t="s">
        <v>61</v>
      </c>
      <c r="G161" s="85" t="s">
        <v>63</v>
      </c>
      <c r="H161" s="85" t="s">
        <v>73</v>
      </c>
      <c r="I161" s="237">
        <v>16120000</v>
      </c>
      <c r="J161" s="290">
        <v>1</v>
      </c>
      <c r="K161" s="291">
        <v>1447000</v>
      </c>
      <c r="L161" s="291"/>
      <c r="M161" s="292">
        <f t="shared" si="6"/>
        <v>17567000</v>
      </c>
      <c r="N161" s="85">
        <v>1082851727</v>
      </c>
      <c r="O161" s="85" t="s">
        <v>7018</v>
      </c>
      <c r="P161" s="85" t="s">
        <v>7019</v>
      </c>
      <c r="Q161" s="293">
        <v>44951</v>
      </c>
      <c r="R161" s="293">
        <v>44951</v>
      </c>
      <c r="S161" s="293">
        <v>45093</v>
      </c>
      <c r="T161" s="293"/>
      <c r="U161" s="293"/>
      <c r="V161" s="293"/>
      <c r="W161" s="294">
        <v>45107</v>
      </c>
      <c r="X161" s="237">
        <v>17567000</v>
      </c>
      <c r="Y161" s="295">
        <f t="shared" si="7"/>
        <v>0</v>
      </c>
      <c r="Z161" s="296">
        <f t="shared" si="8"/>
        <v>1</v>
      </c>
      <c r="AA161" s="85">
        <v>85449357</v>
      </c>
      <c r="AB161" s="85" t="s">
        <v>6553</v>
      </c>
      <c r="AC161" s="290" t="s">
        <v>196</v>
      </c>
      <c r="AD161" s="290" t="s">
        <v>196</v>
      </c>
      <c r="AE161" s="236"/>
      <c r="AF161" s="85" t="s">
        <v>7020</v>
      </c>
      <c r="AG161" s="290" t="s">
        <v>192</v>
      </c>
      <c r="AH161" s="290" t="s">
        <v>192</v>
      </c>
    </row>
    <row r="162" spans="1:34" s="297" customFormat="1" ht="15" customHeight="1" x14ac:dyDescent="0.25">
      <c r="A162" s="289">
        <v>891780111</v>
      </c>
      <c r="B162" s="289" t="s">
        <v>54</v>
      </c>
      <c r="C162" s="290" t="s">
        <v>56</v>
      </c>
      <c r="D162" s="289" t="s">
        <v>60</v>
      </c>
      <c r="E162" s="290" t="s">
        <v>7021</v>
      </c>
      <c r="F162" s="289" t="s">
        <v>61</v>
      </c>
      <c r="G162" s="85" t="s">
        <v>63</v>
      </c>
      <c r="H162" s="85" t="s">
        <v>73</v>
      </c>
      <c r="I162" s="237">
        <v>8930000</v>
      </c>
      <c r="J162" s="290"/>
      <c r="K162" s="291"/>
      <c r="L162" s="291"/>
      <c r="M162" s="292">
        <f t="shared" si="6"/>
        <v>8930000</v>
      </c>
      <c r="N162" s="85">
        <v>1083038270</v>
      </c>
      <c r="O162" s="85" t="s">
        <v>7022</v>
      </c>
      <c r="P162" s="85" t="s">
        <v>7023</v>
      </c>
      <c r="Q162" s="293">
        <v>44951</v>
      </c>
      <c r="R162" s="293">
        <v>44951</v>
      </c>
      <c r="S162" s="293">
        <v>45084</v>
      </c>
      <c r="T162" s="293"/>
      <c r="U162" s="293"/>
      <c r="V162" s="293"/>
      <c r="W162" s="294"/>
      <c r="X162" s="237">
        <v>8930000</v>
      </c>
      <c r="Y162" s="295">
        <f t="shared" si="7"/>
        <v>0</v>
      </c>
      <c r="Z162" s="296">
        <f t="shared" si="8"/>
        <v>1</v>
      </c>
      <c r="AA162" s="85">
        <v>36665858</v>
      </c>
      <c r="AB162" s="85" t="s">
        <v>5707</v>
      </c>
      <c r="AC162" s="290" t="s">
        <v>196</v>
      </c>
      <c r="AD162" s="290" t="s">
        <v>196</v>
      </c>
      <c r="AE162" s="236"/>
      <c r="AF162" s="85" t="s">
        <v>7024</v>
      </c>
      <c r="AG162" s="290" t="s">
        <v>192</v>
      </c>
      <c r="AH162" s="290" t="s">
        <v>192</v>
      </c>
    </row>
    <row r="163" spans="1:34" s="297" customFormat="1" ht="15" customHeight="1" x14ac:dyDescent="0.25">
      <c r="A163" s="289">
        <v>891780111</v>
      </c>
      <c r="B163" s="289" t="s">
        <v>54</v>
      </c>
      <c r="C163" s="290" t="s">
        <v>56</v>
      </c>
      <c r="D163" s="289" t="s">
        <v>60</v>
      </c>
      <c r="E163" s="290" t="s">
        <v>7025</v>
      </c>
      <c r="F163" s="289" t="s">
        <v>61</v>
      </c>
      <c r="G163" s="85" t="s">
        <v>63</v>
      </c>
      <c r="H163" s="85" t="s">
        <v>73</v>
      </c>
      <c r="I163" s="237">
        <v>13253000</v>
      </c>
      <c r="J163" s="290">
        <v>1</v>
      </c>
      <c r="K163" s="291">
        <v>2147000</v>
      </c>
      <c r="L163" s="291"/>
      <c r="M163" s="292">
        <f t="shared" si="6"/>
        <v>15400000</v>
      </c>
      <c r="N163" s="85">
        <v>1082862208</v>
      </c>
      <c r="O163" s="85" t="s">
        <v>7026</v>
      </c>
      <c r="P163" s="85" t="s">
        <v>7027</v>
      </c>
      <c r="Q163" s="293">
        <v>44951</v>
      </c>
      <c r="R163" s="293">
        <v>44951</v>
      </c>
      <c r="S163" s="293">
        <v>45084</v>
      </c>
      <c r="T163" s="293"/>
      <c r="U163" s="293"/>
      <c r="V163" s="293"/>
      <c r="W163" s="294">
        <v>45107</v>
      </c>
      <c r="X163" s="237">
        <v>15400000</v>
      </c>
      <c r="Y163" s="295">
        <f t="shared" si="7"/>
        <v>0</v>
      </c>
      <c r="Z163" s="296">
        <f t="shared" si="8"/>
        <v>1</v>
      </c>
      <c r="AA163" s="85">
        <v>85152695</v>
      </c>
      <c r="AB163" s="85" t="s">
        <v>6984</v>
      </c>
      <c r="AC163" s="290" t="s">
        <v>196</v>
      </c>
      <c r="AD163" s="290" t="s">
        <v>196</v>
      </c>
      <c r="AE163" s="236"/>
      <c r="AF163" s="85" t="s">
        <v>7028</v>
      </c>
      <c r="AG163" s="290" t="s">
        <v>192</v>
      </c>
      <c r="AH163" s="290" t="s">
        <v>192</v>
      </c>
    </row>
    <row r="164" spans="1:34" s="297" customFormat="1" ht="15" customHeight="1" x14ac:dyDescent="0.25">
      <c r="A164" s="289">
        <v>891780111</v>
      </c>
      <c r="B164" s="289" t="s">
        <v>54</v>
      </c>
      <c r="C164" s="290" t="s">
        <v>56</v>
      </c>
      <c r="D164" s="289" t="s">
        <v>60</v>
      </c>
      <c r="E164" s="290" t="s">
        <v>7029</v>
      </c>
      <c r="F164" s="289" t="s">
        <v>61</v>
      </c>
      <c r="G164" s="85" t="s">
        <v>63</v>
      </c>
      <c r="H164" s="85" t="s">
        <v>73</v>
      </c>
      <c r="I164" s="237">
        <v>15980000</v>
      </c>
      <c r="J164" s="290">
        <v>1</v>
      </c>
      <c r="K164" s="291">
        <v>2607000</v>
      </c>
      <c r="L164" s="291"/>
      <c r="M164" s="292">
        <f t="shared" si="6"/>
        <v>18587000</v>
      </c>
      <c r="N164" s="85">
        <v>57295586</v>
      </c>
      <c r="O164" s="85" t="s">
        <v>7030</v>
      </c>
      <c r="P164" s="85" t="s">
        <v>7031</v>
      </c>
      <c r="Q164" s="293">
        <v>44951</v>
      </c>
      <c r="R164" s="293">
        <v>44951</v>
      </c>
      <c r="S164" s="293">
        <v>45084</v>
      </c>
      <c r="T164" s="293"/>
      <c r="U164" s="293"/>
      <c r="V164" s="293"/>
      <c r="W164" s="294">
        <v>45107</v>
      </c>
      <c r="X164" s="237">
        <v>18587000</v>
      </c>
      <c r="Y164" s="295">
        <f t="shared" si="7"/>
        <v>0</v>
      </c>
      <c r="Z164" s="296">
        <f t="shared" si="8"/>
        <v>1</v>
      </c>
      <c r="AA164" s="85">
        <v>1082889541</v>
      </c>
      <c r="AB164" s="85" t="s">
        <v>5388</v>
      </c>
      <c r="AC164" s="290" t="s">
        <v>196</v>
      </c>
      <c r="AD164" s="290" t="s">
        <v>196</v>
      </c>
      <c r="AE164" s="236"/>
      <c r="AF164" s="85" t="s">
        <v>7032</v>
      </c>
      <c r="AG164" s="290" t="s">
        <v>192</v>
      </c>
      <c r="AH164" s="290" t="s">
        <v>192</v>
      </c>
    </row>
    <row r="165" spans="1:34" s="297" customFormat="1" ht="15" customHeight="1" x14ac:dyDescent="0.25">
      <c r="A165" s="289">
        <v>891780111</v>
      </c>
      <c r="B165" s="289" t="s">
        <v>54</v>
      </c>
      <c r="C165" s="290" t="s">
        <v>56</v>
      </c>
      <c r="D165" s="289" t="s">
        <v>60</v>
      </c>
      <c r="E165" s="290" t="s">
        <v>7033</v>
      </c>
      <c r="F165" s="289" t="s">
        <v>61</v>
      </c>
      <c r="G165" s="85" t="s">
        <v>63</v>
      </c>
      <c r="H165" s="85" t="s">
        <v>73</v>
      </c>
      <c r="I165" s="237">
        <v>14673000</v>
      </c>
      <c r="J165" s="290">
        <v>1</v>
      </c>
      <c r="K165" s="291">
        <v>2377000</v>
      </c>
      <c r="L165" s="291"/>
      <c r="M165" s="292">
        <f t="shared" si="6"/>
        <v>17050000</v>
      </c>
      <c r="N165" s="85">
        <v>1082948279</v>
      </c>
      <c r="O165" s="85" t="s">
        <v>7034</v>
      </c>
      <c r="P165" s="85" t="s">
        <v>7035</v>
      </c>
      <c r="Q165" s="293">
        <v>44951</v>
      </c>
      <c r="R165" s="293">
        <v>44951</v>
      </c>
      <c r="S165" s="293">
        <v>45084</v>
      </c>
      <c r="T165" s="293"/>
      <c r="U165" s="293"/>
      <c r="V165" s="293"/>
      <c r="W165" s="294">
        <v>45107</v>
      </c>
      <c r="X165" s="237">
        <v>17050000</v>
      </c>
      <c r="Y165" s="295">
        <f t="shared" si="7"/>
        <v>0</v>
      </c>
      <c r="Z165" s="296">
        <f t="shared" si="8"/>
        <v>1</v>
      </c>
      <c r="AA165" s="85">
        <v>36557666</v>
      </c>
      <c r="AB165" s="85" t="s">
        <v>6916</v>
      </c>
      <c r="AC165" s="290" t="s">
        <v>196</v>
      </c>
      <c r="AD165" s="290" t="s">
        <v>196</v>
      </c>
      <c r="AE165" s="236"/>
      <c r="AF165" s="85" t="s">
        <v>7036</v>
      </c>
      <c r="AG165" s="290" t="s">
        <v>192</v>
      </c>
      <c r="AH165" s="290" t="s">
        <v>192</v>
      </c>
    </row>
    <row r="166" spans="1:34" s="297" customFormat="1" ht="15" customHeight="1" x14ac:dyDescent="0.25">
      <c r="A166" s="289">
        <v>891780111</v>
      </c>
      <c r="B166" s="289" t="s">
        <v>54</v>
      </c>
      <c r="C166" s="290" t="s">
        <v>56</v>
      </c>
      <c r="D166" s="289" t="s">
        <v>60</v>
      </c>
      <c r="E166" s="290" t="s">
        <v>7037</v>
      </c>
      <c r="F166" s="289" t="s">
        <v>61</v>
      </c>
      <c r="G166" s="85" t="s">
        <v>63</v>
      </c>
      <c r="H166" s="85" t="s">
        <v>73</v>
      </c>
      <c r="I166" s="237">
        <v>16093000</v>
      </c>
      <c r="J166" s="290">
        <v>1</v>
      </c>
      <c r="K166" s="291">
        <v>2607000</v>
      </c>
      <c r="L166" s="291"/>
      <c r="M166" s="292">
        <f t="shared" si="6"/>
        <v>18700000</v>
      </c>
      <c r="N166" s="85">
        <v>85152680</v>
      </c>
      <c r="O166" s="85" t="s">
        <v>7038</v>
      </c>
      <c r="P166" s="85" t="s">
        <v>7039</v>
      </c>
      <c r="Q166" s="293">
        <v>44951</v>
      </c>
      <c r="R166" s="293">
        <v>44951</v>
      </c>
      <c r="S166" s="293">
        <v>45084</v>
      </c>
      <c r="T166" s="293"/>
      <c r="U166" s="293"/>
      <c r="V166" s="293"/>
      <c r="W166" s="294">
        <v>45107</v>
      </c>
      <c r="X166" s="237">
        <v>18700000</v>
      </c>
      <c r="Y166" s="295">
        <f t="shared" si="7"/>
        <v>0</v>
      </c>
      <c r="Z166" s="296">
        <f t="shared" si="8"/>
        <v>1</v>
      </c>
      <c r="AA166" s="85">
        <v>57441846</v>
      </c>
      <c r="AB166" s="85" t="s">
        <v>6885</v>
      </c>
      <c r="AC166" s="290" t="s">
        <v>196</v>
      </c>
      <c r="AD166" s="290" t="s">
        <v>196</v>
      </c>
      <c r="AE166" s="236"/>
      <c r="AF166" s="85" t="s">
        <v>7040</v>
      </c>
      <c r="AG166" s="290" t="s">
        <v>192</v>
      </c>
      <c r="AH166" s="290" t="s">
        <v>192</v>
      </c>
    </row>
    <row r="167" spans="1:34" s="297" customFormat="1" ht="15" customHeight="1" x14ac:dyDescent="0.25">
      <c r="A167" s="289">
        <v>891780111</v>
      </c>
      <c r="B167" s="289" t="s">
        <v>54</v>
      </c>
      <c r="C167" s="290" t="s">
        <v>56</v>
      </c>
      <c r="D167" s="289" t="s">
        <v>60</v>
      </c>
      <c r="E167" s="290" t="s">
        <v>7041</v>
      </c>
      <c r="F167" s="289" t="s">
        <v>61</v>
      </c>
      <c r="G167" s="85" t="s">
        <v>63</v>
      </c>
      <c r="H167" s="85" t="s">
        <v>73</v>
      </c>
      <c r="I167" s="237">
        <v>18120000</v>
      </c>
      <c r="J167" s="290">
        <v>1</v>
      </c>
      <c r="K167" s="291">
        <v>1680000</v>
      </c>
      <c r="L167" s="291"/>
      <c r="M167" s="292">
        <f t="shared" si="6"/>
        <v>19800000</v>
      </c>
      <c r="N167" s="85">
        <v>85151294</v>
      </c>
      <c r="O167" s="85" t="s">
        <v>7042</v>
      </c>
      <c r="P167" s="85" t="s">
        <v>7043</v>
      </c>
      <c r="Q167" s="293">
        <v>44951</v>
      </c>
      <c r="R167" s="293">
        <v>44951</v>
      </c>
      <c r="S167" s="293">
        <v>45093</v>
      </c>
      <c r="T167" s="293"/>
      <c r="U167" s="293"/>
      <c r="V167" s="293"/>
      <c r="W167" s="294">
        <v>45107</v>
      </c>
      <c r="X167" s="237">
        <v>19800000</v>
      </c>
      <c r="Y167" s="295">
        <f t="shared" si="7"/>
        <v>0</v>
      </c>
      <c r="Z167" s="296">
        <f t="shared" si="8"/>
        <v>1</v>
      </c>
      <c r="AA167" s="85">
        <v>84452087</v>
      </c>
      <c r="AB167" s="85" t="s">
        <v>6601</v>
      </c>
      <c r="AC167" s="290" t="s">
        <v>196</v>
      </c>
      <c r="AD167" s="290" t="s">
        <v>196</v>
      </c>
      <c r="AE167" s="236"/>
      <c r="AF167" s="85" t="s">
        <v>7044</v>
      </c>
      <c r="AG167" s="290" t="s">
        <v>192</v>
      </c>
      <c r="AH167" s="290" t="s">
        <v>192</v>
      </c>
    </row>
    <row r="168" spans="1:34" s="297" customFormat="1" ht="15" customHeight="1" x14ac:dyDescent="0.25">
      <c r="A168" s="289">
        <v>891780111</v>
      </c>
      <c r="B168" s="289" t="s">
        <v>54</v>
      </c>
      <c r="C168" s="290" t="s">
        <v>56</v>
      </c>
      <c r="D168" s="289" t="s">
        <v>60</v>
      </c>
      <c r="E168" s="290" t="s">
        <v>7045</v>
      </c>
      <c r="F168" s="289" t="s">
        <v>61</v>
      </c>
      <c r="G168" s="85" t="s">
        <v>63</v>
      </c>
      <c r="H168" s="85" t="s">
        <v>73</v>
      </c>
      <c r="I168" s="237">
        <v>13907000</v>
      </c>
      <c r="J168" s="290">
        <v>1</v>
      </c>
      <c r="K168" s="291">
        <v>1306000</v>
      </c>
      <c r="L168" s="291"/>
      <c r="M168" s="292">
        <f t="shared" si="6"/>
        <v>15213000</v>
      </c>
      <c r="N168" s="85">
        <v>57441673</v>
      </c>
      <c r="O168" s="85" t="s">
        <v>7046</v>
      </c>
      <c r="P168" s="85" t="s">
        <v>7047</v>
      </c>
      <c r="Q168" s="293">
        <v>44951</v>
      </c>
      <c r="R168" s="293">
        <v>44951</v>
      </c>
      <c r="S168" s="293">
        <v>45093</v>
      </c>
      <c r="T168" s="293"/>
      <c r="U168" s="293"/>
      <c r="V168" s="293"/>
      <c r="W168" s="294">
        <v>45107</v>
      </c>
      <c r="X168" s="237">
        <v>15213000</v>
      </c>
      <c r="Y168" s="295">
        <f t="shared" si="7"/>
        <v>0</v>
      </c>
      <c r="Z168" s="296">
        <f t="shared" si="8"/>
        <v>1</v>
      </c>
      <c r="AA168" s="85">
        <v>57400977</v>
      </c>
      <c r="AB168" s="85" t="s">
        <v>6562</v>
      </c>
      <c r="AC168" s="290" t="s">
        <v>196</v>
      </c>
      <c r="AD168" s="290" t="s">
        <v>196</v>
      </c>
      <c r="AE168" s="236"/>
      <c r="AF168" s="85" t="s">
        <v>7048</v>
      </c>
      <c r="AG168" s="290" t="s">
        <v>192</v>
      </c>
      <c r="AH168" s="290" t="s">
        <v>192</v>
      </c>
    </row>
    <row r="169" spans="1:34" s="297" customFormat="1" ht="15" customHeight="1" x14ac:dyDescent="0.25">
      <c r="A169" s="289">
        <v>891780111</v>
      </c>
      <c r="B169" s="289" t="s">
        <v>54</v>
      </c>
      <c r="C169" s="290" t="s">
        <v>56</v>
      </c>
      <c r="D169" s="289" t="s">
        <v>60</v>
      </c>
      <c r="E169" s="290" t="s">
        <v>7049</v>
      </c>
      <c r="F169" s="289" t="s">
        <v>61</v>
      </c>
      <c r="G169" s="85" t="s">
        <v>63</v>
      </c>
      <c r="H169" s="85" t="s">
        <v>73</v>
      </c>
      <c r="I169" s="237">
        <v>12417000</v>
      </c>
      <c r="J169" s="290">
        <v>1</v>
      </c>
      <c r="K169" s="291">
        <v>1166000</v>
      </c>
      <c r="L169" s="291"/>
      <c r="M169" s="292">
        <f t="shared" si="6"/>
        <v>13583000</v>
      </c>
      <c r="N169" s="85">
        <v>57462117</v>
      </c>
      <c r="O169" s="85" t="s">
        <v>7050</v>
      </c>
      <c r="P169" s="85" t="s">
        <v>7051</v>
      </c>
      <c r="Q169" s="293">
        <v>44951</v>
      </c>
      <c r="R169" s="293">
        <v>44951</v>
      </c>
      <c r="S169" s="293">
        <v>45093</v>
      </c>
      <c r="T169" s="293"/>
      <c r="U169" s="293"/>
      <c r="V169" s="293"/>
      <c r="W169" s="294">
        <v>45107</v>
      </c>
      <c r="X169" s="237">
        <v>11083000</v>
      </c>
      <c r="Y169" s="295">
        <f t="shared" si="7"/>
        <v>2500000</v>
      </c>
      <c r="Z169" s="296">
        <f t="shared" si="8"/>
        <v>0.81594640359272619</v>
      </c>
      <c r="AA169" s="85">
        <v>26668285</v>
      </c>
      <c r="AB169" s="85" t="s">
        <v>5038</v>
      </c>
      <c r="AC169" s="290" t="s">
        <v>196</v>
      </c>
      <c r="AD169" s="290" t="s">
        <v>196</v>
      </c>
      <c r="AE169" s="236"/>
      <c r="AF169" s="85" t="s">
        <v>7052</v>
      </c>
      <c r="AG169" s="290" t="s">
        <v>192</v>
      </c>
      <c r="AH169" s="290" t="s">
        <v>192</v>
      </c>
    </row>
    <row r="170" spans="1:34" s="297" customFormat="1" ht="15" customHeight="1" x14ac:dyDescent="0.25">
      <c r="A170" s="289">
        <v>891780111</v>
      </c>
      <c r="B170" s="289" t="s">
        <v>54</v>
      </c>
      <c r="C170" s="290" t="s">
        <v>56</v>
      </c>
      <c r="D170" s="289" t="s">
        <v>60</v>
      </c>
      <c r="E170" s="290" t="s">
        <v>7053</v>
      </c>
      <c r="F170" s="289" t="s">
        <v>61</v>
      </c>
      <c r="G170" s="85" t="s">
        <v>63</v>
      </c>
      <c r="H170" s="85" t="s">
        <v>73</v>
      </c>
      <c r="I170" s="237">
        <v>17680000</v>
      </c>
      <c r="J170" s="290">
        <v>1</v>
      </c>
      <c r="K170" s="291">
        <v>1587000</v>
      </c>
      <c r="L170" s="291"/>
      <c r="M170" s="292">
        <f t="shared" si="6"/>
        <v>19267000</v>
      </c>
      <c r="N170" s="85">
        <v>57297861</v>
      </c>
      <c r="O170" s="85" t="s">
        <v>7054</v>
      </c>
      <c r="P170" s="85" t="s">
        <v>7055</v>
      </c>
      <c r="Q170" s="293">
        <v>44951</v>
      </c>
      <c r="R170" s="293">
        <v>44951</v>
      </c>
      <c r="S170" s="293">
        <v>45093</v>
      </c>
      <c r="T170" s="293"/>
      <c r="U170" s="293"/>
      <c r="V170" s="293"/>
      <c r="W170" s="294">
        <v>45107</v>
      </c>
      <c r="X170" s="237">
        <v>12467000</v>
      </c>
      <c r="Y170" s="295">
        <f t="shared" si="7"/>
        <v>6800000</v>
      </c>
      <c r="Z170" s="296">
        <f t="shared" si="8"/>
        <v>0.64706492967249707</v>
      </c>
      <c r="AA170" s="85">
        <v>85449357</v>
      </c>
      <c r="AB170" s="85" t="s">
        <v>6553</v>
      </c>
      <c r="AC170" s="290" t="s">
        <v>196</v>
      </c>
      <c r="AD170" s="290" t="s">
        <v>196</v>
      </c>
      <c r="AE170" s="236"/>
      <c r="AF170" s="85" t="s">
        <v>7056</v>
      </c>
      <c r="AG170" s="290" t="s">
        <v>192</v>
      </c>
      <c r="AH170" s="290" t="s">
        <v>192</v>
      </c>
    </row>
    <row r="171" spans="1:34" s="297" customFormat="1" ht="15" customHeight="1" x14ac:dyDescent="0.25">
      <c r="A171" s="289">
        <v>891780111</v>
      </c>
      <c r="B171" s="289" t="s">
        <v>54</v>
      </c>
      <c r="C171" s="290" t="s">
        <v>56</v>
      </c>
      <c r="D171" s="289" t="s">
        <v>60</v>
      </c>
      <c r="E171" s="290" t="s">
        <v>7057</v>
      </c>
      <c r="F171" s="289" t="s">
        <v>61</v>
      </c>
      <c r="G171" s="85" t="s">
        <v>63</v>
      </c>
      <c r="H171" s="85" t="s">
        <v>73</v>
      </c>
      <c r="I171" s="237">
        <v>13160000</v>
      </c>
      <c r="J171" s="290">
        <v>1</v>
      </c>
      <c r="K171" s="291">
        <v>2147000</v>
      </c>
      <c r="L171" s="291"/>
      <c r="M171" s="292">
        <f t="shared" si="6"/>
        <v>15307000</v>
      </c>
      <c r="N171" s="85">
        <v>1081928917</v>
      </c>
      <c r="O171" s="85" t="s">
        <v>7058</v>
      </c>
      <c r="P171" s="85" t="s">
        <v>7059</v>
      </c>
      <c r="Q171" s="293">
        <v>44951</v>
      </c>
      <c r="R171" s="293">
        <v>44951</v>
      </c>
      <c r="S171" s="293">
        <v>45084</v>
      </c>
      <c r="T171" s="293"/>
      <c r="U171" s="293"/>
      <c r="V171" s="293"/>
      <c r="W171" s="294">
        <v>45107</v>
      </c>
      <c r="X171" s="237">
        <v>15307000</v>
      </c>
      <c r="Y171" s="295">
        <f t="shared" si="7"/>
        <v>0</v>
      </c>
      <c r="Z171" s="296">
        <f t="shared" si="8"/>
        <v>1</v>
      </c>
      <c r="AA171" s="85">
        <v>36718996</v>
      </c>
      <c r="AB171" s="85" t="s">
        <v>6686</v>
      </c>
      <c r="AC171" s="290" t="s">
        <v>196</v>
      </c>
      <c r="AD171" s="290" t="s">
        <v>196</v>
      </c>
      <c r="AE171" s="236"/>
      <c r="AF171" s="85" t="s">
        <v>7060</v>
      </c>
      <c r="AG171" s="290" t="s">
        <v>192</v>
      </c>
      <c r="AH171" s="290" t="s">
        <v>192</v>
      </c>
    </row>
    <row r="172" spans="1:34" s="297" customFormat="1" ht="15" customHeight="1" x14ac:dyDescent="0.25">
      <c r="A172" s="289">
        <v>891780111</v>
      </c>
      <c r="B172" s="289" t="s">
        <v>54</v>
      </c>
      <c r="C172" s="290" t="s">
        <v>56</v>
      </c>
      <c r="D172" s="289" t="s">
        <v>60</v>
      </c>
      <c r="E172" s="290" t="s">
        <v>7061</v>
      </c>
      <c r="F172" s="289" t="s">
        <v>61</v>
      </c>
      <c r="G172" s="85" t="s">
        <v>63</v>
      </c>
      <c r="H172" s="85" t="s">
        <v>73</v>
      </c>
      <c r="I172" s="237">
        <v>27000000</v>
      </c>
      <c r="J172" s="290">
        <v>1</v>
      </c>
      <c r="K172" s="291">
        <v>2520000</v>
      </c>
      <c r="L172" s="291"/>
      <c r="M172" s="292">
        <f t="shared" si="6"/>
        <v>29520000</v>
      </c>
      <c r="N172" s="85">
        <v>41612964</v>
      </c>
      <c r="O172" s="85" t="s">
        <v>7062</v>
      </c>
      <c r="P172" s="85" t="s">
        <v>6929</v>
      </c>
      <c r="Q172" s="293">
        <v>44951</v>
      </c>
      <c r="R172" s="293">
        <v>44951</v>
      </c>
      <c r="S172" s="293">
        <v>45093</v>
      </c>
      <c r="T172" s="293"/>
      <c r="U172" s="293"/>
      <c r="V172" s="293"/>
      <c r="W172" s="294">
        <v>45107</v>
      </c>
      <c r="X172" s="237">
        <v>13320000</v>
      </c>
      <c r="Y172" s="295">
        <f t="shared" si="7"/>
        <v>16200000</v>
      </c>
      <c r="Z172" s="296">
        <f t="shared" si="8"/>
        <v>0.45121951219512196</v>
      </c>
      <c r="AA172" s="85">
        <v>12621405</v>
      </c>
      <c r="AB172" s="85" t="s">
        <v>6396</v>
      </c>
      <c r="AC172" s="290" t="s">
        <v>196</v>
      </c>
      <c r="AD172" s="290" t="s">
        <v>196</v>
      </c>
      <c r="AE172" s="236"/>
      <c r="AF172" s="85" t="s">
        <v>7063</v>
      </c>
      <c r="AG172" s="290" t="s">
        <v>192</v>
      </c>
      <c r="AH172" s="290" t="s">
        <v>192</v>
      </c>
    </row>
    <row r="173" spans="1:34" s="297" customFormat="1" ht="15" customHeight="1" x14ac:dyDescent="0.25">
      <c r="A173" s="289">
        <v>891780111</v>
      </c>
      <c r="B173" s="289" t="s">
        <v>54</v>
      </c>
      <c r="C173" s="290" t="s">
        <v>56</v>
      </c>
      <c r="D173" s="289" t="s">
        <v>60</v>
      </c>
      <c r="E173" s="290" t="s">
        <v>7064</v>
      </c>
      <c r="F173" s="289" t="s">
        <v>61</v>
      </c>
      <c r="G173" s="85" t="s">
        <v>63</v>
      </c>
      <c r="H173" s="85" t="s">
        <v>73</v>
      </c>
      <c r="I173" s="237">
        <v>1667000</v>
      </c>
      <c r="J173" s="290"/>
      <c r="K173" s="291"/>
      <c r="L173" s="291"/>
      <c r="M173" s="292">
        <f t="shared" si="6"/>
        <v>1667000</v>
      </c>
      <c r="N173" s="85">
        <v>1082966865</v>
      </c>
      <c r="O173" s="85" t="s">
        <v>7065</v>
      </c>
      <c r="P173" s="85" t="s">
        <v>7066</v>
      </c>
      <c r="Q173" s="293">
        <v>44951</v>
      </c>
      <c r="R173" s="293">
        <v>44951</v>
      </c>
      <c r="S173" s="293">
        <v>44956</v>
      </c>
      <c r="T173" s="293"/>
      <c r="U173" s="293"/>
      <c r="V173" s="293"/>
      <c r="W173" s="294"/>
      <c r="X173" s="237">
        <v>1667000</v>
      </c>
      <c r="Y173" s="295">
        <f t="shared" si="7"/>
        <v>0</v>
      </c>
      <c r="Z173" s="296">
        <f t="shared" si="8"/>
        <v>1</v>
      </c>
      <c r="AA173" s="85">
        <v>72004252</v>
      </c>
      <c r="AB173" s="85" t="s">
        <v>6898</v>
      </c>
      <c r="AC173" s="290" t="s">
        <v>196</v>
      </c>
      <c r="AD173" s="290" t="s">
        <v>196</v>
      </c>
      <c r="AE173" s="236"/>
      <c r="AF173" s="85" t="s">
        <v>7067</v>
      </c>
      <c r="AG173" s="290" t="s">
        <v>192</v>
      </c>
      <c r="AH173" s="290" t="s">
        <v>192</v>
      </c>
    </row>
    <row r="174" spans="1:34" s="297" customFormat="1" ht="15" customHeight="1" x14ac:dyDescent="0.25">
      <c r="A174" s="289">
        <v>891780111</v>
      </c>
      <c r="B174" s="289" t="s">
        <v>54</v>
      </c>
      <c r="C174" s="290" t="s">
        <v>56</v>
      </c>
      <c r="D174" s="289" t="s">
        <v>60</v>
      </c>
      <c r="E174" s="290" t="s">
        <v>7068</v>
      </c>
      <c r="F174" s="289" t="s">
        <v>61</v>
      </c>
      <c r="G174" s="85" t="s">
        <v>63</v>
      </c>
      <c r="H174" s="85" t="s">
        <v>73</v>
      </c>
      <c r="I174" s="237">
        <v>19200000</v>
      </c>
      <c r="J174" s="290">
        <v>1</v>
      </c>
      <c r="K174" s="291"/>
      <c r="L174" s="291">
        <v>6933000</v>
      </c>
      <c r="M174" s="292">
        <f t="shared" si="6"/>
        <v>12267000</v>
      </c>
      <c r="N174" s="85">
        <v>1082976788</v>
      </c>
      <c r="O174" s="85" t="s">
        <v>7069</v>
      </c>
      <c r="P174" s="85" t="s">
        <v>7070</v>
      </c>
      <c r="Q174" s="293">
        <v>44951</v>
      </c>
      <c r="R174" s="293">
        <v>44951</v>
      </c>
      <c r="S174" s="293">
        <v>45093</v>
      </c>
      <c r="T174" s="293"/>
      <c r="U174" s="293"/>
      <c r="V174" s="293"/>
      <c r="W174" s="294">
        <v>45040</v>
      </c>
      <c r="X174" s="237">
        <v>12267000</v>
      </c>
      <c r="Y174" s="295">
        <f t="shared" si="7"/>
        <v>0</v>
      </c>
      <c r="Z174" s="296">
        <f t="shared" si="8"/>
        <v>1</v>
      </c>
      <c r="AA174" s="85">
        <v>7632607</v>
      </c>
      <c r="AB174" s="85" t="s">
        <v>7071</v>
      </c>
      <c r="AC174" s="290" t="s">
        <v>196</v>
      </c>
      <c r="AD174" s="290" t="s">
        <v>196</v>
      </c>
      <c r="AE174" s="236"/>
      <c r="AF174" s="85" t="s">
        <v>7072</v>
      </c>
      <c r="AG174" s="290" t="s">
        <v>192</v>
      </c>
      <c r="AH174" s="290" t="s">
        <v>192</v>
      </c>
    </row>
    <row r="175" spans="1:34" s="297" customFormat="1" ht="15" customHeight="1" x14ac:dyDescent="0.25">
      <c r="A175" s="289">
        <v>891780111</v>
      </c>
      <c r="B175" s="289" t="s">
        <v>54</v>
      </c>
      <c r="C175" s="290" t="s">
        <v>56</v>
      </c>
      <c r="D175" s="289" t="s">
        <v>60</v>
      </c>
      <c r="E175" s="290" t="s">
        <v>7073</v>
      </c>
      <c r="F175" s="289" t="s">
        <v>61</v>
      </c>
      <c r="G175" s="85" t="s">
        <v>63</v>
      </c>
      <c r="H175" s="85" t="s">
        <v>73</v>
      </c>
      <c r="I175" s="237">
        <v>14983000</v>
      </c>
      <c r="J175" s="290">
        <v>1</v>
      </c>
      <c r="K175" s="291"/>
      <c r="L175" s="291">
        <v>4443000</v>
      </c>
      <c r="M175" s="292">
        <f t="shared" si="6"/>
        <v>10540000</v>
      </c>
      <c r="N175" s="85">
        <v>39047301</v>
      </c>
      <c r="O175" s="85" t="s">
        <v>7074</v>
      </c>
      <c r="P175" s="85" t="s">
        <v>7075</v>
      </c>
      <c r="Q175" s="293">
        <v>44951</v>
      </c>
      <c r="R175" s="293">
        <v>44951</v>
      </c>
      <c r="S175" s="293">
        <v>45084</v>
      </c>
      <c r="T175" s="293"/>
      <c r="U175" s="293"/>
      <c r="V175" s="293"/>
      <c r="W175" s="294">
        <v>45040</v>
      </c>
      <c r="X175" s="237">
        <v>10540000</v>
      </c>
      <c r="Y175" s="295">
        <f t="shared" si="7"/>
        <v>0</v>
      </c>
      <c r="Z175" s="296">
        <f t="shared" si="8"/>
        <v>1</v>
      </c>
      <c r="AA175" s="85">
        <v>36564011</v>
      </c>
      <c r="AB175" s="85" t="s">
        <v>6121</v>
      </c>
      <c r="AC175" s="290" t="s">
        <v>196</v>
      </c>
      <c r="AD175" s="290" t="s">
        <v>196</v>
      </c>
      <c r="AE175" s="236"/>
      <c r="AF175" s="85" t="s">
        <v>7076</v>
      </c>
      <c r="AG175" s="290" t="s">
        <v>192</v>
      </c>
      <c r="AH175" s="290" t="s">
        <v>192</v>
      </c>
    </row>
    <row r="176" spans="1:34" s="297" customFormat="1" ht="15" customHeight="1" x14ac:dyDescent="0.25">
      <c r="A176" s="289">
        <v>891780111</v>
      </c>
      <c r="B176" s="289" t="s">
        <v>54</v>
      </c>
      <c r="C176" s="290" t="s">
        <v>56</v>
      </c>
      <c r="D176" s="289" t="s">
        <v>60</v>
      </c>
      <c r="E176" s="290" t="s">
        <v>7077</v>
      </c>
      <c r="F176" s="289" t="s">
        <v>61</v>
      </c>
      <c r="G176" s="85" t="s">
        <v>63</v>
      </c>
      <c r="H176" s="85" t="s">
        <v>73</v>
      </c>
      <c r="I176" s="237">
        <v>11833000</v>
      </c>
      <c r="J176" s="290">
        <v>1</v>
      </c>
      <c r="K176" s="291">
        <v>1917000</v>
      </c>
      <c r="L176" s="291"/>
      <c r="M176" s="292">
        <f t="shared" si="6"/>
        <v>13750000</v>
      </c>
      <c r="N176" s="85">
        <v>79208371</v>
      </c>
      <c r="O176" s="85" t="s">
        <v>7078</v>
      </c>
      <c r="P176" s="85" t="s">
        <v>7079</v>
      </c>
      <c r="Q176" s="293">
        <v>44951</v>
      </c>
      <c r="R176" s="293">
        <v>44951</v>
      </c>
      <c r="S176" s="293">
        <v>45084</v>
      </c>
      <c r="T176" s="293"/>
      <c r="U176" s="293"/>
      <c r="V176" s="293"/>
      <c r="W176" s="294">
        <v>45107</v>
      </c>
      <c r="X176" s="237">
        <v>13750000</v>
      </c>
      <c r="Y176" s="295">
        <f t="shared" si="7"/>
        <v>0</v>
      </c>
      <c r="Z176" s="296">
        <f t="shared" si="8"/>
        <v>1</v>
      </c>
      <c r="AA176" s="85">
        <v>36665858</v>
      </c>
      <c r="AB176" s="85" t="s">
        <v>5707</v>
      </c>
      <c r="AC176" s="290" t="s">
        <v>196</v>
      </c>
      <c r="AD176" s="290" t="s">
        <v>196</v>
      </c>
      <c r="AE176" s="236"/>
      <c r="AF176" s="85" t="s">
        <v>7080</v>
      </c>
      <c r="AG176" s="290" t="s">
        <v>192</v>
      </c>
      <c r="AH176" s="290" t="s">
        <v>192</v>
      </c>
    </row>
    <row r="177" spans="1:34" s="297" customFormat="1" ht="15" customHeight="1" x14ac:dyDescent="0.25">
      <c r="A177" s="289">
        <v>891780111</v>
      </c>
      <c r="B177" s="289" t="s">
        <v>54</v>
      </c>
      <c r="C177" s="290" t="s">
        <v>56</v>
      </c>
      <c r="D177" s="289" t="s">
        <v>60</v>
      </c>
      <c r="E177" s="290" t="s">
        <v>7081</v>
      </c>
      <c r="F177" s="289" t="s">
        <v>61</v>
      </c>
      <c r="G177" s="85" t="s">
        <v>63</v>
      </c>
      <c r="H177" s="85" t="s">
        <v>73</v>
      </c>
      <c r="I177" s="237">
        <v>10413000</v>
      </c>
      <c r="J177" s="290">
        <v>1</v>
      </c>
      <c r="K177" s="291">
        <v>1687000</v>
      </c>
      <c r="L177" s="291"/>
      <c r="M177" s="292">
        <f t="shared" si="6"/>
        <v>12100000</v>
      </c>
      <c r="N177" s="85">
        <v>9091645</v>
      </c>
      <c r="O177" s="85" t="s">
        <v>7082</v>
      </c>
      <c r="P177" s="85" t="s">
        <v>7083</v>
      </c>
      <c r="Q177" s="293">
        <v>44951</v>
      </c>
      <c r="R177" s="293">
        <v>44951</v>
      </c>
      <c r="S177" s="293">
        <v>45084</v>
      </c>
      <c r="T177" s="293"/>
      <c r="U177" s="293"/>
      <c r="V177" s="293"/>
      <c r="W177" s="294">
        <v>45107</v>
      </c>
      <c r="X177" s="237">
        <v>12100000</v>
      </c>
      <c r="Y177" s="295">
        <f t="shared" si="7"/>
        <v>0</v>
      </c>
      <c r="Z177" s="296">
        <f t="shared" si="8"/>
        <v>1</v>
      </c>
      <c r="AA177" s="85">
        <v>36557666</v>
      </c>
      <c r="AB177" s="85" t="s">
        <v>6916</v>
      </c>
      <c r="AC177" s="290" t="s">
        <v>196</v>
      </c>
      <c r="AD177" s="290" t="s">
        <v>196</v>
      </c>
      <c r="AE177" s="236"/>
      <c r="AF177" s="85" t="s">
        <v>7084</v>
      </c>
      <c r="AG177" s="290" t="s">
        <v>192</v>
      </c>
      <c r="AH177" s="290" t="s">
        <v>192</v>
      </c>
    </row>
    <row r="178" spans="1:34" s="297" customFormat="1" ht="15" customHeight="1" x14ac:dyDescent="0.25">
      <c r="A178" s="289">
        <v>891780111</v>
      </c>
      <c r="B178" s="289" t="s">
        <v>54</v>
      </c>
      <c r="C178" s="290" t="s">
        <v>56</v>
      </c>
      <c r="D178" s="289" t="s">
        <v>60</v>
      </c>
      <c r="E178" s="290" t="s">
        <v>7085</v>
      </c>
      <c r="F178" s="289" t="s">
        <v>61</v>
      </c>
      <c r="G178" s="85" t="s">
        <v>63</v>
      </c>
      <c r="H178" s="85" t="s">
        <v>73</v>
      </c>
      <c r="I178" s="237">
        <v>13253000</v>
      </c>
      <c r="J178" s="290">
        <v>2</v>
      </c>
      <c r="K178" s="291">
        <v>4547000</v>
      </c>
      <c r="L178" s="291"/>
      <c r="M178" s="292">
        <f t="shared" si="6"/>
        <v>17800000</v>
      </c>
      <c r="N178" s="85">
        <v>1083018313</v>
      </c>
      <c r="O178" s="85" t="s">
        <v>7086</v>
      </c>
      <c r="P178" s="85" t="s">
        <v>7087</v>
      </c>
      <c r="Q178" s="293">
        <v>44951</v>
      </c>
      <c r="R178" s="293">
        <v>44951</v>
      </c>
      <c r="S178" s="293">
        <v>45084</v>
      </c>
      <c r="T178" s="293"/>
      <c r="U178" s="293"/>
      <c r="V178" s="293"/>
      <c r="W178" s="294">
        <v>45107</v>
      </c>
      <c r="X178" s="237">
        <v>17800000</v>
      </c>
      <c r="Y178" s="295">
        <f t="shared" si="7"/>
        <v>0</v>
      </c>
      <c r="Z178" s="296">
        <f t="shared" si="8"/>
        <v>1</v>
      </c>
      <c r="AA178" s="85">
        <v>85152695</v>
      </c>
      <c r="AB178" s="85" t="s">
        <v>6984</v>
      </c>
      <c r="AC178" s="290" t="s">
        <v>196</v>
      </c>
      <c r="AD178" s="290" t="s">
        <v>196</v>
      </c>
      <c r="AE178" s="236"/>
      <c r="AF178" s="85" t="s">
        <v>7088</v>
      </c>
      <c r="AG178" s="290" t="s">
        <v>192</v>
      </c>
      <c r="AH178" s="290" t="s">
        <v>192</v>
      </c>
    </row>
    <row r="179" spans="1:34" s="297" customFormat="1" ht="15" customHeight="1" x14ac:dyDescent="0.25">
      <c r="A179" s="289">
        <v>891780111</v>
      </c>
      <c r="B179" s="289" t="s">
        <v>54</v>
      </c>
      <c r="C179" s="290" t="s">
        <v>56</v>
      </c>
      <c r="D179" s="289" t="s">
        <v>60</v>
      </c>
      <c r="E179" s="290" t="s">
        <v>7089</v>
      </c>
      <c r="F179" s="289" t="s">
        <v>61</v>
      </c>
      <c r="G179" s="85" t="s">
        <v>63</v>
      </c>
      <c r="H179" s="85" t="s">
        <v>73</v>
      </c>
      <c r="I179" s="237">
        <v>8550000</v>
      </c>
      <c r="J179" s="290">
        <v>1</v>
      </c>
      <c r="K179" s="291">
        <v>1013000</v>
      </c>
      <c r="L179" s="291"/>
      <c r="M179" s="292">
        <f t="shared" si="6"/>
        <v>9563000</v>
      </c>
      <c r="N179" s="85">
        <v>1081911437</v>
      </c>
      <c r="O179" s="85" t="s">
        <v>7090</v>
      </c>
      <c r="P179" s="85" t="s">
        <v>7091</v>
      </c>
      <c r="Q179" s="293">
        <v>44951</v>
      </c>
      <c r="R179" s="293">
        <v>44951</v>
      </c>
      <c r="S179" s="293">
        <v>45084</v>
      </c>
      <c r="T179" s="293"/>
      <c r="U179" s="293"/>
      <c r="V179" s="293"/>
      <c r="W179" s="294">
        <v>45100</v>
      </c>
      <c r="X179" s="237">
        <v>9563000</v>
      </c>
      <c r="Y179" s="295">
        <f t="shared" si="7"/>
        <v>0</v>
      </c>
      <c r="Z179" s="296">
        <f t="shared" si="8"/>
        <v>1</v>
      </c>
      <c r="AA179" s="85">
        <v>45507423</v>
      </c>
      <c r="AB179" s="85" t="s">
        <v>6911</v>
      </c>
      <c r="AC179" s="290" t="s">
        <v>196</v>
      </c>
      <c r="AD179" s="290" t="s">
        <v>196</v>
      </c>
      <c r="AE179" s="236"/>
      <c r="AF179" s="85" t="s">
        <v>7092</v>
      </c>
      <c r="AG179" s="290" t="s">
        <v>192</v>
      </c>
      <c r="AH179" s="290" t="s">
        <v>192</v>
      </c>
    </row>
    <row r="180" spans="1:34" s="297" customFormat="1" ht="15" customHeight="1" x14ac:dyDescent="0.25">
      <c r="A180" s="289">
        <v>891780111</v>
      </c>
      <c r="B180" s="289" t="s">
        <v>54</v>
      </c>
      <c r="C180" s="290" t="s">
        <v>56</v>
      </c>
      <c r="D180" s="289" t="s">
        <v>60</v>
      </c>
      <c r="E180" s="290" t="s">
        <v>7093</v>
      </c>
      <c r="F180" s="289" t="s">
        <v>61</v>
      </c>
      <c r="G180" s="85" t="s">
        <v>63</v>
      </c>
      <c r="H180" s="85" t="s">
        <v>73</v>
      </c>
      <c r="I180" s="237">
        <v>9247000</v>
      </c>
      <c r="J180" s="290">
        <v>1</v>
      </c>
      <c r="K180" s="291">
        <v>1456000</v>
      </c>
      <c r="L180" s="291"/>
      <c r="M180" s="292">
        <f t="shared" si="6"/>
        <v>10703000</v>
      </c>
      <c r="N180" s="85">
        <v>36555376</v>
      </c>
      <c r="O180" s="85" t="s">
        <v>7094</v>
      </c>
      <c r="P180" s="85" t="s">
        <v>7095</v>
      </c>
      <c r="Q180" s="293">
        <v>44951</v>
      </c>
      <c r="R180" s="293">
        <v>44951</v>
      </c>
      <c r="S180" s="293">
        <v>45084</v>
      </c>
      <c r="T180" s="293"/>
      <c r="U180" s="293"/>
      <c r="V180" s="293"/>
      <c r="W180" s="294">
        <v>45107</v>
      </c>
      <c r="X180" s="237">
        <v>10703000</v>
      </c>
      <c r="Y180" s="295">
        <f t="shared" si="7"/>
        <v>0</v>
      </c>
      <c r="Z180" s="296">
        <f t="shared" si="8"/>
        <v>1</v>
      </c>
      <c r="AA180" s="85">
        <v>36564011</v>
      </c>
      <c r="AB180" s="85" t="s">
        <v>6121</v>
      </c>
      <c r="AC180" s="290" t="s">
        <v>196</v>
      </c>
      <c r="AD180" s="290" t="s">
        <v>196</v>
      </c>
      <c r="AE180" s="236"/>
      <c r="AF180" s="85" t="s">
        <v>7096</v>
      </c>
      <c r="AG180" s="290" t="s">
        <v>192</v>
      </c>
      <c r="AH180" s="290" t="s">
        <v>192</v>
      </c>
    </row>
    <row r="181" spans="1:34" s="297" customFormat="1" ht="15" customHeight="1" x14ac:dyDescent="0.25">
      <c r="A181" s="289">
        <v>891780111</v>
      </c>
      <c r="B181" s="289" t="s">
        <v>54</v>
      </c>
      <c r="C181" s="290" t="s">
        <v>56</v>
      </c>
      <c r="D181" s="289" t="s">
        <v>60</v>
      </c>
      <c r="E181" s="290" t="s">
        <v>7097</v>
      </c>
      <c r="F181" s="289" t="s">
        <v>61</v>
      </c>
      <c r="G181" s="85" t="s">
        <v>63</v>
      </c>
      <c r="H181" s="85" t="s">
        <v>73</v>
      </c>
      <c r="I181" s="237">
        <v>13253000</v>
      </c>
      <c r="J181" s="290">
        <v>1</v>
      </c>
      <c r="K181" s="291">
        <v>2147000</v>
      </c>
      <c r="L181" s="291"/>
      <c r="M181" s="292">
        <f t="shared" si="6"/>
        <v>15400000</v>
      </c>
      <c r="N181" s="85">
        <v>1064804291</v>
      </c>
      <c r="O181" s="85" t="s">
        <v>7098</v>
      </c>
      <c r="P181" s="85" t="s">
        <v>7099</v>
      </c>
      <c r="Q181" s="293">
        <v>44951</v>
      </c>
      <c r="R181" s="293">
        <v>44951</v>
      </c>
      <c r="S181" s="293">
        <v>45084</v>
      </c>
      <c r="T181" s="293"/>
      <c r="U181" s="293"/>
      <c r="V181" s="293"/>
      <c r="W181" s="294">
        <v>45107</v>
      </c>
      <c r="X181" s="237">
        <v>15400000</v>
      </c>
      <c r="Y181" s="295">
        <f t="shared" si="7"/>
        <v>0</v>
      </c>
      <c r="Z181" s="296">
        <f t="shared" si="8"/>
        <v>1</v>
      </c>
      <c r="AA181" s="85">
        <v>85152695</v>
      </c>
      <c r="AB181" s="85" t="s">
        <v>6984</v>
      </c>
      <c r="AC181" s="290" t="s">
        <v>196</v>
      </c>
      <c r="AD181" s="290" t="s">
        <v>196</v>
      </c>
      <c r="AE181" s="236"/>
      <c r="AF181" s="85" t="s">
        <v>7100</v>
      </c>
      <c r="AG181" s="290" t="s">
        <v>192</v>
      </c>
      <c r="AH181" s="290" t="s">
        <v>192</v>
      </c>
    </row>
    <row r="182" spans="1:34" s="297" customFormat="1" ht="15" customHeight="1" x14ac:dyDescent="0.25">
      <c r="A182" s="289">
        <v>891780111</v>
      </c>
      <c r="B182" s="289" t="s">
        <v>54</v>
      </c>
      <c r="C182" s="290" t="s">
        <v>56</v>
      </c>
      <c r="D182" s="289" t="s">
        <v>60</v>
      </c>
      <c r="E182" s="290" t="s">
        <v>7101</v>
      </c>
      <c r="F182" s="289" t="s">
        <v>61</v>
      </c>
      <c r="G182" s="85" t="s">
        <v>63</v>
      </c>
      <c r="H182" s="85" t="s">
        <v>73</v>
      </c>
      <c r="I182" s="237">
        <v>9247000</v>
      </c>
      <c r="J182" s="290">
        <v>1</v>
      </c>
      <c r="K182" s="291">
        <v>1456000</v>
      </c>
      <c r="L182" s="291"/>
      <c r="M182" s="292">
        <f t="shared" si="6"/>
        <v>10703000</v>
      </c>
      <c r="N182" s="85">
        <v>1148701328</v>
      </c>
      <c r="O182" s="85" t="s">
        <v>7102</v>
      </c>
      <c r="P182" s="85" t="s">
        <v>7103</v>
      </c>
      <c r="Q182" s="293">
        <v>44951</v>
      </c>
      <c r="R182" s="293">
        <v>44951</v>
      </c>
      <c r="S182" s="293">
        <v>45084</v>
      </c>
      <c r="T182" s="293"/>
      <c r="U182" s="293"/>
      <c r="V182" s="293"/>
      <c r="W182" s="294">
        <v>45107</v>
      </c>
      <c r="X182" s="237">
        <v>10703000</v>
      </c>
      <c r="Y182" s="295">
        <f t="shared" si="7"/>
        <v>0</v>
      </c>
      <c r="Z182" s="296">
        <f t="shared" si="8"/>
        <v>1</v>
      </c>
      <c r="AA182" s="85">
        <v>57297693</v>
      </c>
      <c r="AB182" s="85" t="s">
        <v>5446</v>
      </c>
      <c r="AC182" s="290" t="s">
        <v>196</v>
      </c>
      <c r="AD182" s="290" t="s">
        <v>196</v>
      </c>
      <c r="AE182" s="236"/>
      <c r="AF182" s="85" t="s">
        <v>7104</v>
      </c>
      <c r="AG182" s="290" t="s">
        <v>192</v>
      </c>
      <c r="AH182" s="290" t="s">
        <v>192</v>
      </c>
    </row>
    <row r="183" spans="1:34" s="297" customFormat="1" ht="15" customHeight="1" x14ac:dyDescent="0.25">
      <c r="A183" s="289">
        <v>891780111</v>
      </c>
      <c r="B183" s="289" t="s">
        <v>54</v>
      </c>
      <c r="C183" s="290" t="s">
        <v>56</v>
      </c>
      <c r="D183" s="289" t="s">
        <v>60</v>
      </c>
      <c r="E183" s="290" t="s">
        <v>7105</v>
      </c>
      <c r="F183" s="289" t="s">
        <v>61</v>
      </c>
      <c r="G183" s="85" t="s">
        <v>63</v>
      </c>
      <c r="H183" s="85" t="s">
        <v>73</v>
      </c>
      <c r="I183" s="237">
        <v>9183000</v>
      </c>
      <c r="J183" s="290">
        <v>1</v>
      </c>
      <c r="K183" s="291">
        <v>1457000</v>
      </c>
      <c r="L183" s="291"/>
      <c r="M183" s="292">
        <f t="shared" si="6"/>
        <v>10640000</v>
      </c>
      <c r="N183" s="85">
        <v>1083040669</v>
      </c>
      <c r="O183" s="85" t="s">
        <v>7106</v>
      </c>
      <c r="P183" s="85" t="s">
        <v>7107</v>
      </c>
      <c r="Q183" s="293">
        <v>44951</v>
      </c>
      <c r="R183" s="293">
        <v>44951</v>
      </c>
      <c r="S183" s="293">
        <v>45084</v>
      </c>
      <c r="T183" s="293"/>
      <c r="U183" s="293"/>
      <c r="V183" s="293"/>
      <c r="W183" s="294">
        <v>45107</v>
      </c>
      <c r="X183" s="237">
        <v>10640000</v>
      </c>
      <c r="Y183" s="295">
        <f t="shared" si="7"/>
        <v>0</v>
      </c>
      <c r="Z183" s="296">
        <f t="shared" si="8"/>
        <v>1</v>
      </c>
      <c r="AA183" s="85">
        <v>36564011</v>
      </c>
      <c r="AB183" s="85" t="s">
        <v>6121</v>
      </c>
      <c r="AC183" s="290" t="s">
        <v>196</v>
      </c>
      <c r="AD183" s="290" t="s">
        <v>196</v>
      </c>
      <c r="AE183" s="236"/>
      <c r="AF183" s="85" t="s">
        <v>7108</v>
      </c>
      <c r="AG183" s="290" t="s">
        <v>192</v>
      </c>
      <c r="AH183" s="290" t="s">
        <v>192</v>
      </c>
    </row>
    <row r="184" spans="1:34" s="297" customFormat="1" ht="15" customHeight="1" x14ac:dyDescent="0.25">
      <c r="A184" s="289">
        <v>891780111</v>
      </c>
      <c r="B184" s="289" t="s">
        <v>54</v>
      </c>
      <c r="C184" s="290" t="s">
        <v>56</v>
      </c>
      <c r="D184" s="289" t="s">
        <v>60</v>
      </c>
      <c r="E184" s="290" t="s">
        <v>7109</v>
      </c>
      <c r="F184" s="289" t="s">
        <v>61</v>
      </c>
      <c r="G184" s="85" t="s">
        <v>63</v>
      </c>
      <c r="H184" s="85" t="s">
        <v>73</v>
      </c>
      <c r="I184" s="237">
        <v>17617000</v>
      </c>
      <c r="J184" s="290">
        <v>1</v>
      </c>
      <c r="K184" s="291"/>
      <c r="L184" s="291">
        <v>5367000</v>
      </c>
      <c r="M184" s="292">
        <f t="shared" si="6"/>
        <v>12250000</v>
      </c>
      <c r="N184" s="85">
        <v>1102838856</v>
      </c>
      <c r="O184" s="85" t="s">
        <v>7110</v>
      </c>
      <c r="P184" s="85" t="s">
        <v>7111</v>
      </c>
      <c r="Q184" s="293">
        <v>44951</v>
      </c>
      <c r="R184" s="293">
        <v>44951</v>
      </c>
      <c r="S184" s="293">
        <v>45093</v>
      </c>
      <c r="T184" s="293"/>
      <c r="U184" s="293"/>
      <c r="V184" s="293"/>
      <c r="W184" s="294">
        <v>45057</v>
      </c>
      <c r="X184" s="237">
        <v>12250000</v>
      </c>
      <c r="Y184" s="295">
        <f t="shared" si="7"/>
        <v>0</v>
      </c>
      <c r="Z184" s="296">
        <f t="shared" si="8"/>
        <v>1</v>
      </c>
      <c r="AA184" s="85">
        <v>85455983</v>
      </c>
      <c r="AB184" s="85" t="s">
        <v>6413</v>
      </c>
      <c r="AC184" s="290" t="s">
        <v>196</v>
      </c>
      <c r="AD184" s="290" t="s">
        <v>196</v>
      </c>
      <c r="AE184" s="236"/>
      <c r="AF184" s="85" t="s">
        <v>7112</v>
      </c>
      <c r="AG184" s="290" t="s">
        <v>192</v>
      </c>
      <c r="AH184" s="290" t="s">
        <v>192</v>
      </c>
    </row>
    <row r="185" spans="1:34" s="297" customFormat="1" ht="15" customHeight="1" x14ac:dyDescent="0.25">
      <c r="A185" s="289">
        <v>891780111</v>
      </c>
      <c r="B185" s="289" t="s">
        <v>54</v>
      </c>
      <c r="C185" s="290" t="s">
        <v>56</v>
      </c>
      <c r="D185" s="289" t="s">
        <v>60</v>
      </c>
      <c r="E185" s="290" t="s">
        <v>7113</v>
      </c>
      <c r="F185" s="289" t="s">
        <v>61</v>
      </c>
      <c r="G185" s="85" t="s">
        <v>63</v>
      </c>
      <c r="H185" s="85" t="s">
        <v>73</v>
      </c>
      <c r="I185" s="237">
        <v>17113000</v>
      </c>
      <c r="J185" s="290">
        <v>1</v>
      </c>
      <c r="K185" s="291">
        <v>1587000</v>
      </c>
      <c r="L185" s="291"/>
      <c r="M185" s="292">
        <f t="shared" si="6"/>
        <v>18700000</v>
      </c>
      <c r="N185" s="85">
        <v>1082920567</v>
      </c>
      <c r="O185" s="85" t="s">
        <v>7114</v>
      </c>
      <c r="P185" s="85" t="s">
        <v>7115</v>
      </c>
      <c r="Q185" s="293">
        <v>44951</v>
      </c>
      <c r="R185" s="293">
        <v>44951</v>
      </c>
      <c r="S185" s="293">
        <v>45093</v>
      </c>
      <c r="T185" s="293"/>
      <c r="U185" s="293"/>
      <c r="V185" s="293"/>
      <c r="W185" s="294">
        <v>45107</v>
      </c>
      <c r="X185" s="237">
        <v>18700000</v>
      </c>
      <c r="Y185" s="295">
        <f t="shared" si="7"/>
        <v>0</v>
      </c>
      <c r="Z185" s="296">
        <f t="shared" si="8"/>
        <v>1</v>
      </c>
      <c r="AA185" s="85">
        <v>93400727</v>
      </c>
      <c r="AB185" s="85" t="s">
        <v>6418</v>
      </c>
      <c r="AC185" s="290" t="s">
        <v>196</v>
      </c>
      <c r="AD185" s="290" t="s">
        <v>196</v>
      </c>
      <c r="AE185" s="236"/>
      <c r="AF185" s="85" t="s">
        <v>7116</v>
      </c>
      <c r="AG185" s="290" t="s">
        <v>192</v>
      </c>
      <c r="AH185" s="290" t="s">
        <v>192</v>
      </c>
    </row>
    <row r="186" spans="1:34" s="297" customFormat="1" ht="15" customHeight="1" x14ac:dyDescent="0.25">
      <c r="A186" s="289">
        <v>891780111</v>
      </c>
      <c r="B186" s="289" t="s">
        <v>54</v>
      </c>
      <c r="C186" s="290" t="s">
        <v>56</v>
      </c>
      <c r="D186" s="289" t="s">
        <v>60</v>
      </c>
      <c r="E186" s="290" t="s">
        <v>7117</v>
      </c>
      <c r="F186" s="289" t="s">
        <v>61</v>
      </c>
      <c r="G186" s="85" t="s">
        <v>63</v>
      </c>
      <c r="H186" s="85" t="s">
        <v>73</v>
      </c>
      <c r="I186" s="237">
        <v>16887000</v>
      </c>
      <c r="J186" s="290">
        <v>1</v>
      </c>
      <c r="K186" s="291">
        <v>1586000</v>
      </c>
      <c r="L186" s="291"/>
      <c r="M186" s="292">
        <f t="shared" si="6"/>
        <v>18473000</v>
      </c>
      <c r="N186" s="85">
        <v>36666112</v>
      </c>
      <c r="O186" s="85" t="s">
        <v>7118</v>
      </c>
      <c r="P186" s="85" t="s">
        <v>7119</v>
      </c>
      <c r="Q186" s="293">
        <v>44951</v>
      </c>
      <c r="R186" s="293">
        <v>44951</v>
      </c>
      <c r="S186" s="293">
        <v>45093</v>
      </c>
      <c r="T186" s="293"/>
      <c r="U186" s="293"/>
      <c r="V186" s="293"/>
      <c r="W186" s="294">
        <v>45107</v>
      </c>
      <c r="X186" s="237">
        <v>18473000</v>
      </c>
      <c r="Y186" s="295">
        <f t="shared" si="7"/>
        <v>0</v>
      </c>
      <c r="Z186" s="296">
        <f t="shared" si="8"/>
        <v>1</v>
      </c>
      <c r="AA186" s="85">
        <v>26668285</v>
      </c>
      <c r="AB186" s="85" t="s">
        <v>5038</v>
      </c>
      <c r="AC186" s="290" t="s">
        <v>196</v>
      </c>
      <c r="AD186" s="290" t="s">
        <v>196</v>
      </c>
      <c r="AE186" s="236"/>
      <c r="AF186" s="85" t="s">
        <v>7120</v>
      </c>
      <c r="AG186" s="290" t="s">
        <v>192</v>
      </c>
      <c r="AH186" s="290" t="s">
        <v>192</v>
      </c>
    </row>
    <row r="187" spans="1:34" s="297" customFormat="1" ht="15" customHeight="1" x14ac:dyDescent="0.25">
      <c r="A187" s="289">
        <v>891780111</v>
      </c>
      <c r="B187" s="289" t="s">
        <v>54</v>
      </c>
      <c r="C187" s="290" t="s">
        <v>56</v>
      </c>
      <c r="D187" s="289" t="s">
        <v>60</v>
      </c>
      <c r="E187" s="290" t="s">
        <v>7121</v>
      </c>
      <c r="F187" s="289" t="s">
        <v>61</v>
      </c>
      <c r="G187" s="85" t="s">
        <v>63</v>
      </c>
      <c r="H187" s="85" t="s">
        <v>73</v>
      </c>
      <c r="I187" s="237">
        <v>8550000</v>
      </c>
      <c r="J187" s="290">
        <v>1</v>
      </c>
      <c r="K187" s="291">
        <v>3230000</v>
      </c>
      <c r="L187" s="291"/>
      <c r="M187" s="292">
        <f t="shared" si="6"/>
        <v>11780000</v>
      </c>
      <c r="N187" s="85">
        <v>57437742</v>
      </c>
      <c r="O187" s="85" t="s">
        <v>7122</v>
      </c>
      <c r="P187" s="85" t="s">
        <v>7123</v>
      </c>
      <c r="Q187" s="293">
        <v>44951</v>
      </c>
      <c r="R187" s="293">
        <v>44951</v>
      </c>
      <c r="S187" s="293">
        <v>45084</v>
      </c>
      <c r="T187" s="293"/>
      <c r="U187" s="293"/>
      <c r="V187" s="293"/>
      <c r="W187" s="294">
        <v>45107</v>
      </c>
      <c r="X187" s="237">
        <v>10007000</v>
      </c>
      <c r="Y187" s="295">
        <f t="shared" si="7"/>
        <v>1773000</v>
      </c>
      <c r="Z187" s="296">
        <f t="shared" si="8"/>
        <v>0.84949066213921898</v>
      </c>
      <c r="AA187" s="85">
        <v>45507423</v>
      </c>
      <c r="AB187" s="85" t="s">
        <v>6911</v>
      </c>
      <c r="AC187" s="290" t="s">
        <v>196</v>
      </c>
      <c r="AD187" s="290" t="s">
        <v>196</v>
      </c>
      <c r="AE187" s="236"/>
      <c r="AF187" s="85" t="s">
        <v>7124</v>
      </c>
      <c r="AG187" s="290" t="s">
        <v>192</v>
      </c>
      <c r="AH187" s="290" t="s">
        <v>192</v>
      </c>
    </row>
    <row r="188" spans="1:34" s="297" customFormat="1" ht="15" customHeight="1" x14ac:dyDescent="0.25">
      <c r="A188" s="289">
        <v>891780111</v>
      </c>
      <c r="B188" s="289" t="s">
        <v>54</v>
      </c>
      <c r="C188" s="290" t="s">
        <v>56</v>
      </c>
      <c r="D188" s="289" t="s">
        <v>60</v>
      </c>
      <c r="E188" s="290" t="s">
        <v>7125</v>
      </c>
      <c r="F188" s="289" t="s">
        <v>61</v>
      </c>
      <c r="G188" s="85" t="s">
        <v>63</v>
      </c>
      <c r="H188" s="85" t="s">
        <v>73</v>
      </c>
      <c r="I188" s="237">
        <v>30500000</v>
      </c>
      <c r="J188" s="290">
        <v>1</v>
      </c>
      <c r="K188" s="291">
        <v>2847000</v>
      </c>
      <c r="L188" s="291"/>
      <c r="M188" s="292">
        <f t="shared" si="6"/>
        <v>33347000</v>
      </c>
      <c r="N188" s="85">
        <v>7603745</v>
      </c>
      <c r="O188" s="85" t="s">
        <v>7126</v>
      </c>
      <c r="P188" s="85" t="s">
        <v>7127</v>
      </c>
      <c r="Q188" s="293">
        <v>44951</v>
      </c>
      <c r="R188" s="293">
        <v>44951</v>
      </c>
      <c r="S188" s="293">
        <v>45093</v>
      </c>
      <c r="T188" s="293"/>
      <c r="U188" s="293"/>
      <c r="V188" s="293"/>
      <c r="W188" s="294">
        <v>45107</v>
      </c>
      <c r="X188" s="237">
        <v>33347000</v>
      </c>
      <c r="Y188" s="295">
        <f t="shared" si="7"/>
        <v>0</v>
      </c>
      <c r="Z188" s="296">
        <f t="shared" si="8"/>
        <v>1</v>
      </c>
      <c r="AA188" s="85">
        <v>12621405</v>
      </c>
      <c r="AB188" s="85" t="s">
        <v>6396</v>
      </c>
      <c r="AC188" s="290" t="s">
        <v>196</v>
      </c>
      <c r="AD188" s="290" t="s">
        <v>196</v>
      </c>
      <c r="AE188" s="236"/>
      <c r="AF188" s="85" t="s">
        <v>7128</v>
      </c>
      <c r="AG188" s="290" t="s">
        <v>192</v>
      </c>
      <c r="AH188" s="290" t="s">
        <v>192</v>
      </c>
    </row>
    <row r="189" spans="1:34" s="297" customFormat="1" ht="15" customHeight="1" x14ac:dyDescent="0.25">
      <c r="A189" s="289">
        <v>891780111</v>
      </c>
      <c r="B189" s="289" t="s">
        <v>54</v>
      </c>
      <c r="C189" s="290" t="s">
        <v>56</v>
      </c>
      <c r="D189" s="289" t="s">
        <v>60</v>
      </c>
      <c r="E189" s="290" t="s">
        <v>7129</v>
      </c>
      <c r="F189" s="289" t="s">
        <v>61</v>
      </c>
      <c r="G189" s="85" t="s">
        <v>63</v>
      </c>
      <c r="H189" s="85" t="s">
        <v>73</v>
      </c>
      <c r="I189" s="237">
        <v>9943000</v>
      </c>
      <c r="J189" s="290">
        <v>1</v>
      </c>
      <c r="K189" s="291">
        <v>887000</v>
      </c>
      <c r="L189" s="291"/>
      <c r="M189" s="292">
        <f t="shared" si="6"/>
        <v>10830000</v>
      </c>
      <c r="N189" s="85">
        <v>39049110</v>
      </c>
      <c r="O189" s="85" t="s">
        <v>454</v>
      </c>
      <c r="P189" s="85" t="s">
        <v>7130</v>
      </c>
      <c r="Q189" s="293">
        <v>44951</v>
      </c>
      <c r="R189" s="293">
        <v>44951</v>
      </c>
      <c r="S189" s="293">
        <v>45093</v>
      </c>
      <c r="T189" s="293"/>
      <c r="U189" s="293"/>
      <c r="V189" s="293"/>
      <c r="W189" s="294">
        <v>45107</v>
      </c>
      <c r="X189" s="237">
        <v>10830000</v>
      </c>
      <c r="Y189" s="295">
        <f t="shared" si="7"/>
        <v>0</v>
      </c>
      <c r="Z189" s="296">
        <f t="shared" si="8"/>
        <v>1</v>
      </c>
      <c r="AA189" s="85">
        <v>7631392</v>
      </c>
      <c r="AB189" s="85" t="s">
        <v>6633</v>
      </c>
      <c r="AC189" s="290" t="s">
        <v>196</v>
      </c>
      <c r="AD189" s="290" t="s">
        <v>196</v>
      </c>
      <c r="AE189" s="236"/>
      <c r="AF189" s="85" t="s">
        <v>7131</v>
      </c>
      <c r="AG189" s="290" t="s">
        <v>192</v>
      </c>
      <c r="AH189" s="290" t="s">
        <v>192</v>
      </c>
    </row>
    <row r="190" spans="1:34" s="297" customFormat="1" ht="15" customHeight="1" x14ac:dyDescent="0.25">
      <c r="A190" s="289">
        <v>891780111</v>
      </c>
      <c r="B190" s="289" t="s">
        <v>54</v>
      </c>
      <c r="C190" s="290" t="s">
        <v>56</v>
      </c>
      <c r="D190" s="289" t="s">
        <v>60</v>
      </c>
      <c r="E190" s="290" t="s">
        <v>7132</v>
      </c>
      <c r="F190" s="289" t="s">
        <v>61</v>
      </c>
      <c r="G190" s="85" t="s">
        <v>63</v>
      </c>
      <c r="H190" s="85" t="s">
        <v>73</v>
      </c>
      <c r="I190" s="237">
        <v>14840000</v>
      </c>
      <c r="J190" s="290">
        <v>1</v>
      </c>
      <c r="K190" s="291">
        <v>1307000</v>
      </c>
      <c r="L190" s="291"/>
      <c r="M190" s="292">
        <f t="shared" si="6"/>
        <v>16147000</v>
      </c>
      <c r="N190" s="85">
        <v>1082981735</v>
      </c>
      <c r="O190" s="85" t="s">
        <v>7133</v>
      </c>
      <c r="P190" s="85" t="s">
        <v>7134</v>
      </c>
      <c r="Q190" s="293">
        <v>44951</v>
      </c>
      <c r="R190" s="293">
        <v>44951</v>
      </c>
      <c r="S190" s="293">
        <v>45093</v>
      </c>
      <c r="T190" s="293"/>
      <c r="U190" s="293"/>
      <c r="V190" s="293"/>
      <c r="W190" s="294">
        <v>45107</v>
      </c>
      <c r="X190" s="237">
        <v>15080333</v>
      </c>
      <c r="Y190" s="295">
        <f t="shared" si="7"/>
        <v>1066667</v>
      </c>
      <c r="Z190" s="296">
        <f t="shared" si="8"/>
        <v>0.93394023657645386</v>
      </c>
      <c r="AA190" s="85">
        <v>26668285</v>
      </c>
      <c r="AB190" s="85" t="s">
        <v>5038</v>
      </c>
      <c r="AC190" s="290" t="s">
        <v>196</v>
      </c>
      <c r="AD190" s="290" t="s">
        <v>196</v>
      </c>
      <c r="AE190" s="236"/>
      <c r="AF190" s="85" t="s">
        <v>7135</v>
      </c>
      <c r="AG190" s="290" t="s">
        <v>192</v>
      </c>
      <c r="AH190" s="290" t="s">
        <v>192</v>
      </c>
    </row>
    <row r="191" spans="1:34" s="297" customFormat="1" ht="15" customHeight="1" x14ac:dyDescent="0.25">
      <c r="A191" s="289">
        <v>891780111</v>
      </c>
      <c r="B191" s="289" t="s">
        <v>54</v>
      </c>
      <c r="C191" s="290" t="s">
        <v>56</v>
      </c>
      <c r="D191" s="289" t="s">
        <v>60</v>
      </c>
      <c r="E191" s="290" t="s">
        <v>7136</v>
      </c>
      <c r="F191" s="289" t="s">
        <v>61</v>
      </c>
      <c r="G191" s="85" t="s">
        <v>63</v>
      </c>
      <c r="H191" s="85" t="s">
        <v>73</v>
      </c>
      <c r="I191" s="237">
        <v>13253000</v>
      </c>
      <c r="J191" s="290">
        <v>1</v>
      </c>
      <c r="K191" s="291">
        <v>2147000</v>
      </c>
      <c r="L191" s="291"/>
      <c r="M191" s="292">
        <f t="shared" si="6"/>
        <v>15400000</v>
      </c>
      <c r="N191" s="85">
        <v>57414091</v>
      </c>
      <c r="O191" s="85" t="s">
        <v>7137</v>
      </c>
      <c r="P191" s="85" t="s">
        <v>7138</v>
      </c>
      <c r="Q191" s="293">
        <v>44951</v>
      </c>
      <c r="R191" s="293">
        <v>44951</v>
      </c>
      <c r="S191" s="293">
        <v>45084</v>
      </c>
      <c r="T191" s="293"/>
      <c r="U191" s="293"/>
      <c r="V191" s="293"/>
      <c r="W191" s="294">
        <v>45107</v>
      </c>
      <c r="X191" s="237">
        <v>15400000</v>
      </c>
      <c r="Y191" s="295">
        <f t="shared" si="7"/>
        <v>0</v>
      </c>
      <c r="Z191" s="296">
        <f t="shared" si="8"/>
        <v>1</v>
      </c>
      <c r="AA191" s="85">
        <v>36557666</v>
      </c>
      <c r="AB191" s="85" t="s">
        <v>6916</v>
      </c>
      <c r="AC191" s="290" t="s">
        <v>196</v>
      </c>
      <c r="AD191" s="290" t="s">
        <v>196</v>
      </c>
      <c r="AE191" s="236"/>
      <c r="AF191" s="85" t="s">
        <v>7139</v>
      </c>
      <c r="AG191" s="290" t="s">
        <v>192</v>
      </c>
      <c r="AH191" s="290" t="s">
        <v>192</v>
      </c>
    </row>
    <row r="192" spans="1:34" s="297" customFormat="1" ht="15" customHeight="1" x14ac:dyDescent="0.25">
      <c r="A192" s="289">
        <v>891780111</v>
      </c>
      <c r="B192" s="289" t="s">
        <v>54</v>
      </c>
      <c r="C192" s="290" t="s">
        <v>56</v>
      </c>
      <c r="D192" s="289" t="s">
        <v>60</v>
      </c>
      <c r="E192" s="290" t="s">
        <v>7140</v>
      </c>
      <c r="F192" s="289" t="s">
        <v>61</v>
      </c>
      <c r="G192" s="85" t="s">
        <v>63</v>
      </c>
      <c r="H192" s="85" t="s">
        <v>73</v>
      </c>
      <c r="I192" s="237">
        <v>14673000</v>
      </c>
      <c r="J192" s="290">
        <v>2</v>
      </c>
      <c r="K192" s="291">
        <v>1653000</v>
      </c>
      <c r="L192" s="291"/>
      <c r="M192" s="292">
        <f t="shared" si="6"/>
        <v>16326000</v>
      </c>
      <c r="N192" s="85">
        <v>1004278346</v>
      </c>
      <c r="O192" s="85" t="s">
        <v>7141</v>
      </c>
      <c r="P192" s="85" t="s">
        <v>7142</v>
      </c>
      <c r="Q192" s="293">
        <v>44951</v>
      </c>
      <c r="R192" s="293">
        <v>44951</v>
      </c>
      <c r="S192" s="293">
        <v>45084</v>
      </c>
      <c r="T192" s="293"/>
      <c r="U192" s="293"/>
      <c r="V192" s="293">
        <v>45100</v>
      </c>
      <c r="W192" s="294">
        <v>45093</v>
      </c>
      <c r="X192" s="237">
        <v>16326000</v>
      </c>
      <c r="Y192" s="295">
        <f t="shared" si="7"/>
        <v>0</v>
      </c>
      <c r="Z192" s="296">
        <f t="shared" si="8"/>
        <v>1</v>
      </c>
      <c r="AA192" s="85">
        <v>1082868728</v>
      </c>
      <c r="AB192" s="85" t="s">
        <v>6010</v>
      </c>
      <c r="AC192" s="290" t="s">
        <v>196</v>
      </c>
      <c r="AD192" s="290" t="s">
        <v>196</v>
      </c>
      <c r="AE192" s="236"/>
      <c r="AF192" s="85" t="s">
        <v>7143</v>
      </c>
      <c r="AG192" s="290" t="s">
        <v>192</v>
      </c>
      <c r="AH192" s="290" t="s">
        <v>192</v>
      </c>
    </row>
    <row r="193" spans="1:34" s="297" customFormat="1" ht="15" customHeight="1" x14ac:dyDescent="0.25">
      <c r="A193" s="289">
        <v>891780111</v>
      </c>
      <c r="B193" s="289" t="s">
        <v>54</v>
      </c>
      <c r="C193" s="290" t="s">
        <v>56</v>
      </c>
      <c r="D193" s="289" t="s">
        <v>60</v>
      </c>
      <c r="E193" s="290" t="s">
        <v>7144</v>
      </c>
      <c r="F193" s="289" t="s">
        <v>61</v>
      </c>
      <c r="G193" s="85" t="s">
        <v>63</v>
      </c>
      <c r="H193" s="85" t="s">
        <v>73</v>
      </c>
      <c r="I193" s="237">
        <v>20000000</v>
      </c>
      <c r="J193" s="290">
        <v>1</v>
      </c>
      <c r="K193" s="291">
        <v>1866999.9999999998</v>
      </c>
      <c r="L193" s="291"/>
      <c r="M193" s="292">
        <f t="shared" si="6"/>
        <v>21867000</v>
      </c>
      <c r="N193" s="85">
        <v>85460949</v>
      </c>
      <c r="O193" s="85" t="s">
        <v>7145</v>
      </c>
      <c r="P193" s="85" t="s">
        <v>7146</v>
      </c>
      <c r="Q193" s="293">
        <v>44951</v>
      </c>
      <c r="R193" s="293">
        <v>44951</v>
      </c>
      <c r="S193" s="293">
        <v>45093</v>
      </c>
      <c r="T193" s="293"/>
      <c r="U193" s="293"/>
      <c r="V193" s="293"/>
      <c r="W193" s="294">
        <v>45107</v>
      </c>
      <c r="X193" s="237">
        <v>21867000</v>
      </c>
      <c r="Y193" s="295">
        <f t="shared" si="7"/>
        <v>0</v>
      </c>
      <c r="Z193" s="296">
        <f t="shared" si="8"/>
        <v>1</v>
      </c>
      <c r="AA193" s="85">
        <v>12621405</v>
      </c>
      <c r="AB193" s="85" t="s">
        <v>6396</v>
      </c>
      <c r="AC193" s="290" t="s">
        <v>196</v>
      </c>
      <c r="AD193" s="290" t="s">
        <v>196</v>
      </c>
      <c r="AE193" s="236"/>
      <c r="AF193" s="85" t="s">
        <v>7147</v>
      </c>
      <c r="AG193" s="290" t="s">
        <v>192</v>
      </c>
      <c r="AH193" s="290" t="s">
        <v>192</v>
      </c>
    </row>
    <row r="194" spans="1:34" s="297" customFormat="1" ht="15" customHeight="1" x14ac:dyDescent="0.25">
      <c r="A194" s="289">
        <v>891780111</v>
      </c>
      <c r="B194" s="289" t="s">
        <v>54</v>
      </c>
      <c r="C194" s="290" t="s">
        <v>56</v>
      </c>
      <c r="D194" s="289" t="s">
        <v>60</v>
      </c>
      <c r="E194" s="290" t="s">
        <v>7148</v>
      </c>
      <c r="F194" s="289" t="s">
        <v>61</v>
      </c>
      <c r="G194" s="85" t="s">
        <v>63</v>
      </c>
      <c r="H194" s="85" t="s">
        <v>73</v>
      </c>
      <c r="I194" s="237">
        <v>9943000</v>
      </c>
      <c r="J194" s="290">
        <v>2</v>
      </c>
      <c r="K194" s="291">
        <v>887000</v>
      </c>
      <c r="L194" s="291"/>
      <c r="M194" s="292">
        <f t="shared" si="6"/>
        <v>10830000</v>
      </c>
      <c r="N194" s="85">
        <v>1082903939</v>
      </c>
      <c r="O194" s="85" t="s">
        <v>7149</v>
      </c>
      <c r="P194" s="85" t="s">
        <v>7150</v>
      </c>
      <c r="Q194" s="293">
        <v>44951</v>
      </c>
      <c r="R194" s="293">
        <v>44951</v>
      </c>
      <c r="S194" s="293">
        <v>45093</v>
      </c>
      <c r="T194" s="293"/>
      <c r="U194" s="293"/>
      <c r="V194" s="293"/>
      <c r="W194" s="294">
        <v>45107</v>
      </c>
      <c r="X194" s="237">
        <v>8930000</v>
      </c>
      <c r="Y194" s="295">
        <f t="shared" si="7"/>
        <v>1900000</v>
      </c>
      <c r="Z194" s="296">
        <f t="shared" si="8"/>
        <v>0.82456140350877194</v>
      </c>
      <c r="AA194" s="85">
        <v>7631392</v>
      </c>
      <c r="AB194" s="85" t="s">
        <v>6633</v>
      </c>
      <c r="AC194" s="290" t="s">
        <v>196</v>
      </c>
      <c r="AD194" s="290" t="s">
        <v>196</v>
      </c>
      <c r="AE194" s="236"/>
      <c r="AF194" s="85" t="s">
        <v>7151</v>
      </c>
      <c r="AG194" s="290" t="s">
        <v>192</v>
      </c>
      <c r="AH194" s="290" t="s">
        <v>192</v>
      </c>
    </row>
    <row r="195" spans="1:34" s="297" customFormat="1" ht="15" customHeight="1" x14ac:dyDescent="0.25">
      <c r="A195" s="289">
        <v>891780111</v>
      </c>
      <c r="B195" s="289" t="s">
        <v>54</v>
      </c>
      <c r="C195" s="290" t="s">
        <v>56</v>
      </c>
      <c r="D195" s="289" t="s">
        <v>60</v>
      </c>
      <c r="E195" s="290" t="s">
        <v>7152</v>
      </c>
      <c r="F195" s="289" t="s">
        <v>61</v>
      </c>
      <c r="G195" s="85" t="s">
        <v>63</v>
      </c>
      <c r="H195" s="85" t="s">
        <v>73</v>
      </c>
      <c r="I195" s="237">
        <v>9943000</v>
      </c>
      <c r="J195" s="290">
        <v>1</v>
      </c>
      <c r="K195" s="291">
        <v>887000</v>
      </c>
      <c r="L195" s="291"/>
      <c r="M195" s="292">
        <f t="shared" si="6"/>
        <v>10830000</v>
      </c>
      <c r="N195" s="85">
        <v>1119816783</v>
      </c>
      <c r="O195" s="85" t="s">
        <v>7153</v>
      </c>
      <c r="P195" s="85" t="s">
        <v>7154</v>
      </c>
      <c r="Q195" s="293">
        <v>44951</v>
      </c>
      <c r="R195" s="293">
        <v>44951</v>
      </c>
      <c r="S195" s="293">
        <v>45093</v>
      </c>
      <c r="T195" s="293"/>
      <c r="U195" s="293"/>
      <c r="V195" s="293"/>
      <c r="W195" s="294">
        <v>45107</v>
      </c>
      <c r="X195" s="237">
        <v>10830000</v>
      </c>
      <c r="Y195" s="295">
        <f t="shared" si="7"/>
        <v>0</v>
      </c>
      <c r="Z195" s="296">
        <f t="shared" si="8"/>
        <v>1</v>
      </c>
      <c r="AA195" s="85">
        <v>7631392</v>
      </c>
      <c r="AB195" s="85" t="s">
        <v>6633</v>
      </c>
      <c r="AC195" s="290" t="s">
        <v>196</v>
      </c>
      <c r="AD195" s="290" t="s">
        <v>196</v>
      </c>
      <c r="AE195" s="236"/>
      <c r="AF195" s="85" t="s">
        <v>7155</v>
      </c>
      <c r="AG195" s="290" t="s">
        <v>192</v>
      </c>
      <c r="AH195" s="290" t="s">
        <v>192</v>
      </c>
    </row>
    <row r="196" spans="1:34" s="297" customFormat="1" ht="15" customHeight="1" x14ac:dyDescent="0.25">
      <c r="A196" s="289">
        <v>891780111</v>
      </c>
      <c r="B196" s="289" t="s">
        <v>54</v>
      </c>
      <c r="C196" s="290" t="s">
        <v>56</v>
      </c>
      <c r="D196" s="289" t="s">
        <v>60</v>
      </c>
      <c r="E196" s="290" t="s">
        <v>7156</v>
      </c>
      <c r="F196" s="289" t="s">
        <v>61</v>
      </c>
      <c r="G196" s="85" t="s">
        <v>63</v>
      </c>
      <c r="H196" s="85" t="s">
        <v>73</v>
      </c>
      <c r="I196" s="237">
        <v>2700000</v>
      </c>
      <c r="J196" s="290"/>
      <c r="K196" s="291"/>
      <c r="L196" s="291"/>
      <c r="M196" s="292">
        <f t="shared" si="6"/>
        <v>2700000</v>
      </c>
      <c r="N196" s="85">
        <v>57293236</v>
      </c>
      <c r="O196" s="85" t="s">
        <v>7157</v>
      </c>
      <c r="P196" s="85" t="s">
        <v>7158</v>
      </c>
      <c r="Q196" s="293">
        <v>44951</v>
      </c>
      <c r="R196" s="293">
        <v>44951</v>
      </c>
      <c r="S196" s="293">
        <v>44957</v>
      </c>
      <c r="T196" s="293"/>
      <c r="U196" s="293"/>
      <c r="V196" s="293"/>
      <c r="W196" s="294"/>
      <c r="X196" s="237">
        <v>2700000</v>
      </c>
      <c r="Y196" s="295">
        <f t="shared" si="7"/>
        <v>0</v>
      </c>
      <c r="Z196" s="296">
        <f t="shared" si="8"/>
        <v>1</v>
      </c>
      <c r="AA196" s="85">
        <v>41947381</v>
      </c>
      <c r="AB196" s="85" t="s">
        <v>6440</v>
      </c>
      <c r="AC196" s="290" t="s">
        <v>196</v>
      </c>
      <c r="AD196" s="290" t="s">
        <v>196</v>
      </c>
      <c r="AE196" s="236"/>
      <c r="AF196" s="85" t="s">
        <v>7159</v>
      </c>
      <c r="AG196" s="290" t="s">
        <v>192</v>
      </c>
      <c r="AH196" s="290" t="s">
        <v>192</v>
      </c>
    </row>
    <row r="197" spans="1:34" s="297" customFormat="1" ht="15" customHeight="1" x14ac:dyDescent="0.25">
      <c r="A197" s="289">
        <v>891780111</v>
      </c>
      <c r="B197" s="289" t="s">
        <v>54</v>
      </c>
      <c r="C197" s="290" t="s">
        <v>59</v>
      </c>
      <c r="D197" s="289" t="s">
        <v>60</v>
      </c>
      <c r="E197" s="290" t="s">
        <v>7160</v>
      </c>
      <c r="F197" s="289" t="s">
        <v>61</v>
      </c>
      <c r="G197" s="85" t="s">
        <v>63</v>
      </c>
      <c r="H197" s="85" t="s">
        <v>73</v>
      </c>
      <c r="I197" s="237">
        <v>24500000</v>
      </c>
      <c r="J197" s="290"/>
      <c r="K197" s="291"/>
      <c r="L197" s="291"/>
      <c r="M197" s="292">
        <f t="shared" ref="M197:M260" si="9">I197+K197-L197</f>
        <v>24500000</v>
      </c>
      <c r="N197" s="85">
        <v>1082984896</v>
      </c>
      <c r="O197" s="85" t="s">
        <v>7161</v>
      </c>
      <c r="P197" s="85" t="s">
        <v>7162</v>
      </c>
      <c r="Q197" s="293">
        <v>44951</v>
      </c>
      <c r="R197" s="293">
        <v>44951</v>
      </c>
      <c r="S197" s="293">
        <v>45138</v>
      </c>
      <c r="T197" s="293"/>
      <c r="U197" s="293"/>
      <c r="V197" s="293"/>
      <c r="W197" s="294"/>
      <c r="X197" s="237">
        <v>21000000</v>
      </c>
      <c r="Y197" s="295">
        <f t="shared" ref="Y197:Y260" si="10">M197-X197</f>
        <v>3500000</v>
      </c>
      <c r="Z197" s="296">
        <f t="shared" ref="Z197:Z260" si="11">+(X197/M197)</f>
        <v>0.8571428571428571</v>
      </c>
      <c r="AA197" s="85">
        <v>1082870070</v>
      </c>
      <c r="AB197" s="85" t="s">
        <v>7163</v>
      </c>
      <c r="AC197" s="290" t="s">
        <v>196</v>
      </c>
      <c r="AD197" s="290" t="s">
        <v>196</v>
      </c>
      <c r="AE197" s="236"/>
      <c r="AF197" s="85" t="s">
        <v>7164</v>
      </c>
      <c r="AG197" s="290" t="s">
        <v>192</v>
      </c>
      <c r="AH197" s="290" t="s">
        <v>192</v>
      </c>
    </row>
    <row r="198" spans="1:34" s="297" customFormat="1" ht="15" customHeight="1" x14ac:dyDescent="0.25">
      <c r="A198" s="289">
        <v>891780111</v>
      </c>
      <c r="B198" s="289" t="s">
        <v>54</v>
      </c>
      <c r="C198" s="290" t="s">
        <v>59</v>
      </c>
      <c r="D198" s="289" t="s">
        <v>60</v>
      </c>
      <c r="E198" s="290" t="s">
        <v>7165</v>
      </c>
      <c r="F198" s="289" t="s">
        <v>61</v>
      </c>
      <c r="G198" s="85" t="s">
        <v>63</v>
      </c>
      <c r="H198" s="85" t="s">
        <v>73</v>
      </c>
      <c r="I198" s="237">
        <v>6800000</v>
      </c>
      <c r="J198" s="290"/>
      <c r="K198" s="291"/>
      <c r="L198" s="291"/>
      <c r="M198" s="292">
        <f t="shared" si="9"/>
        <v>6800000</v>
      </c>
      <c r="N198" s="85">
        <v>1114816077</v>
      </c>
      <c r="O198" s="85" t="s">
        <v>7166</v>
      </c>
      <c r="P198" s="85" t="s">
        <v>7167</v>
      </c>
      <c r="Q198" s="293">
        <v>44951</v>
      </c>
      <c r="R198" s="293">
        <v>44951</v>
      </c>
      <c r="S198" s="293">
        <v>44985</v>
      </c>
      <c r="T198" s="293"/>
      <c r="U198" s="293"/>
      <c r="V198" s="293"/>
      <c r="W198" s="294"/>
      <c r="X198" s="237">
        <v>6800000</v>
      </c>
      <c r="Y198" s="295">
        <f t="shared" si="10"/>
        <v>0</v>
      </c>
      <c r="Z198" s="296">
        <f t="shared" si="11"/>
        <v>1</v>
      </c>
      <c r="AA198" s="85">
        <v>1082870070</v>
      </c>
      <c r="AB198" s="85" t="s">
        <v>7163</v>
      </c>
      <c r="AC198" s="290" t="s">
        <v>196</v>
      </c>
      <c r="AD198" s="290" t="s">
        <v>196</v>
      </c>
      <c r="AE198" s="236"/>
      <c r="AF198" s="85" t="s">
        <v>7168</v>
      </c>
      <c r="AG198" s="290" t="s">
        <v>192</v>
      </c>
      <c r="AH198" s="290" t="s">
        <v>192</v>
      </c>
    </row>
    <row r="199" spans="1:34" s="297" customFormat="1" ht="15" customHeight="1" x14ac:dyDescent="0.25">
      <c r="A199" s="289">
        <v>891780111</v>
      </c>
      <c r="B199" s="289" t="s">
        <v>54</v>
      </c>
      <c r="C199" s="290" t="s">
        <v>59</v>
      </c>
      <c r="D199" s="289" t="s">
        <v>60</v>
      </c>
      <c r="E199" s="290" t="s">
        <v>7169</v>
      </c>
      <c r="F199" s="289" t="s">
        <v>61</v>
      </c>
      <c r="G199" s="85" t="s">
        <v>63</v>
      </c>
      <c r="H199" s="85" t="s">
        <v>73</v>
      </c>
      <c r="I199" s="237">
        <v>18400000</v>
      </c>
      <c r="J199" s="290">
        <v>1</v>
      </c>
      <c r="K199" s="291"/>
      <c r="L199" s="291">
        <v>5800000</v>
      </c>
      <c r="M199" s="292">
        <f t="shared" si="9"/>
        <v>12600000</v>
      </c>
      <c r="N199" s="85">
        <v>7601321</v>
      </c>
      <c r="O199" s="85" t="s">
        <v>7170</v>
      </c>
      <c r="P199" s="85" t="s">
        <v>7171</v>
      </c>
      <c r="Q199" s="293">
        <v>44951</v>
      </c>
      <c r="R199" s="293">
        <v>44951</v>
      </c>
      <c r="S199" s="293">
        <v>45138</v>
      </c>
      <c r="T199" s="293"/>
      <c r="U199" s="293"/>
      <c r="V199" s="293"/>
      <c r="W199" s="294">
        <v>45077</v>
      </c>
      <c r="X199" s="237">
        <v>12600000</v>
      </c>
      <c r="Y199" s="295">
        <f t="shared" si="10"/>
        <v>0</v>
      </c>
      <c r="Z199" s="296">
        <f t="shared" si="11"/>
        <v>1</v>
      </c>
      <c r="AA199" s="85">
        <v>85471791</v>
      </c>
      <c r="AB199" s="85" t="s">
        <v>7172</v>
      </c>
      <c r="AC199" s="290" t="s">
        <v>196</v>
      </c>
      <c r="AD199" s="290" t="s">
        <v>196</v>
      </c>
      <c r="AE199" s="236"/>
      <c r="AF199" s="85" t="s">
        <v>7173</v>
      </c>
      <c r="AG199" s="290" t="s">
        <v>192</v>
      </c>
      <c r="AH199" s="290" t="s">
        <v>192</v>
      </c>
    </row>
    <row r="200" spans="1:34" s="297" customFormat="1" ht="15" customHeight="1" x14ac:dyDescent="0.25">
      <c r="A200" s="289">
        <v>891780111</v>
      </c>
      <c r="B200" s="289" t="s">
        <v>54</v>
      </c>
      <c r="C200" s="290" t="s">
        <v>59</v>
      </c>
      <c r="D200" s="289" t="s">
        <v>60</v>
      </c>
      <c r="E200" s="290" t="s">
        <v>7174</v>
      </c>
      <c r="F200" s="289" t="s">
        <v>61</v>
      </c>
      <c r="G200" s="85" t="s">
        <v>63</v>
      </c>
      <c r="H200" s="85" t="s">
        <v>73</v>
      </c>
      <c r="I200" s="237">
        <v>17500000</v>
      </c>
      <c r="J200" s="290"/>
      <c r="K200" s="291"/>
      <c r="L200" s="291"/>
      <c r="M200" s="292">
        <f t="shared" si="9"/>
        <v>17500000</v>
      </c>
      <c r="N200" s="85">
        <v>1052983008</v>
      </c>
      <c r="O200" s="85" t="s">
        <v>4113</v>
      </c>
      <c r="P200" s="85" t="s">
        <v>7175</v>
      </c>
      <c r="Q200" s="293">
        <v>44951</v>
      </c>
      <c r="R200" s="293">
        <v>44951</v>
      </c>
      <c r="S200" s="293">
        <v>45138</v>
      </c>
      <c r="T200" s="293"/>
      <c r="U200" s="293"/>
      <c r="V200" s="293"/>
      <c r="W200" s="294"/>
      <c r="X200" s="237">
        <v>15000000</v>
      </c>
      <c r="Y200" s="295">
        <f t="shared" si="10"/>
        <v>2500000</v>
      </c>
      <c r="Z200" s="296">
        <f t="shared" si="11"/>
        <v>0.8571428571428571</v>
      </c>
      <c r="AA200" s="85">
        <v>1082870070</v>
      </c>
      <c r="AB200" s="85" t="s">
        <v>7163</v>
      </c>
      <c r="AC200" s="290" t="s">
        <v>196</v>
      </c>
      <c r="AD200" s="290" t="s">
        <v>196</v>
      </c>
      <c r="AE200" s="236"/>
      <c r="AF200" s="85" t="s">
        <v>7176</v>
      </c>
      <c r="AG200" s="290" t="s">
        <v>192</v>
      </c>
      <c r="AH200" s="290" t="s">
        <v>192</v>
      </c>
    </row>
    <row r="201" spans="1:34" s="297" customFormat="1" ht="15" customHeight="1" x14ac:dyDescent="0.25">
      <c r="A201" s="289">
        <v>891780111</v>
      </c>
      <c r="B201" s="289" t="s">
        <v>54</v>
      </c>
      <c r="C201" s="290" t="s">
        <v>59</v>
      </c>
      <c r="D201" s="289" t="s">
        <v>60</v>
      </c>
      <c r="E201" s="290" t="s">
        <v>7177</v>
      </c>
      <c r="F201" s="289" t="s">
        <v>61</v>
      </c>
      <c r="G201" s="85" t="s">
        <v>63</v>
      </c>
      <c r="H201" s="85" t="s">
        <v>73</v>
      </c>
      <c r="I201" s="237">
        <v>17500000</v>
      </c>
      <c r="J201" s="290"/>
      <c r="K201" s="291"/>
      <c r="L201" s="291"/>
      <c r="M201" s="292">
        <f t="shared" si="9"/>
        <v>17500000</v>
      </c>
      <c r="N201" s="85">
        <v>1082925230</v>
      </c>
      <c r="O201" s="85" t="s">
        <v>7178</v>
      </c>
      <c r="P201" s="85" t="s">
        <v>7179</v>
      </c>
      <c r="Q201" s="293">
        <v>44951</v>
      </c>
      <c r="R201" s="293">
        <v>44951</v>
      </c>
      <c r="S201" s="293">
        <v>45138</v>
      </c>
      <c r="T201" s="293"/>
      <c r="U201" s="293"/>
      <c r="V201" s="293"/>
      <c r="W201" s="294"/>
      <c r="X201" s="237">
        <v>15000000</v>
      </c>
      <c r="Y201" s="295">
        <f t="shared" si="10"/>
        <v>2500000</v>
      </c>
      <c r="Z201" s="296">
        <f t="shared" si="11"/>
        <v>0.8571428571428571</v>
      </c>
      <c r="AA201" s="85">
        <v>1082870070</v>
      </c>
      <c r="AB201" s="85" t="s">
        <v>7163</v>
      </c>
      <c r="AC201" s="290" t="s">
        <v>196</v>
      </c>
      <c r="AD201" s="290" t="s">
        <v>196</v>
      </c>
      <c r="AE201" s="236"/>
      <c r="AF201" s="85" t="s">
        <v>7180</v>
      </c>
      <c r="AG201" s="290" t="s">
        <v>192</v>
      </c>
      <c r="AH201" s="290" t="s">
        <v>192</v>
      </c>
    </row>
    <row r="202" spans="1:34" s="297" customFormat="1" ht="15" customHeight="1" x14ac:dyDescent="0.25">
      <c r="A202" s="289">
        <v>891780111</v>
      </c>
      <c r="B202" s="289" t="s">
        <v>54</v>
      </c>
      <c r="C202" s="290" t="s">
        <v>59</v>
      </c>
      <c r="D202" s="289" t="s">
        <v>60</v>
      </c>
      <c r="E202" s="290" t="s">
        <v>7181</v>
      </c>
      <c r="F202" s="289" t="s">
        <v>61</v>
      </c>
      <c r="G202" s="85" t="s">
        <v>63</v>
      </c>
      <c r="H202" s="85" t="s">
        <v>73</v>
      </c>
      <c r="I202" s="237">
        <v>17200000</v>
      </c>
      <c r="J202" s="290"/>
      <c r="K202" s="291"/>
      <c r="L202" s="291"/>
      <c r="M202" s="292">
        <f t="shared" si="9"/>
        <v>17200000</v>
      </c>
      <c r="N202" s="85">
        <v>1083021213</v>
      </c>
      <c r="O202" s="85" t="s">
        <v>7182</v>
      </c>
      <c r="P202" s="85" t="s">
        <v>7183</v>
      </c>
      <c r="Q202" s="293">
        <v>44951</v>
      </c>
      <c r="R202" s="293">
        <v>44951</v>
      </c>
      <c r="S202" s="293">
        <v>45138</v>
      </c>
      <c r="T202" s="293"/>
      <c r="U202" s="293"/>
      <c r="V202" s="293"/>
      <c r="W202" s="294"/>
      <c r="X202" s="237">
        <v>14500000</v>
      </c>
      <c r="Y202" s="295">
        <f t="shared" si="10"/>
        <v>2700000</v>
      </c>
      <c r="Z202" s="296">
        <f t="shared" si="11"/>
        <v>0.84302325581395354</v>
      </c>
      <c r="AA202" s="85">
        <v>36722626</v>
      </c>
      <c r="AB202" s="85" t="s">
        <v>7184</v>
      </c>
      <c r="AC202" s="290" t="s">
        <v>196</v>
      </c>
      <c r="AD202" s="290" t="s">
        <v>196</v>
      </c>
      <c r="AE202" s="236"/>
      <c r="AF202" s="85" t="s">
        <v>7185</v>
      </c>
      <c r="AG202" s="290" t="s">
        <v>192</v>
      </c>
      <c r="AH202" s="290" t="s">
        <v>192</v>
      </c>
    </row>
    <row r="203" spans="1:34" s="297" customFormat="1" ht="15" customHeight="1" x14ac:dyDescent="0.25">
      <c r="A203" s="289">
        <v>891780111</v>
      </c>
      <c r="B203" s="289" t="s">
        <v>54</v>
      </c>
      <c r="C203" s="290" t="s">
        <v>59</v>
      </c>
      <c r="D203" s="289" t="s">
        <v>60</v>
      </c>
      <c r="E203" s="290" t="s">
        <v>7186</v>
      </c>
      <c r="F203" s="289" t="s">
        <v>61</v>
      </c>
      <c r="G203" s="85" t="s">
        <v>63</v>
      </c>
      <c r="H203" s="85" t="s">
        <v>73</v>
      </c>
      <c r="I203" s="237">
        <v>22750000</v>
      </c>
      <c r="J203" s="290"/>
      <c r="K203" s="291"/>
      <c r="L203" s="291"/>
      <c r="M203" s="292">
        <f t="shared" si="9"/>
        <v>22750000</v>
      </c>
      <c r="N203" s="85">
        <v>84457585</v>
      </c>
      <c r="O203" s="85" t="s">
        <v>7187</v>
      </c>
      <c r="P203" s="85" t="s">
        <v>7188</v>
      </c>
      <c r="Q203" s="293">
        <v>44951</v>
      </c>
      <c r="R203" s="293">
        <v>44951</v>
      </c>
      <c r="S203" s="293">
        <v>45138</v>
      </c>
      <c r="T203" s="293"/>
      <c r="U203" s="293"/>
      <c r="V203" s="293"/>
      <c r="W203" s="294"/>
      <c r="X203" s="237">
        <v>19250000</v>
      </c>
      <c r="Y203" s="295">
        <f t="shared" si="10"/>
        <v>3500000</v>
      </c>
      <c r="Z203" s="296">
        <f t="shared" si="11"/>
        <v>0.84615384615384615</v>
      </c>
      <c r="AA203" s="85">
        <v>85471791</v>
      </c>
      <c r="AB203" s="85" t="s">
        <v>7172</v>
      </c>
      <c r="AC203" s="290" t="s">
        <v>196</v>
      </c>
      <c r="AD203" s="290" t="s">
        <v>196</v>
      </c>
      <c r="AE203" s="236"/>
      <c r="AF203" s="85" t="s">
        <v>7189</v>
      </c>
      <c r="AG203" s="290" t="s">
        <v>192</v>
      </c>
      <c r="AH203" s="290" t="s">
        <v>192</v>
      </c>
    </row>
    <row r="204" spans="1:34" s="297" customFormat="1" ht="15" customHeight="1" x14ac:dyDescent="0.25">
      <c r="A204" s="289">
        <v>891780111</v>
      </c>
      <c r="B204" s="289" t="s">
        <v>54</v>
      </c>
      <c r="C204" s="290" t="s">
        <v>59</v>
      </c>
      <c r="D204" s="289" t="s">
        <v>60</v>
      </c>
      <c r="E204" s="290" t="s">
        <v>7190</v>
      </c>
      <c r="F204" s="289" t="s">
        <v>61</v>
      </c>
      <c r="G204" s="85" t="s">
        <v>63</v>
      </c>
      <c r="H204" s="85" t="s">
        <v>73</v>
      </c>
      <c r="I204" s="237">
        <v>20125000</v>
      </c>
      <c r="J204" s="290"/>
      <c r="K204" s="291"/>
      <c r="L204" s="291"/>
      <c r="M204" s="292">
        <f t="shared" si="9"/>
        <v>20125000</v>
      </c>
      <c r="N204" s="85">
        <v>1083014411</v>
      </c>
      <c r="O204" s="85" t="s">
        <v>7191</v>
      </c>
      <c r="P204" s="85" t="s">
        <v>7192</v>
      </c>
      <c r="Q204" s="293">
        <v>44951</v>
      </c>
      <c r="R204" s="293">
        <v>44951</v>
      </c>
      <c r="S204" s="293">
        <v>45138</v>
      </c>
      <c r="T204" s="293"/>
      <c r="U204" s="293"/>
      <c r="V204" s="293"/>
      <c r="W204" s="294"/>
      <c r="X204" s="237">
        <v>17250000</v>
      </c>
      <c r="Y204" s="295">
        <f t="shared" si="10"/>
        <v>2875000</v>
      </c>
      <c r="Z204" s="296">
        <f t="shared" si="11"/>
        <v>0.8571428571428571</v>
      </c>
      <c r="AA204" s="85">
        <v>1082870070</v>
      </c>
      <c r="AB204" s="85" t="s">
        <v>7163</v>
      </c>
      <c r="AC204" s="290" t="s">
        <v>196</v>
      </c>
      <c r="AD204" s="290" t="s">
        <v>196</v>
      </c>
      <c r="AE204" s="236"/>
      <c r="AF204" s="85" t="s">
        <v>7193</v>
      </c>
      <c r="AG204" s="290" t="s">
        <v>192</v>
      </c>
      <c r="AH204" s="290" t="s">
        <v>192</v>
      </c>
    </row>
    <row r="205" spans="1:34" s="297" customFormat="1" ht="15" customHeight="1" x14ac:dyDescent="0.25">
      <c r="A205" s="289">
        <v>891780111</v>
      </c>
      <c r="B205" s="289" t="s">
        <v>54</v>
      </c>
      <c r="C205" s="290" t="s">
        <v>59</v>
      </c>
      <c r="D205" s="289" t="s">
        <v>60</v>
      </c>
      <c r="E205" s="290" t="s">
        <v>7194</v>
      </c>
      <c r="F205" s="289" t="s">
        <v>61</v>
      </c>
      <c r="G205" s="85" t="s">
        <v>63</v>
      </c>
      <c r="H205" s="85" t="s">
        <v>73</v>
      </c>
      <c r="I205" s="237">
        <v>13000000</v>
      </c>
      <c r="J205" s="290"/>
      <c r="K205" s="291"/>
      <c r="L205" s="291"/>
      <c r="M205" s="292">
        <f t="shared" si="9"/>
        <v>13000000</v>
      </c>
      <c r="N205" s="85">
        <v>1018493051</v>
      </c>
      <c r="O205" s="85" t="s">
        <v>7195</v>
      </c>
      <c r="P205" s="85" t="s">
        <v>7196</v>
      </c>
      <c r="Q205" s="293">
        <v>44951</v>
      </c>
      <c r="R205" s="293">
        <v>44951</v>
      </c>
      <c r="S205" s="293">
        <v>45138</v>
      </c>
      <c r="T205" s="293"/>
      <c r="U205" s="293"/>
      <c r="V205" s="293"/>
      <c r="W205" s="294"/>
      <c r="X205" s="237">
        <v>11000000</v>
      </c>
      <c r="Y205" s="295">
        <f t="shared" si="10"/>
        <v>2000000</v>
      </c>
      <c r="Z205" s="296">
        <f t="shared" si="11"/>
        <v>0.84615384615384615</v>
      </c>
      <c r="AA205" s="85">
        <v>1082870070</v>
      </c>
      <c r="AB205" s="85" t="s">
        <v>7163</v>
      </c>
      <c r="AC205" s="290" t="s">
        <v>196</v>
      </c>
      <c r="AD205" s="290" t="s">
        <v>196</v>
      </c>
      <c r="AE205" s="236"/>
      <c r="AF205" s="85" t="s">
        <v>7197</v>
      </c>
      <c r="AG205" s="290" t="s">
        <v>192</v>
      </c>
      <c r="AH205" s="290" t="s">
        <v>192</v>
      </c>
    </row>
    <row r="206" spans="1:34" s="297" customFormat="1" ht="15" customHeight="1" x14ac:dyDescent="0.25">
      <c r="A206" s="289">
        <v>891780111</v>
      </c>
      <c r="B206" s="289" t="s">
        <v>54</v>
      </c>
      <c r="C206" s="290" t="s">
        <v>59</v>
      </c>
      <c r="D206" s="289" t="s">
        <v>60</v>
      </c>
      <c r="E206" s="290" t="s">
        <v>7198</v>
      </c>
      <c r="F206" s="289" t="s">
        <v>61</v>
      </c>
      <c r="G206" s="85" t="s">
        <v>63</v>
      </c>
      <c r="H206" s="85" t="s">
        <v>73</v>
      </c>
      <c r="I206" s="237">
        <v>20125000</v>
      </c>
      <c r="J206" s="290"/>
      <c r="K206" s="291"/>
      <c r="L206" s="291"/>
      <c r="M206" s="292">
        <f t="shared" si="9"/>
        <v>20125000</v>
      </c>
      <c r="N206" s="85">
        <v>1082941708</v>
      </c>
      <c r="O206" s="85" t="s">
        <v>4083</v>
      </c>
      <c r="P206" s="85" t="s">
        <v>7192</v>
      </c>
      <c r="Q206" s="293">
        <v>44951</v>
      </c>
      <c r="R206" s="293">
        <v>44951</v>
      </c>
      <c r="S206" s="293">
        <v>45138</v>
      </c>
      <c r="T206" s="293"/>
      <c r="U206" s="293"/>
      <c r="V206" s="293"/>
      <c r="W206" s="294"/>
      <c r="X206" s="237">
        <v>17245000</v>
      </c>
      <c r="Y206" s="295">
        <f t="shared" si="10"/>
        <v>2880000</v>
      </c>
      <c r="Z206" s="296">
        <f t="shared" si="11"/>
        <v>0.85689440993788824</v>
      </c>
      <c r="AA206" s="85">
        <v>1082870070</v>
      </c>
      <c r="AB206" s="85" t="s">
        <v>7163</v>
      </c>
      <c r="AC206" s="290" t="s">
        <v>196</v>
      </c>
      <c r="AD206" s="290" t="s">
        <v>196</v>
      </c>
      <c r="AE206" s="236"/>
      <c r="AF206" s="85" t="s">
        <v>7199</v>
      </c>
      <c r="AG206" s="290" t="s">
        <v>192</v>
      </c>
      <c r="AH206" s="290" t="s">
        <v>192</v>
      </c>
    </row>
    <row r="207" spans="1:34" s="297" customFormat="1" ht="15" customHeight="1" x14ac:dyDescent="0.25">
      <c r="A207" s="289">
        <v>891780111</v>
      </c>
      <c r="B207" s="289" t="s">
        <v>54</v>
      </c>
      <c r="C207" s="290" t="s">
        <v>59</v>
      </c>
      <c r="D207" s="289" t="s">
        <v>60</v>
      </c>
      <c r="E207" s="290" t="s">
        <v>7200</v>
      </c>
      <c r="F207" s="289" t="s">
        <v>61</v>
      </c>
      <c r="G207" s="85" t="s">
        <v>63</v>
      </c>
      <c r="H207" s="85" t="s">
        <v>73</v>
      </c>
      <c r="I207" s="237">
        <v>16000000</v>
      </c>
      <c r="J207" s="290"/>
      <c r="K207" s="291"/>
      <c r="L207" s="291"/>
      <c r="M207" s="292">
        <f t="shared" si="9"/>
        <v>16000000</v>
      </c>
      <c r="N207" s="85">
        <v>4979940</v>
      </c>
      <c r="O207" s="85" t="s">
        <v>7201</v>
      </c>
      <c r="P207" s="85" t="s">
        <v>7202</v>
      </c>
      <c r="Q207" s="293">
        <v>44951</v>
      </c>
      <c r="R207" s="293">
        <v>44951</v>
      </c>
      <c r="S207" s="293">
        <v>45138</v>
      </c>
      <c r="T207" s="293"/>
      <c r="U207" s="293"/>
      <c r="V207" s="293"/>
      <c r="W207" s="294"/>
      <c r="X207" s="237">
        <v>13500000</v>
      </c>
      <c r="Y207" s="295">
        <f t="shared" si="10"/>
        <v>2500000</v>
      </c>
      <c r="Z207" s="296">
        <f t="shared" si="11"/>
        <v>0.84375</v>
      </c>
      <c r="AA207" s="85">
        <v>36722626</v>
      </c>
      <c r="AB207" s="85" t="s">
        <v>7184</v>
      </c>
      <c r="AC207" s="290" t="s">
        <v>196</v>
      </c>
      <c r="AD207" s="290" t="s">
        <v>196</v>
      </c>
      <c r="AE207" s="236"/>
      <c r="AF207" s="85" t="s">
        <v>7203</v>
      </c>
      <c r="AG207" s="290" t="s">
        <v>192</v>
      </c>
      <c r="AH207" s="290" t="s">
        <v>192</v>
      </c>
    </row>
    <row r="208" spans="1:34" s="297" customFormat="1" ht="15" customHeight="1" x14ac:dyDescent="0.25">
      <c r="A208" s="289">
        <v>891780111</v>
      </c>
      <c r="B208" s="289" t="s">
        <v>54</v>
      </c>
      <c r="C208" s="290" t="s">
        <v>59</v>
      </c>
      <c r="D208" s="289" t="s">
        <v>60</v>
      </c>
      <c r="E208" s="290" t="s">
        <v>7204</v>
      </c>
      <c r="F208" s="289" t="s">
        <v>61</v>
      </c>
      <c r="G208" s="85" t="s">
        <v>63</v>
      </c>
      <c r="H208" s="85" t="s">
        <v>73</v>
      </c>
      <c r="I208" s="237">
        <v>18900000</v>
      </c>
      <c r="J208" s="290">
        <v>1</v>
      </c>
      <c r="K208" s="291"/>
      <c r="L208" s="291">
        <v>13500000</v>
      </c>
      <c r="M208" s="292">
        <f t="shared" si="9"/>
        <v>5400000</v>
      </c>
      <c r="N208" s="85">
        <v>1082999611</v>
      </c>
      <c r="O208" s="85" t="s">
        <v>2449</v>
      </c>
      <c r="P208" s="85" t="s">
        <v>7205</v>
      </c>
      <c r="Q208" s="293">
        <v>44952</v>
      </c>
      <c r="R208" s="293">
        <v>44952</v>
      </c>
      <c r="S208" s="293">
        <v>45138</v>
      </c>
      <c r="T208" s="293"/>
      <c r="U208" s="293"/>
      <c r="V208" s="293"/>
      <c r="W208" s="294">
        <v>44985</v>
      </c>
      <c r="X208" s="237">
        <v>5400000</v>
      </c>
      <c r="Y208" s="295">
        <f t="shared" si="10"/>
        <v>0</v>
      </c>
      <c r="Z208" s="296">
        <f t="shared" si="11"/>
        <v>1</v>
      </c>
      <c r="AA208" s="85">
        <v>85449357</v>
      </c>
      <c r="AB208" s="85" t="s">
        <v>6553</v>
      </c>
      <c r="AC208" s="290" t="s">
        <v>196</v>
      </c>
      <c r="AD208" s="290" t="s">
        <v>196</v>
      </c>
      <c r="AE208" s="236"/>
      <c r="AF208" s="85" t="s">
        <v>7206</v>
      </c>
      <c r="AG208" s="290" t="s">
        <v>192</v>
      </c>
      <c r="AH208" s="290" t="s">
        <v>192</v>
      </c>
    </row>
    <row r="209" spans="1:34" s="297" customFormat="1" ht="15" customHeight="1" x14ac:dyDescent="0.25">
      <c r="A209" s="289">
        <v>891780111</v>
      </c>
      <c r="B209" s="289" t="s">
        <v>54</v>
      </c>
      <c r="C209" s="290" t="s">
        <v>59</v>
      </c>
      <c r="D209" s="289" t="s">
        <v>60</v>
      </c>
      <c r="E209" s="290" t="s">
        <v>7207</v>
      </c>
      <c r="F209" s="289" t="s">
        <v>61</v>
      </c>
      <c r="G209" s="85" t="s">
        <v>63</v>
      </c>
      <c r="H209" s="85" t="s">
        <v>73</v>
      </c>
      <c r="I209" s="237">
        <v>14200000</v>
      </c>
      <c r="J209" s="290"/>
      <c r="K209" s="291"/>
      <c r="L209" s="291"/>
      <c r="M209" s="292">
        <f t="shared" si="9"/>
        <v>14200000</v>
      </c>
      <c r="N209" s="85">
        <v>1221976238</v>
      </c>
      <c r="O209" s="85" t="s">
        <v>7208</v>
      </c>
      <c r="P209" s="85" t="s">
        <v>7209</v>
      </c>
      <c r="Q209" s="293">
        <v>44952</v>
      </c>
      <c r="R209" s="293">
        <v>44952</v>
      </c>
      <c r="S209" s="293">
        <v>45138</v>
      </c>
      <c r="T209" s="293"/>
      <c r="U209" s="293"/>
      <c r="V209" s="293"/>
      <c r="W209" s="294"/>
      <c r="X209" s="237">
        <v>12000000</v>
      </c>
      <c r="Y209" s="295">
        <f t="shared" si="10"/>
        <v>2200000</v>
      </c>
      <c r="Z209" s="296">
        <f t="shared" si="11"/>
        <v>0.84507042253521125</v>
      </c>
      <c r="AA209" s="85">
        <v>36722626</v>
      </c>
      <c r="AB209" s="85" t="s">
        <v>7184</v>
      </c>
      <c r="AC209" s="290" t="s">
        <v>196</v>
      </c>
      <c r="AD209" s="290" t="s">
        <v>196</v>
      </c>
      <c r="AE209" s="236"/>
      <c r="AF209" s="85" t="s">
        <v>7210</v>
      </c>
      <c r="AG209" s="290" t="s">
        <v>192</v>
      </c>
      <c r="AH209" s="290" t="s">
        <v>192</v>
      </c>
    </row>
    <row r="210" spans="1:34" s="297" customFormat="1" ht="15" customHeight="1" x14ac:dyDescent="0.25">
      <c r="A210" s="289">
        <v>891780111</v>
      </c>
      <c r="B210" s="289" t="s">
        <v>54</v>
      </c>
      <c r="C210" s="290" t="s">
        <v>59</v>
      </c>
      <c r="D210" s="289" t="s">
        <v>60</v>
      </c>
      <c r="E210" s="290" t="s">
        <v>7211</v>
      </c>
      <c r="F210" s="289" t="s">
        <v>61</v>
      </c>
      <c r="G210" s="85" t="s">
        <v>63</v>
      </c>
      <c r="H210" s="85" t="s">
        <v>73</v>
      </c>
      <c r="I210" s="237">
        <v>20400000</v>
      </c>
      <c r="J210" s="290">
        <v>1</v>
      </c>
      <c r="K210" s="291">
        <v>6800000</v>
      </c>
      <c r="L210" s="291"/>
      <c r="M210" s="292">
        <f t="shared" si="9"/>
        <v>27200000</v>
      </c>
      <c r="N210" s="85">
        <v>72006198</v>
      </c>
      <c r="O210" s="85" t="s">
        <v>7212</v>
      </c>
      <c r="P210" s="85" t="s">
        <v>7213</v>
      </c>
      <c r="Q210" s="293">
        <v>44952</v>
      </c>
      <c r="R210" s="293">
        <v>44952</v>
      </c>
      <c r="S210" s="293">
        <v>45107</v>
      </c>
      <c r="T210" s="293"/>
      <c r="U210" s="293"/>
      <c r="V210" s="293"/>
      <c r="W210" s="294">
        <v>45169</v>
      </c>
      <c r="X210" s="237">
        <v>20400000</v>
      </c>
      <c r="Y210" s="295">
        <f t="shared" si="10"/>
        <v>6800000</v>
      </c>
      <c r="Z210" s="296">
        <f t="shared" si="11"/>
        <v>0.75</v>
      </c>
      <c r="AA210" s="85">
        <v>1082870070</v>
      </c>
      <c r="AB210" s="85" t="s">
        <v>7163</v>
      </c>
      <c r="AC210" s="290" t="s">
        <v>196</v>
      </c>
      <c r="AD210" s="290" t="s">
        <v>196</v>
      </c>
      <c r="AE210" s="236"/>
      <c r="AF210" s="85" t="s">
        <v>7214</v>
      </c>
      <c r="AG210" s="290" t="s">
        <v>192</v>
      </c>
      <c r="AH210" s="290" t="s">
        <v>192</v>
      </c>
    </row>
    <row r="211" spans="1:34" s="297" customFormat="1" ht="15" customHeight="1" x14ac:dyDescent="0.25">
      <c r="A211" s="289">
        <v>891780111</v>
      </c>
      <c r="B211" s="289" t="s">
        <v>54</v>
      </c>
      <c r="C211" s="290" t="s">
        <v>59</v>
      </c>
      <c r="D211" s="289" t="s">
        <v>60</v>
      </c>
      <c r="E211" s="290" t="s">
        <v>7215</v>
      </c>
      <c r="F211" s="289" t="s">
        <v>61</v>
      </c>
      <c r="G211" s="85" t="s">
        <v>63</v>
      </c>
      <c r="H211" s="85" t="s">
        <v>73</v>
      </c>
      <c r="I211" s="237">
        <v>18900000</v>
      </c>
      <c r="J211" s="290">
        <v>1</v>
      </c>
      <c r="K211" s="291"/>
      <c r="L211" s="291">
        <v>13500000</v>
      </c>
      <c r="M211" s="292">
        <f t="shared" si="9"/>
        <v>5400000</v>
      </c>
      <c r="N211" s="85">
        <v>1082927824</v>
      </c>
      <c r="O211" s="85" t="s">
        <v>2453</v>
      </c>
      <c r="P211" s="85" t="s">
        <v>7216</v>
      </c>
      <c r="Q211" s="293">
        <v>44952</v>
      </c>
      <c r="R211" s="293">
        <v>44952</v>
      </c>
      <c r="S211" s="293">
        <v>45138</v>
      </c>
      <c r="T211" s="293"/>
      <c r="U211" s="293"/>
      <c r="V211" s="293"/>
      <c r="W211" s="294">
        <v>44985</v>
      </c>
      <c r="X211" s="237">
        <v>5400000</v>
      </c>
      <c r="Y211" s="295">
        <f t="shared" si="10"/>
        <v>0</v>
      </c>
      <c r="Z211" s="296">
        <f t="shared" si="11"/>
        <v>1</v>
      </c>
      <c r="AA211" s="85">
        <v>85449357</v>
      </c>
      <c r="AB211" s="85" t="s">
        <v>6553</v>
      </c>
      <c r="AC211" s="290" t="s">
        <v>196</v>
      </c>
      <c r="AD211" s="290" t="s">
        <v>196</v>
      </c>
      <c r="AE211" s="236"/>
      <c r="AF211" s="85" t="s">
        <v>7217</v>
      </c>
      <c r="AG211" s="290" t="s">
        <v>192</v>
      </c>
      <c r="AH211" s="290" t="s">
        <v>192</v>
      </c>
    </row>
    <row r="212" spans="1:34" s="297" customFormat="1" ht="15" customHeight="1" x14ac:dyDescent="0.25">
      <c r="A212" s="289">
        <v>891780111</v>
      </c>
      <c r="B212" s="289" t="s">
        <v>54</v>
      </c>
      <c r="C212" s="290" t="s">
        <v>59</v>
      </c>
      <c r="D212" s="289" t="s">
        <v>60</v>
      </c>
      <c r="E212" s="290" t="s">
        <v>7218</v>
      </c>
      <c r="F212" s="289" t="s">
        <v>61</v>
      </c>
      <c r="G212" s="85" t="s">
        <v>63</v>
      </c>
      <c r="H212" s="85" t="s">
        <v>73</v>
      </c>
      <c r="I212" s="237">
        <v>18000000</v>
      </c>
      <c r="J212" s="290"/>
      <c r="K212" s="291"/>
      <c r="L212" s="291"/>
      <c r="M212" s="292">
        <f t="shared" si="9"/>
        <v>18000000</v>
      </c>
      <c r="N212" s="85">
        <v>1084742720</v>
      </c>
      <c r="O212" s="85" t="s">
        <v>7219</v>
      </c>
      <c r="P212" s="85" t="s">
        <v>7205</v>
      </c>
      <c r="Q212" s="293">
        <v>44952</v>
      </c>
      <c r="R212" s="293">
        <v>44952</v>
      </c>
      <c r="S212" s="293">
        <v>45138</v>
      </c>
      <c r="T212" s="293"/>
      <c r="U212" s="293"/>
      <c r="V212" s="293"/>
      <c r="W212" s="294"/>
      <c r="X212" s="237">
        <v>15300000</v>
      </c>
      <c r="Y212" s="295">
        <f t="shared" si="10"/>
        <v>2700000</v>
      </c>
      <c r="Z212" s="296">
        <f t="shared" si="11"/>
        <v>0.85</v>
      </c>
      <c r="AA212" s="85">
        <v>85449357</v>
      </c>
      <c r="AB212" s="85" t="s">
        <v>6553</v>
      </c>
      <c r="AC212" s="290" t="s">
        <v>196</v>
      </c>
      <c r="AD212" s="290" t="s">
        <v>196</v>
      </c>
      <c r="AE212" s="236"/>
      <c r="AF212" s="85" t="s">
        <v>7220</v>
      </c>
      <c r="AG212" s="290" t="s">
        <v>192</v>
      </c>
      <c r="AH212" s="290" t="s">
        <v>192</v>
      </c>
    </row>
    <row r="213" spans="1:34" s="297" customFormat="1" ht="15" customHeight="1" x14ac:dyDescent="0.25">
      <c r="A213" s="289">
        <v>891780111</v>
      </c>
      <c r="B213" s="289" t="s">
        <v>54</v>
      </c>
      <c r="C213" s="290" t="s">
        <v>59</v>
      </c>
      <c r="D213" s="289" t="s">
        <v>60</v>
      </c>
      <c r="E213" s="290" t="s">
        <v>7221</v>
      </c>
      <c r="F213" s="289" t="s">
        <v>61</v>
      </c>
      <c r="G213" s="85" t="s">
        <v>63</v>
      </c>
      <c r="H213" s="85" t="s">
        <v>73</v>
      </c>
      <c r="I213" s="237">
        <v>31500000</v>
      </c>
      <c r="J213" s="290"/>
      <c r="K213" s="291"/>
      <c r="L213" s="291"/>
      <c r="M213" s="292">
        <f t="shared" si="9"/>
        <v>31500000</v>
      </c>
      <c r="N213" s="85">
        <v>57297436</v>
      </c>
      <c r="O213" s="85" t="s">
        <v>7222</v>
      </c>
      <c r="P213" s="85" t="s">
        <v>7223</v>
      </c>
      <c r="Q213" s="293">
        <v>44952</v>
      </c>
      <c r="R213" s="293">
        <v>44952</v>
      </c>
      <c r="S213" s="293">
        <v>45138</v>
      </c>
      <c r="T213" s="293"/>
      <c r="U213" s="293"/>
      <c r="V213" s="293"/>
      <c r="W213" s="294"/>
      <c r="X213" s="237">
        <v>27000000</v>
      </c>
      <c r="Y213" s="295">
        <f t="shared" si="10"/>
        <v>4500000</v>
      </c>
      <c r="Z213" s="296">
        <f t="shared" si="11"/>
        <v>0.8571428571428571</v>
      </c>
      <c r="AA213" s="85">
        <v>85471791</v>
      </c>
      <c r="AB213" s="85" t="s">
        <v>7172</v>
      </c>
      <c r="AC213" s="290" t="s">
        <v>196</v>
      </c>
      <c r="AD213" s="290" t="s">
        <v>196</v>
      </c>
      <c r="AE213" s="236"/>
      <c r="AF213" s="85" t="s">
        <v>7224</v>
      </c>
      <c r="AG213" s="290" t="s">
        <v>192</v>
      </c>
      <c r="AH213" s="290" t="s">
        <v>192</v>
      </c>
    </row>
    <row r="214" spans="1:34" s="297" customFormat="1" ht="15" customHeight="1" x14ac:dyDescent="0.25">
      <c r="A214" s="289">
        <v>891780111</v>
      </c>
      <c r="B214" s="289" t="s">
        <v>54</v>
      </c>
      <c r="C214" s="290" t="s">
        <v>59</v>
      </c>
      <c r="D214" s="289" t="s">
        <v>60</v>
      </c>
      <c r="E214" s="290" t="s">
        <v>7225</v>
      </c>
      <c r="F214" s="289" t="s">
        <v>61</v>
      </c>
      <c r="G214" s="85" t="s">
        <v>63</v>
      </c>
      <c r="H214" s="85" t="s">
        <v>73</v>
      </c>
      <c r="I214" s="237">
        <v>24500000</v>
      </c>
      <c r="J214" s="290"/>
      <c r="K214" s="291"/>
      <c r="L214" s="291"/>
      <c r="M214" s="292">
        <f t="shared" si="9"/>
        <v>24500000</v>
      </c>
      <c r="N214" s="85">
        <v>1143224044</v>
      </c>
      <c r="O214" s="85" t="s">
        <v>7226</v>
      </c>
      <c r="P214" s="85" t="s">
        <v>7227</v>
      </c>
      <c r="Q214" s="293">
        <v>44952</v>
      </c>
      <c r="R214" s="293">
        <v>44952</v>
      </c>
      <c r="S214" s="293">
        <v>45138</v>
      </c>
      <c r="T214" s="293"/>
      <c r="U214" s="293"/>
      <c r="V214" s="293"/>
      <c r="W214" s="294"/>
      <c r="X214" s="237">
        <v>21000000</v>
      </c>
      <c r="Y214" s="295">
        <f t="shared" si="10"/>
        <v>3500000</v>
      </c>
      <c r="Z214" s="296">
        <f t="shared" si="11"/>
        <v>0.8571428571428571</v>
      </c>
      <c r="AA214" s="85">
        <v>1082870070</v>
      </c>
      <c r="AB214" s="85" t="s">
        <v>7163</v>
      </c>
      <c r="AC214" s="290" t="s">
        <v>196</v>
      </c>
      <c r="AD214" s="290" t="s">
        <v>196</v>
      </c>
      <c r="AE214" s="236"/>
      <c r="AF214" s="85" t="s">
        <v>7228</v>
      </c>
      <c r="AG214" s="290" t="s">
        <v>192</v>
      </c>
      <c r="AH214" s="290" t="s">
        <v>192</v>
      </c>
    </row>
    <row r="215" spans="1:34" s="297" customFormat="1" ht="15" customHeight="1" x14ac:dyDescent="0.25">
      <c r="A215" s="289">
        <v>891780111</v>
      </c>
      <c r="B215" s="289" t="s">
        <v>54</v>
      </c>
      <c r="C215" s="290" t="s">
        <v>59</v>
      </c>
      <c r="D215" s="289" t="s">
        <v>60</v>
      </c>
      <c r="E215" s="290" t="s">
        <v>7229</v>
      </c>
      <c r="F215" s="289" t="s">
        <v>61</v>
      </c>
      <c r="G215" s="85" t="s">
        <v>63</v>
      </c>
      <c r="H215" s="85" t="s">
        <v>73</v>
      </c>
      <c r="I215" s="237">
        <v>18900000</v>
      </c>
      <c r="J215" s="290">
        <v>1</v>
      </c>
      <c r="K215" s="291"/>
      <c r="L215" s="291">
        <v>13500000</v>
      </c>
      <c r="M215" s="292">
        <f t="shared" si="9"/>
        <v>5400000</v>
      </c>
      <c r="N215" s="85">
        <v>1082948644</v>
      </c>
      <c r="O215" s="85" t="s">
        <v>2457</v>
      </c>
      <c r="P215" s="85" t="s">
        <v>7230</v>
      </c>
      <c r="Q215" s="293">
        <v>44952</v>
      </c>
      <c r="R215" s="293">
        <v>44952</v>
      </c>
      <c r="S215" s="293">
        <v>45138</v>
      </c>
      <c r="T215" s="293"/>
      <c r="U215" s="293"/>
      <c r="V215" s="293"/>
      <c r="W215" s="294">
        <v>44985</v>
      </c>
      <c r="X215" s="237">
        <v>5400000</v>
      </c>
      <c r="Y215" s="295">
        <f t="shared" si="10"/>
        <v>0</v>
      </c>
      <c r="Z215" s="296">
        <f t="shared" si="11"/>
        <v>1</v>
      </c>
      <c r="AA215" s="85">
        <v>85449357</v>
      </c>
      <c r="AB215" s="85" t="s">
        <v>6553</v>
      </c>
      <c r="AC215" s="290" t="s">
        <v>196</v>
      </c>
      <c r="AD215" s="290" t="s">
        <v>196</v>
      </c>
      <c r="AE215" s="236"/>
      <c r="AF215" s="85" t="s">
        <v>7231</v>
      </c>
      <c r="AG215" s="290" t="s">
        <v>192</v>
      </c>
      <c r="AH215" s="290" t="s">
        <v>192</v>
      </c>
    </row>
    <row r="216" spans="1:34" s="297" customFormat="1" ht="15" customHeight="1" x14ac:dyDescent="0.25">
      <c r="A216" s="289">
        <v>891780111</v>
      </c>
      <c r="B216" s="289" t="s">
        <v>54</v>
      </c>
      <c r="C216" s="290" t="s">
        <v>56</v>
      </c>
      <c r="D216" s="289" t="s">
        <v>60</v>
      </c>
      <c r="E216" s="290" t="s">
        <v>7232</v>
      </c>
      <c r="F216" s="289" t="s">
        <v>61</v>
      </c>
      <c r="G216" s="85" t="s">
        <v>63</v>
      </c>
      <c r="H216" s="85" t="s">
        <v>73</v>
      </c>
      <c r="I216" s="237">
        <v>13253000</v>
      </c>
      <c r="J216" s="290">
        <v>1</v>
      </c>
      <c r="K216" s="291">
        <v>2147000</v>
      </c>
      <c r="L216" s="291"/>
      <c r="M216" s="292">
        <f t="shared" si="9"/>
        <v>15400000</v>
      </c>
      <c r="N216" s="85">
        <v>57427768</v>
      </c>
      <c r="O216" s="85" t="s">
        <v>7233</v>
      </c>
      <c r="P216" s="85" t="s">
        <v>7234</v>
      </c>
      <c r="Q216" s="293">
        <v>44952</v>
      </c>
      <c r="R216" s="293">
        <v>44952</v>
      </c>
      <c r="S216" s="293">
        <v>45084</v>
      </c>
      <c r="T216" s="293"/>
      <c r="U216" s="293"/>
      <c r="V216" s="293"/>
      <c r="W216" s="294">
        <v>45107</v>
      </c>
      <c r="X216" s="237">
        <v>15400000</v>
      </c>
      <c r="Y216" s="295">
        <f t="shared" si="10"/>
        <v>0</v>
      </c>
      <c r="Z216" s="296">
        <f t="shared" si="11"/>
        <v>1</v>
      </c>
      <c r="AA216" s="85">
        <v>36557666</v>
      </c>
      <c r="AB216" s="85" t="s">
        <v>6916</v>
      </c>
      <c r="AC216" s="290" t="s">
        <v>196</v>
      </c>
      <c r="AD216" s="290" t="s">
        <v>196</v>
      </c>
      <c r="AE216" s="236"/>
      <c r="AF216" s="85" t="s">
        <v>7235</v>
      </c>
      <c r="AG216" s="290" t="s">
        <v>192</v>
      </c>
      <c r="AH216" s="290" t="s">
        <v>192</v>
      </c>
    </row>
    <row r="217" spans="1:34" s="297" customFormat="1" ht="15" customHeight="1" x14ac:dyDescent="0.25">
      <c r="A217" s="289">
        <v>891780111</v>
      </c>
      <c r="B217" s="289" t="s">
        <v>54</v>
      </c>
      <c r="C217" s="290" t="s">
        <v>56</v>
      </c>
      <c r="D217" s="289" t="s">
        <v>60</v>
      </c>
      <c r="E217" s="290" t="s">
        <v>7236</v>
      </c>
      <c r="F217" s="289" t="s">
        <v>61</v>
      </c>
      <c r="G217" s="85" t="s">
        <v>63</v>
      </c>
      <c r="H217" s="85" t="s">
        <v>73</v>
      </c>
      <c r="I217" s="237">
        <v>15293000</v>
      </c>
      <c r="J217" s="290"/>
      <c r="K217" s="291"/>
      <c r="L217" s="291"/>
      <c r="M217" s="292">
        <f t="shared" si="9"/>
        <v>15293000</v>
      </c>
      <c r="N217" s="85">
        <v>36563913</v>
      </c>
      <c r="O217" s="85" t="s">
        <v>7237</v>
      </c>
      <c r="P217" s="85" t="s">
        <v>7238</v>
      </c>
      <c r="Q217" s="293">
        <v>44952</v>
      </c>
      <c r="R217" s="293">
        <v>44952</v>
      </c>
      <c r="S217" s="293">
        <v>45084</v>
      </c>
      <c r="T217" s="293"/>
      <c r="U217" s="293"/>
      <c r="V217" s="293"/>
      <c r="W217" s="294"/>
      <c r="X217" s="237">
        <v>15293000</v>
      </c>
      <c r="Y217" s="295">
        <f t="shared" si="10"/>
        <v>0</v>
      </c>
      <c r="Z217" s="296">
        <f t="shared" si="11"/>
        <v>1</v>
      </c>
      <c r="AA217" s="85">
        <v>57461216</v>
      </c>
      <c r="AB217" s="85" t="s">
        <v>6512</v>
      </c>
      <c r="AC217" s="290" t="s">
        <v>196</v>
      </c>
      <c r="AD217" s="290" t="s">
        <v>196</v>
      </c>
      <c r="AE217" s="236"/>
      <c r="AF217" s="85" t="s">
        <v>7239</v>
      </c>
      <c r="AG217" s="290" t="s">
        <v>192</v>
      </c>
      <c r="AH217" s="290" t="s">
        <v>192</v>
      </c>
    </row>
    <row r="218" spans="1:34" s="297" customFormat="1" ht="15" customHeight="1" x14ac:dyDescent="0.25">
      <c r="A218" s="289">
        <v>891780111</v>
      </c>
      <c r="B218" s="289" t="s">
        <v>54</v>
      </c>
      <c r="C218" s="290" t="s">
        <v>56</v>
      </c>
      <c r="D218" s="289" t="s">
        <v>60</v>
      </c>
      <c r="E218" s="290" t="s">
        <v>7240</v>
      </c>
      <c r="F218" s="289" t="s">
        <v>61</v>
      </c>
      <c r="G218" s="85" t="s">
        <v>63</v>
      </c>
      <c r="H218" s="85" t="s">
        <v>73</v>
      </c>
      <c r="I218" s="237">
        <v>3800000</v>
      </c>
      <c r="J218" s="290"/>
      <c r="K218" s="291"/>
      <c r="L218" s="291"/>
      <c r="M218" s="292">
        <f t="shared" si="9"/>
        <v>3800000</v>
      </c>
      <c r="N218" s="85">
        <v>1004346785</v>
      </c>
      <c r="O218" s="85" t="s">
        <v>498</v>
      </c>
      <c r="P218" s="85" t="s">
        <v>7150</v>
      </c>
      <c r="Q218" s="293">
        <v>44952</v>
      </c>
      <c r="R218" s="293">
        <v>44952</v>
      </c>
      <c r="S218" s="293">
        <v>45001</v>
      </c>
      <c r="T218" s="293"/>
      <c r="U218" s="293"/>
      <c r="V218" s="293"/>
      <c r="W218" s="294"/>
      <c r="X218" s="237">
        <v>3800000</v>
      </c>
      <c r="Y218" s="295">
        <f t="shared" si="10"/>
        <v>0</v>
      </c>
      <c r="Z218" s="296">
        <f t="shared" si="11"/>
        <v>1</v>
      </c>
      <c r="AA218" s="85">
        <v>7631392</v>
      </c>
      <c r="AB218" s="85" t="s">
        <v>6633</v>
      </c>
      <c r="AC218" s="290" t="s">
        <v>196</v>
      </c>
      <c r="AD218" s="290" t="s">
        <v>196</v>
      </c>
      <c r="AE218" s="236"/>
      <c r="AF218" s="85" t="s">
        <v>7241</v>
      </c>
      <c r="AG218" s="290" t="s">
        <v>192</v>
      </c>
      <c r="AH218" s="290" t="s">
        <v>192</v>
      </c>
    </row>
    <row r="219" spans="1:34" s="297" customFormat="1" ht="15" customHeight="1" x14ac:dyDescent="0.25">
      <c r="A219" s="289">
        <v>891780111</v>
      </c>
      <c r="B219" s="289" t="s">
        <v>54</v>
      </c>
      <c r="C219" s="290" t="s">
        <v>56</v>
      </c>
      <c r="D219" s="289" t="s">
        <v>60</v>
      </c>
      <c r="E219" s="290" t="s">
        <v>7242</v>
      </c>
      <c r="F219" s="289" t="s">
        <v>61</v>
      </c>
      <c r="G219" s="85" t="s">
        <v>63</v>
      </c>
      <c r="H219" s="85" t="s">
        <v>73</v>
      </c>
      <c r="I219" s="237">
        <v>16093000</v>
      </c>
      <c r="J219" s="290">
        <v>1</v>
      </c>
      <c r="K219" s="291">
        <v>2607000</v>
      </c>
      <c r="L219" s="291"/>
      <c r="M219" s="292">
        <f t="shared" si="9"/>
        <v>18700000</v>
      </c>
      <c r="N219" s="85">
        <v>1083024578</v>
      </c>
      <c r="O219" s="85" t="s">
        <v>7243</v>
      </c>
      <c r="P219" s="85" t="s">
        <v>7244</v>
      </c>
      <c r="Q219" s="293">
        <v>44952</v>
      </c>
      <c r="R219" s="293">
        <v>44952</v>
      </c>
      <c r="S219" s="293">
        <v>45084</v>
      </c>
      <c r="T219" s="293"/>
      <c r="U219" s="293"/>
      <c r="V219" s="293"/>
      <c r="W219" s="294">
        <v>45107</v>
      </c>
      <c r="X219" s="237">
        <v>18700000</v>
      </c>
      <c r="Y219" s="295">
        <f t="shared" si="10"/>
        <v>0</v>
      </c>
      <c r="Z219" s="296">
        <f t="shared" si="11"/>
        <v>1</v>
      </c>
      <c r="AA219" s="85">
        <v>12539351</v>
      </c>
      <c r="AB219" s="85" t="s">
        <v>6545</v>
      </c>
      <c r="AC219" s="290" t="s">
        <v>196</v>
      </c>
      <c r="AD219" s="290" t="s">
        <v>196</v>
      </c>
      <c r="AE219" s="236"/>
      <c r="AF219" s="85" t="s">
        <v>7245</v>
      </c>
      <c r="AG219" s="290" t="s">
        <v>192</v>
      </c>
      <c r="AH219" s="290" t="s">
        <v>192</v>
      </c>
    </row>
    <row r="220" spans="1:34" s="297" customFormat="1" ht="15" customHeight="1" x14ac:dyDescent="0.25">
      <c r="A220" s="289">
        <v>891780111</v>
      </c>
      <c r="B220" s="289" t="s">
        <v>54</v>
      </c>
      <c r="C220" s="290" t="s">
        <v>56</v>
      </c>
      <c r="D220" s="289" t="s">
        <v>60</v>
      </c>
      <c r="E220" s="290" t="s">
        <v>7246</v>
      </c>
      <c r="F220" s="289" t="s">
        <v>61</v>
      </c>
      <c r="G220" s="85" t="s">
        <v>63</v>
      </c>
      <c r="H220" s="85" t="s">
        <v>73</v>
      </c>
      <c r="I220" s="237">
        <v>14570000</v>
      </c>
      <c r="J220" s="290">
        <v>1</v>
      </c>
      <c r="K220" s="291">
        <v>2377000</v>
      </c>
      <c r="L220" s="291"/>
      <c r="M220" s="292">
        <f t="shared" si="9"/>
        <v>16947000</v>
      </c>
      <c r="N220" s="85">
        <v>1216966715</v>
      </c>
      <c r="O220" s="85" t="s">
        <v>7247</v>
      </c>
      <c r="P220" s="85" t="s">
        <v>7248</v>
      </c>
      <c r="Q220" s="293">
        <v>44952</v>
      </c>
      <c r="R220" s="293">
        <v>44952</v>
      </c>
      <c r="S220" s="293">
        <v>45084</v>
      </c>
      <c r="T220" s="293"/>
      <c r="U220" s="293"/>
      <c r="V220" s="293"/>
      <c r="W220" s="294">
        <v>45107</v>
      </c>
      <c r="X220" s="237">
        <v>16947000</v>
      </c>
      <c r="Y220" s="295">
        <f t="shared" si="10"/>
        <v>0</v>
      </c>
      <c r="Z220" s="296">
        <f t="shared" si="11"/>
        <v>1</v>
      </c>
      <c r="AA220" s="85">
        <v>1082889541</v>
      </c>
      <c r="AB220" s="85" t="s">
        <v>5388</v>
      </c>
      <c r="AC220" s="290" t="s">
        <v>196</v>
      </c>
      <c r="AD220" s="290" t="s">
        <v>196</v>
      </c>
      <c r="AE220" s="236"/>
      <c r="AF220" s="85" t="s">
        <v>7249</v>
      </c>
      <c r="AG220" s="290" t="s">
        <v>192</v>
      </c>
      <c r="AH220" s="290" t="s">
        <v>192</v>
      </c>
    </row>
    <row r="221" spans="1:34" s="297" customFormat="1" ht="15" customHeight="1" x14ac:dyDescent="0.25">
      <c r="A221" s="289">
        <v>891780111</v>
      </c>
      <c r="B221" s="289" t="s">
        <v>54</v>
      </c>
      <c r="C221" s="290" t="s">
        <v>56</v>
      </c>
      <c r="D221" s="289" t="s">
        <v>60</v>
      </c>
      <c r="E221" s="290" t="s">
        <v>7250</v>
      </c>
      <c r="F221" s="289" t="s">
        <v>61</v>
      </c>
      <c r="G221" s="85" t="s">
        <v>63</v>
      </c>
      <c r="H221" s="85" t="s">
        <v>73</v>
      </c>
      <c r="I221" s="237">
        <v>9120000</v>
      </c>
      <c r="J221" s="290">
        <v>1</v>
      </c>
      <c r="K221" s="291">
        <v>887000</v>
      </c>
      <c r="L221" s="291"/>
      <c r="M221" s="292">
        <f t="shared" si="9"/>
        <v>10007000</v>
      </c>
      <c r="N221" s="85">
        <v>36727735</v>
      </c>
      <c r="O221" s="85" t="s">
        <v>7251</v>
      </c>
      <c r="P221" s="85" t="s">
        <v>7252</v>
      </c>
      <c r="Q221" s="293">
        <v>44952</v>
      </c>
      <c r="R221" s="293">
        <v>44952</v>
      </c>
      <c r="S221" s="293">
        <v>45093</v>
      </c>
      <c r="T221" s="293"/>
      <c r="U221" s="293"/>
      <c r="V221" s="293"/>
      <c r="W221" s="294">
        <v>45107</v>
      </c>
      <c r="X221" s="237">
        <v>10007000</v>
      </c>
      <c r="Y221" s="295">
        <f t="shared" si="10"/>
        <v>0</v>
      </c>
      <c r="Z221" s="296">
        <f t="shared" si="11"/>
        <v>1</v>
      </c>
      <c r="AA221" s="85">
        <v>7633817</v>
      </c>
      <c r="AB221" s="85" t="s">
        <v>5425</v>
      </c>
      <c r="AC221" s="290" t="s">
        <v>196</v>
      </c>
      <c r="AD221" s="290" t="s">
        <v>196</v>
      </c>
      <c r="AE221" s="236"/>
      <c r="AF221" s="85" t="s">
        <v>7253</v>
      </c>
      <c r="AG221" s="290" t="s">
        <v>192</v>
      </c>
      <c r="AH221" s="290" t="s">
        <v>192</v>
      </c>
    </row>
    <row r="222" spans="1:34" s="297" customFormat="1" ht="15" customHeight="1" x14ac:dyDescent="0.25">
      <c r="A222" s="289">
        <v>891780111</v>
      </c>
      <c r="B222" s="289" t="s">
        <v>54</v>
      </c>
      <c r="C222" s="290" t="s">
        <v>56</v>
      </c>
      <c r="D222" s="289" t="s">
        <v>60</v>
      </c>
      <c r="E222" s="290" t="s">
        <v>7254</v>
      </c>
      <c r="F222" s="289" t="s">
        <v>61</v>
      </c>
      <c r="G222" s="85" t="s">
        <v>63</v>
      </c>
      <c r="H222" s="85" t="s">
        <v>73</v>
      </c>
      <c r="I222" s="237">
        <v>2500000</v>
      </c>
      <c r="J222" s="290"/>
      <c r="K222" s="291"/>
      <c r="L222" s="291"/>
      <c r="M222" s="292">
        <f t="shared" si="9"/>
        <v>2500000</v>
      </c>
      <c r="N222" s="85">
        <v>1082841917</v>
      </c>
      <c r="O222" s="85" t="s">
        <v>7255</v>
      </c>
      <c r="P222" s="85" t="s">
        <v>7256</v>
      </c>
      <c r="Q222" s="293">
        <v>44952</v>
      </c>
      <c r="R222" s="293">
        <v>44952</v>
      </c>
      <c r="S222" s="293">
        <v>44980</v>
      </c>
      <c r="T222" s="293"/>
      <c r="U222" s="293"/>
      <c r="V222" s="293"/>
      <c r="W222" s="294"/>
      <c r="X222" s="237">
        <v>2500000</v>
      </c>
      <c r="Y222" s="295">
        <f t="shared" si="10"/>
        <v>0</v>
      </c>
      <c r="Z222" s="296">
        <f t="shared" si="11"/>
        <v>1</v>
      </c>
      <c r="AA222" s="85">
        <v>1082868728</v>
      </c>
      <c r="AB222" s="85" t="s">
        <v>6010</v>
      </c>
      <c r="AC222" s="290" t="s">
        <v>196</v>
      </c>
      <c r="AD222" s="290" t="s">
        <v>196</v>
      </c>
      <c r="AE222" s="236"/>
      <c r="AF222" s="85" t="s">
        <v>7257</v>
      </c>
      <c r="AG222" s="290" t="s">
        <v>192</v>
      </c>
      <c r="AH222" s="290" t="s">
        <v>192</v>
      </c>
    </row>
    <row r="223" spans="1:34" s="297" customFormat="1" ht="15" customHeight="1" x14ac:dyDescent="0.25">
      <c r="A223" s="289">
        <v>891780111</v>
      </c>
      <c r="B223" s="289" t="s">
        <v>54</v>
      </c>
      <c r="C223" s="290" t="s">
        <v>56</v>
      </c>
      <c r="D223" s="289" t="s">
        <v>60</v>
      </c>
      <c r="E223" s="290" t="s">
        <v>7258</v>
      </c>
      <c r="F223" s="289" t="s">
        <v>61</v>
      </c>
      <c r="G223" s="85" t="s">
        <v>63</v>
      </c>
      <c r="H223" s="85" t="s">
        <v>73</v>
      </c>
      <c r="I223" s="237">
        <v>11073000</v>
      </c>
      <c r="J223" s="290">
        <v>1</v>
      </c>
      <c r="K223" s="291">
        <v>1027000.0000000001</v>
      </c>
      <c r="L223" s="291"/>
      <c r="M223" s="292">
        <f t="shared" si="9"/>
        <v>12100000</v>
      </c>
      <c r="N223" s="85">
        <v>1084727795</v>
      </c>
      <c r="O223" s="85" t="s">
        <v>7259</v>
      </c>
      <c r="P223" s="85" t="s">
        <v>6703</v>
      </c>
      <c r="Q223" s="293">
        <v>44952</v>
      </c>
      <c r="R223" s="293">
        <v>44952</v>
      </c>
      <c r="S223" s="293">
        <v>45093</v>
      </c>
      <c r="T223" s="293"/>
      <c r="U223" s="293"/>
      <c r="V223" s="293"/>
      <c r="W223" s="294">
        <v>45107</v>
      </c>
      <c r="X223" s="237">
        <v>12100000</v>
      </c>
      <c r="Y223" s="295">
        <f t="shared" si="10"/>
        <v>0</v>
      </c>
      <c r="Z223" s="296">
        <f t="shared" si="11"/>
        <v>1</v>
      </c>
      <c r="AA223" s="85">
        <v>85465146</v>
      </c>
      <c r="AB223" s="85" t="s">
        <v>6628</v>
      </c>
      <c r="AC223" s="290" t="s">
        <v>196</v>
      </c>
      <c r="AD223" s="290" t="s">
        <v>196</v>
      </c>
      <c r="AE223" s="236"/>
      <c r="AF223" s="85" t="s">
        <v>7260</v>
      </c>
      <c r="AG223" s="290" t="s">
        <v>192</v>
      </c>
      <c r="AH223" s="290" t="s">
        <v>192</v>
      </c>
    </row>
    <row r="224" spans="1:34" s="297" customFormat="1" ht="15" customHeight="1" x14ac:dyDescent="0.25">
      <c r="A224" s="289">
        <v>891780111</v>
      </c>
      <c r="B224" s="289" t="s">
        <v>54</v>
      </c>
      <c r="C224" s="290" t="s">
        <v>56</v>
      </c>
      <c r="D224" s="289" t="s">
        <v>60</v>
      </c>
      <c r="E224" s="290" t="s">
        <v>7261</v>
      </c>
      <c r="F224" s="289" t="s">
        <v>61</v>
      </c>
      <c r="G224" s="85" t="s">
        <v>63</v>
      </c>
      <c r="H224" s="85" t="s">
        <v>73</v>
      </c>
      <c r="I224" s="237">
        <v>11833000</v>
      </c>
      <c r="J224" s="290">
        <v>1</v>
      </c>
      <c r="K224" s="291">
        <v>4250000</v>
      </c>
      <c r="L224" s="291"/>
      <c r="M224" s="292">
        <f t="shared" si="9"/>
        <v>16083000</v>
      </c>
      <c r="N224" s="85">
        <v>84456169</v>
      </c>
      <c r="O224" s="85" t="s">
        <v>7262</v>
      </c>
      <c r="P224" s="85" t="s">
        <v>7263</v>
      </c>
      <c r="Q224" s="293">
        <v>44952</v>
      </c>
      <c r="R224" s="293">
        <v>44952</v>
      </c>
      <c r="S224" s="293">
        <v>45084</v>
      </c>
      <c r="T224" s="293"/>
      <c r="U224" s="293"/>
      <c r="V224" s="293"/>
      <c r="W224" s="294">
        <v>45105</v>
      </c>
      <c r="X224" s="237">
        <v>13750000</v>
      </c>
      <c r="Y224" s="295">
        <f t="shared" si="10"/>
        <v>2333000</v>
      </c>
      <c r="Z224" s="296">
        <f t="shared" si="11"/>
        <v>0.85493999875645088</v>
      </c>
      <c r="AA224" s="85">
        <v>45507423</v>
      </c>
      <c r="AB224" s="85" t="s">
        <v>6911</v>
      </c>
      <c r="AC224" s="290" t="s">
        <v>196</v>
      </c>
      <c r="AD224" s="290" t="s">
        <v>196</v>
      </c>
      <c r="AE224" s="236"/>
      <c r="AF224" s="85" t="s">
        <v>7264</v>
      </c>
      <c r="AG224" s="290" t="s">
        <v>192</v>
      </c>
      <c r="AH224" s="290" t="s">
        <v>192</v>
      </c>
    </row>
    <row r="225" spans="1:34" s="297" customFormat="1" ht="15" customHeight="1" x14ac:dyDescent="0.25">
      <c r="A225" s="289">
        <v>891780111</v>
      </c>
      <c r="B225" s="289" t="s">
        <v>54</v>
      </c>
      <c r="C225" s="290" t="s">
        <v>56</v>
      </c>
      <c r="D225" s="289" t="s">
        <v>60</v>
      </c>
      <c r="E225" s="290" t="s">
        <v>7265</v>
      </c>
      <c r="F225" s="289" t="s">
        <v>61</v>
      </c>
      <c r="G225" s="85" t="s">
        <v>63</v>
      </c>
      <c r="H225" s="85" t="s">
        <v>73</v>
      </c>
      <c r="I225" s="237">
        <v>15750000</v>
      </c>
      <c r="J225" s="290">
        <v>1</v>
      </c>
      <c r="K225" s="291">
        <v>1867000</v>
      </c>
      <c r="L225" s="291"/>
      <c r="M225" s="292">
        <f t="shared" si="9"/>
        <v>17617000</v>
      </c>
      <c r="N225" s="85">
        <v>57298641</v>
      </c>
      <c r="O225" s="85" t="s">
        <v>7266</v>
      </c>
      <c r="P225" s="85" t="s">
        <v>7267</v>
      </c>
      <c r="Q225" s="293">
        <v>44952</v>
      </c>
      <c r="R225" s="293">
        <v>44952</v>
      </c>
      <c r="S225" s="293">
        <v>45084</v>
      </c>
      <c r="T225" s="293"/>
      <c r="U225" s="293"/>
      <c r="V225" s="293"/>
      <c r="W225" s="294">
        <v>45100</v>
      </c>
      <c r="X225" s="237">
        <v>17617000</v>
      </c>
      <c r="Y225" s="295">
        <f t="shared" si="10"/>
        <v>0</v>
      </c>
      <c r="Z225" s="296">
        <f t="shared" si="11"/>
        <v>1</v>
      </c>
      <c r="AA225" s="85">
        <v>45507423</v>
      </c>
      <c r="AB225" s="85" t="s">
        <v>6911</v>
      </c>
      <c r="AC225" s="290" t="s">
        <v>196</v>
      </c>
      <c r="AD225" s="290" t="s">
        <v>196</v>
      </c>
      <c r="AE225" s="236"/>
      <c r="AF225" s="85" t="s">
        <v>7268</v>
      </c>
      <c r="AG225" s="290" t="s">
        <v>192</v>
      </c>
      <c r="AH225" s="290" t="s">
        <v>192</v>
      </c>
    </row>
    <row r="226" spans="1:34" s="297" customFormat="1" ht="15" customHeight="1" x14ac:dyDescent="0.25">
      <c r="A226" s="289">
        <v>891780111</v>
      </c>
      <c r="B226" s="289" t="s">
        <v>54</v>
      </c>
      <c r="C226" s="290" t="s">
        <v>56</v>
      </c>
      <c r="D226" s="289" t="s">
        <v>60</v>
      </c>
      <c r="E226" s="290" t="s">
        <v>7269</v>
      </c>
      <c r="F226" s="289" t="s">
        <v>61</v>
      </c>
      <c r="G226" s="85" t="s">
        <v>63</v>
      </c>
      <c r="H226" s="85" t="s">
        <v>73</v>
      </c>
      <c r="I226" s="237">
        <v>26520000</v>
      </c>
      <c r="J226" s="290">
        <v>1</v>
      </c>
      <c r="K226" s="291">
        <v>2380000</v>
      </c>
      <c r="L226" s="291"/>
      <c r="M226" s="292">
        <f t="shared" si="9"/>
        <v>28900000</v>
      </c>
      <c r="N226" s="85">
        <v>51807152</v>
      </c>
      <c r="O226" s="85" t="s">
        <v>7270</v>
      </c>
      <c r="P226" s="85" t="s">
        <v>7271</v>
      </c>
      <c r="Q226" s="293">
        <v>44952</v>
      </c>
      <c r="R226" s="293">
        <v>44952</v>
      </c>
      <c r="S226" s="293">
        <v>45093</v>
      </c>
      <c r="T226" s="293"/>
      <c r="U226" s="293"/>
      <c r="V226" s="293"/>
      <c r="W226" s="294">
        <v>45107</v>
      </c>
      <c r="X226" s="237">
        <v>28900000</v>
      </c>
      <c r="Y226" s="295">
        <f t="shared" si="10"/>
        <v>0</v>
      </c>
      <c r="Z226" s="296">
        <f t="shared" si="11"/>
        <v>1</v>
      </c>
      <c r="AA226" s="85">
        <v>85449357</v>
      </c>
      <c r="AB226" s="85" t="s">
        <v>6553</v>
      </c>
      <c r="AC226" s="290" t="s">
        <v>196</v>
      </c>
      <c r="AD226" s="290" t="s">
        <v>196</v>
      </c>
      <c r="AE226" s="236"/>
      <c r="AF226" s="85" t="s">
        <v>7272</v>
      </c>
      <c r="AG226" s="290" t="s">
        <v>192</v>
      </c>
      <c r="AH226" s="290" t="s">
        <v>192</v>
      </c>
    </row>
    <row r="227" spans="1:34" s="297" customFormat="1" ht="15" customHeight="1" x14ac:dyDescent="0.25">
      <c r="A227" s="289">
        <v>891780111</v>
      </c>
      <c r="B227" s="289" t="s">
        <v>54</v>
      </c>
      <c r="C227" s="290" t="s">
        <v>56</v>
      </c>
      <c r="D227" s="289" t="s">
        <v>60</v>
      </c>
      <c r="E227" s="290" t="s">
        <v>7273</v>
      </c>
      <c r="F227" s="289" t="s">
        <v>61</v>
      </c>
      <c r="G227" s="85" t="s">
        <v>63</v>
      </c>
      <c r="H227" s="85" t="s">
        <v>73</v>
      </c>
      <c r="I227" s="237">
        <v>12600000</v>
      </c>
      <c r="J227" s="290">
        <v>1</v>
      </c>
      <c r="K227" s="291">
        <v>1493000</v>
      </c>
      <c r="L227" s="291"/>
      <c r="M227" s="292">
        <f t="shared" si="9"/>
        <v>14093000</v>
      </c>
      <c r="N227" s="85">
        <v>57296816</v>
      </c>
      <c r="O227" s="85" t="s">
        <v>7274</v>
      </c>
      <c r="P227" s="85" t="s">
        <v>7275</v>
      </c>
      <c r="Q227" s="293">
        <v>44952</v>
      </c>
      <c r="R227" s="293">
        <v>44952</v>
      </c>
      <c r="S227" s="293">
        <v>45084</v>
      </c>
      <c r="T227" s="293"/>
      <c r="U227" s="293"/>
      <c r="V227" s="293"/>
      <c r="W227" s="294">
        <v>45100</v>
      </c>
      <c r="X227" s="237">
        <v>14093000</v>
      </c>
      <c r="Y227" s="295">
        <f t="shared" si="10"/>
        <v>0</v>
      </c>
      <c r="Z227" s="296">
        <f t="shared" si="11"/>
        <v>1</v>
      </c>
      <c r="AA227" s="85">
        <v>41947381</v>
      </c>
      <c r="AB227" s="85" t="s">
        <v>6440</v>
      </c>
      <c r="AC227" s="290" t="s">
        <v>196</v>
      </c>
      <c r="AD227" s="290" t="s">
        <v>196</v>
      </c>
      <c r="AE227" s="236"/>
      <c r="AF227" s="85" t="s">
        <v>7276</v>
      </c>
      <c r="AG227" s="290" t="s">
        <v>192</v>
      </c>
      <c r="AH227" s="290" t="s">
        <v>192</v>
      </c>
    </row>
    <row r="228" spans="1:34" s="297" customFormat="1" ht="15" customHeight="1" x14ac:dyDescent="0.25">
      <c r="A228" s="289">
        <v>891780111</v>
      </c>
      <c r="B228" s="289" t="s">
        <v>54</v>
      </c>
      <c r="C228" s="290" t="s">
        <v>56</v>
      </c>
      <c r="D228" s="289" t="s">
        <v>60</v>
      </c>
      <c r="E228" s="290" t="s">
        <v>7277</v>
      </c>
      <c r="F228" s="289" t="s">
        <v>61</v>
      </c>
      <c r="G228" s="85" t="s">
        <v>63</v>
      </c>
      <c r="H228" s="85" t="s">
        <v>73</v>
      </c>
      <c r="I228" s="237">
        <v>10413000</v>
      </c>
      <c r="J228" s="290"/>
      <c r="K228" s="291"/>
      <c r="L228" s="291"/>
      <c r="M228" s="292">
        <f t="shared" si="9"/>
        <v>10413000</v>
      </c>
      <c r="N228" s="85">
        <v>1082976415</v>
      </c>
      <c r="O228" s="85" t="s">
        <v>7278</v>
      </c>
      <c r="P228" s="85" t="s">
        <v>7279</v>
      </c>
      <c r="Q228" s="293">
        <v>44952</v>
      </c>
      <c r="R228" s="293">
        <v>44952</v>
      </c>
      <c r="S228" s="293">
        <v>45084</v>
      </c>
      <c r="T228" s="293"/>
      <c r="U228" s="293"/>
      <c r="V228" s="293"/>
      <c r="W228" s="294"/>
      <c r="X228" s="237">
        <v>10413000</v>
      </c>
      <c r="Y228" s="295">
        <f t="shared" si="10"/>
        <v>0</v>
      </c>
      <c r="Z228" s="296">
        <f t="shared" si="11"/>
        <v>1</v>
      </c>
      <c r="AA228" s="85">
        <v>85152695</v>
      </c>
      <c r="AB228" s="85" t="s">
        <v>6984</v>
      </c>
      <c r="AC228" s="290" t="s">
        <v>196</v>
      </c>
      <c r="AD228" s="290" t="s">
        <v>196</v>
      </c>
      <c r="AE228" s="236"/>
      <c r="AF228" s="85" t="s">
        <v>7280</v>
      </c>
      <c r="AG228" s="290" t="s">
        <v>192</v>
      </c>
      <c r="AH228" s="290" t="s">
        <v>192</v>
      </c>
    </row>
    <row r="229" spans="1:34" s="297" customFormat="1" ht="15" customHeight="1" x14ac:dyDescent="0.25">
      <c r="A229" s="289">
        <v>891780111</v>
      </c>
      <c r="B229" s="289" t="s">
        <v>54</v>
      </c>
      <c r="C229" s="290" t="s">
        <v>56</v>
      </c>
      <c r="D229" s="289" t="s">
        <v>60</v>
      </c>
      <c r="E229" s="290" t="s">
        <v>7281</v>
      </c>
      <c r="F229" s="289" t="s">
        <v>61</v>
      </c>
      <c r="G229" s="85" t="s">
        <v>63</v>
      </c>
      <c r="H229" s="85" t="s">
        <v>73</v>
      </c>
      <c r="I229" s="237">
        <v>17000000</v>
      </c>
      <c r="J229" s="290">
        <v>1</v>
      </c>
      <c r="K229" s="291">
        <v>1587000</v>
      </c>
      <c r="L229" s="291"/>
      <c r="M229" s="292">
        <f t="shared" si="9"/>
        <v>18587000</v>
      </c>
      <c r="N229" s="85">
        <v>1082977841</v>
      </c>
      <c r="O229" s="85" t="s">
        <v>7282</v>
      </c>
      <c r="P229" s="85" t="s">
        <v>7283</v>
      </c>
      <c r="Q229" s="293">
        <v>44952</v>
      </c>
      <c r="R229" s="293">
        <v>44952</v>
      </c>
      <c r="S229" s="293">
        <v>45093</v>
      </c>
      <c r="T229" s="293"/>
      <c r="U229" s="293"/>
      <c r="V229" s="293"/>
      <c r="W229" s="294">
        <v>45100</v>
      </c>
      <c r="X229" s="237">
        <v>18587000</v>
      </c>
      <c r="Y229" s="295">
        <f t="shared" si="10"/>
        <v>0</v>
      </c>
      <c r="Z229" s="296">
        <f t="shared" si="11"/>
        <v>1</v>
      </c>
      <c r="AA229" s="85">
        <v>85460304</v>
      </c>
      <c r="AB229" s="85" t="s">
        <v>7284</v>
      </c>
      <c r="AC229" s="290" t="s">
        <v>196</v>
      </c>
      <c r="AD229" s="290" t="s">
        <v>196</v>
      </c>
      <c r="AE229" s="236"/>
      <c r="AF229" s="85" t="s">
        <v>7285</v>
      </c>
      <c r="AG229" s="290" t="s">
        <v>192</v>
      </c>
      <c r="AH229" s="290" t="s">
        <v>192</v>
      </c>
    </row>
    <row r="230" spans="1:34" s="297" customFormat="1" ht="15" customHeight="1" x14ac:dyDescent="0.25">
      <c r="A230" s="289">
        <v>891780111</v>
      </c>
      <c r="B230" s="289" t="s">
        <v>54</v>
      </c>
      <c r="C230" s="290" t="s">
        <v>56</v>
      </c>
      <c r="D230" s="289" t="s">
        <v>60</v>
      </c>
      <c r="E230" s="290" t="s">
        <v>7286</v>
      </c>
      <c r="F230" s="289" t="s">
        <v>61</v>
      </c>
      <c r="G230" s="85" t="s">
        <v>63</v>
      </c>
      <c r="H230" s="85" t="s">
        <v>73</v>
      </c>
      <c r="I230" s="237">
        <v>13253000</v>
      </c>
      <c r="J230" s="290">
        <v>1</v>
      </c>
      <c r="K230" s="291">
        <v>2147000</v>
      </c>
      <c r="L230" s="291"/>
      <c r="M230" s="292">
        <f t="shared" si="9"/>
        <v>15400000</v>
      </c>
      <c r="N230" s="85">
        <v>1122812358</v>
      </c>
      <c r="O230" s="85" t="s">
        <v>7287</v>
      </c>
      <c r="P230" s="85" t="s">
        <v>7288</v>
      </c>
      <c r="Q230" s="293">
        <v>44952</v>
      </c>
      <c r="R230" s="293">
        <v>44952</v>
      </c>
      <c r="S230" s="293">
        <v>45084</v>
      </c>
      <c r="T230" s="293"/>
      <c r="U230" s="293"/>
      <c r="V230" s="293"/>
      <c r="W230" s="294">
        <v>45100</v>
      </c>
      <c r="X230" s="237">
        <v>15400000</v>
      </c>
      <c r="Y230" s="295">
        <f t="shared" si="10"/>
        <v>0</v>
      </c>
      <c r="Z230" s="296">
        <f t="shared" si="11"/>
        <v>1</v>
      </c>
      <c r="AA230" s="85">
        <v>79732773</v>
      </c>
      <c r="AB230" s="85" t="s">
        <v>5304</v>
      </c>
      <c r="AC230" s="290" t="s">
        <v>196</v>
      </c>
      <c r="AD230" s="290" t="s">
        <v>196</v>
      </c>
      <c r="AE230" s="236"/>
      <c r="AF230" s="85" t="s">
        <v>7289</v>
      </c>
      <c r="AG230" s="290" t="s">
        <v>192</v>
      </c>
      <c r="AH230" s="290" t="s">
        <v>192</v>
      </c>
    </row>
    <row r="231" spans="1:34" s="297" customFormat="1" ht="15" customHeight="1" x14ac:dyDescent="0.25">
      <c r="A231" s="289">
        <v>891780111</v>
      </c>
      <c r="B231" s="289" t="s">
        <v>54</v>
      </c>
      <c r="C231" s="290" t="s">
        <v>56</v>
      </c>
      <c r="D231" s="289" t="s">
        <v>60</v>
      </c>
      <c r="E231" s="290" t="s">
        <v>7290</v>
      </c>
      <c r="F231" s="289" t="s">
        <v>61</v>
      </c>
      <c r="G231" s="85" t="s">
        <v>63</v>
      </c>
      <c r="H231" s="85" t="s">
        <v>73</v>
      </c>
      <c r="I231" s="237">
        <v>2500000</v>
      </c>
      <c r="J231" s="290"/>
      <c r="K231" s="291"/>
      <c r="L231" s="291"/>
      <c r="M231" s="292">
        <f t="shared" si="9"/>
        <v>2500000</v>
      </c>
      <c r="N231" s="85">
        <v>1082984067</v>
      </c>
      <c r="O231" s="85" t="s">
        <v>7291</v>
      </c>
      <c r="P231" s="85" t="s">
        <v>7292</v>
      </c>
      <c r="Q231" s="293">
        <v>44952</v>
      </c>
      <c r="R231" s="293">
        <v>44952</v>
      </c>
      <c r="S231" s="293">
        <v>44980</v>
      </c>
      <c r="T231" s="293"/>
      <c r="U231" s="293"/>
      <c r="V231" s="293"/>
      <c r="W231" s="294"/>
      <c r="X231" s="237">
        <v>2500000</v>
      </c>
      <c r="Y231" s="295">
        <f t="shared" si="10"/>
        <v>0</v>
      </c>
      <c r="Z231" s="296">
        <f t="shared" si="11"/>
        <v>1</v>
      </c>
      <c r="AA231" s="85">
        <v>1082868728</v>
      </c>
      <c r="AB231" s="85" t="s">
        <v>6010</v>
      </c>
      <c r="AC231" s="290" t="s">
        <v>196</v>
      </c>
      <c r="AD231" s="290" t="s">
        <v>196</v>
      </c>
      <c r="AE231" s="236"/>
      <c r="AF231" s="85" t="s">
        <v>7293</v>
      </c>
      <c r="AG231" s="290" t="s">
        <v>192</v>
      </c>
      <c r="AH231" s="290" t="s">
        <v>192</v>
      </c>
    </row>
    <row r="232" spans="1:34" s="297" customFormat="1" ht="15" customHeight="1" x14ac:dyDescent="0.25">
      <c r="A232" s="289">
        <v>891780111</v>
      </c>
      <c r="B232" s="289" t="s">
        <v>54</v>
      </c>
      <c r="C232" s="290" t="s">
        <v>56</v>
      </c>
      <c r="D232" s="289" t="s">
        <v>60</v>
      </c>
      <c r="E232" s="290" t="s">
        <v>7294</v>
      </c>
      <c r="F232" s="289" t="s">
        <v>61</v>
      </c>
      <c r="G232" s="85" t="s">
        <v>63</v>
      </c>
      <c r="H232" s="85" t="s">
        <v>73</v>
      </c>
      <c r="I232" s="237">
        <v>24750000</v>
      </c>
      <c r="J232" s="290"/>
      <c r="K232" s="291"/>
      <c r="L232" s="291"/>
      <c r="M232" s="292">
        <f t="shared" si="9"/>
        <v>24750000</v>
      </c>
      <c r="N232" s="85">
        <v>63315351</v>
      </c>
      <c r="O232" s="85" t="s">
        <v>7295</v>
      </c>
      <c r="P232" s="85" t="s">
        <v>7296</v>
      </c>
      <c r="Q232" s="293">
        <v>44952</v>
      </c>
      <c r="R232" s="293">
        <v>44952</v>
      </c>
      <c r="S232" s="293">
        <v>45084</v>
      </c>
      <c r="T232" s="293"/>
      <c r="U232" s="293"/>
      <c r="V232" s="293"/>
      <c r="W232" s="294"/>
      <c r="X232" s="237">
        <v>24750000</v>
      </c>
      <c r="Y232" s="295">
        <f t="shared" si="10"/>
        <v>0</v>
      </c>
      <c r="Z232" s="296">
        <f t="shared" si="11"/>
        <v>1</v>
      </c>
      <c r="AA232" s="85">
        <v>41947381</v>
      </c>
      <c r="AB232" s="85" t="s">
        <v>6440</v>
      </c>
      <c r="AC232" s="290" t="s">
        <v>196</v>
      </c>
      <c r="AD232" s="290" t="s">
        <v>196</v>
      </c>
      <c r="AE232" s="236"/>
      <c r="AF232" s="85" t="s">
        <v>7297</v>
      </c>
      <c r="AG232" s="290" t="s">
        <v>192</v>
      </c>
      <c r="AH232" s="290" t="s">
        <v>192</v>
      </c>
    </row>
    <row r="233" spans="1:34" s="297" customFormat="1" ht="15" customHeight="1" x14ac:dyDescent="0.25">
      <c r="A233" s="289">
        <v>891780111</v>
      </c>
      <c r="B233" s="289" t="s">
        <v>54</v>
      </c>
      <c r="C233" s="290" t="s">
        <v>56</v>
      </c>
      <c r="D233" s="289" t="s">
        <v>60</v>
      </c>
      <c r="E233" s="290" t="s">
        <v>7298</v>
      </c>
      <c r="F233" s="289" t="s">
        <v>61</v>
      </c>
      <c r="G233" s="85" t="s">
        <v>63</v>
      </c>
      <c r="H233" s="85" t="s">
        <v>73</v>
      </c>
      <c r="I233" s="237">
        <v>8993000</v>
      </c>
      <c r="J233" s="290">
        <v>1</v>
      </c>
      <c r="K233" s="291">
        <v>1457000</v>
      </c>
      <c r="L233" s="291"/>
      <c r="M233" s="292">
        <f t="shared" si="9"/>
        <v>10450000</v>
      </c>
      <c r="N233" s="85">
        <v>19517646</v>
      </c>
      <c r="O233" s="85" t="s">
        <v>7299</v>
      </c>
      <c r="P233" s="85" t="s">
        <v>7300</v>
      </c>
      <c r="Q233" s="293">
        <v>44952</v>
      </c>
      <c r="R233" s="293">
        <v>44952</v>
      </c>
      <c r="S233" s="293">
        <v>45084</v>
      </c>
      <c r="T233" s="293"/>
      <c r="U233" s="293"/>
      <c r="V233" s="293">
        <v>45107</v>
      </c>
      <c r="W233" s="294"/>
      <c r="X233" s="237">
        <v>10450000</v>
      </c>
      <c r="Y233" s="295">
        <f t="shared" si="10"/>
        <v>0</v>
      </c>
      <c r="Z233" s="296">
        <f t="shared" si="11"/>
        <v>1</v>
      </c>
      <c r="AA233" s="85">
        <v>85152695</v>
      </c>
      <c r="AB233" s="85" t="s">
        <v>6984</v>
      </c>
      <c r="AC233" s="290" t="s">
        <v>196</v>
      </c>
      <c r="AD233" s="290" t="s">
        <v>196</v>
      </c>
      <c r="AE233" s="236"/>
      <c r="AF233" s="85" t="s">
        <v>7301</v>
      </c>
      <c r="AG233" s="290" t="s">
        <v>192</v>
      </c>
      <c r="AH233" s="290" t="s">
        <v>192</v>
      </c>
    </row>
    <row r="234" spans="1:34" s="297" customFormat="1" ht="15" customHeight="1" x14ac:dyDescent="0.25">
      <c r="A234" s="289">
        <v>891780111</v>
      </c>
      <c r="B234" s="289" t="s">
        <v>54</v>
      </c>
      <c r="C234" s="290" t="s">
        <v>56</v>
      </c>
      <c r="D234" s="289" t="s">
        <v>60</v>
      </c>
      <c r="E234" s="290" t="s">
        <v>7302</v>
      </c>
      <c r="F234" s="289" t="s">
        <v>61</v>
      </c>
      <c r="G234" s="85" t="s">
        <v>63</v>
      </c>
      <c r="H234" s="85" t="s">
        <v>73</v>
      </c>
      <c r="I234" s="237">
        <v>17000000</v>
      </c>
      <c r="J234" s="290">
        <v>1</v>
      </c>
      <c r="K234" s="291">
        <v>1587000</v>
      </c>
      <c r="L234" s="291"/>
      <c r="M234" s="292">
        <f t="shared" si="9"/>
        <v>18587000</v>
      </c>
      <c r="N234" s="85">
        <v>1004370372</v>
      </c>
      <c r="O234" s="85" t="s">
        <v>7303</v>
      </c>
      <c r="P234" s="85" t="s">
        <v>7304</v>
      </c>
      <c r="Q234" s="293">
        <v>44952</v>
      </c>
      <c r="R234" s="293">
        <v>44952</v>
      </c>
      <c r="S234" s="293">
        <v>45093</v>
      </c>
      <c r="T234" s="293"/>
      <c r="U234" s="293"/>
      <c r="V234" s="293">
        <v>45107</v>
      </c>
      <c r="W234" s="294"/>
      <c r="X234" s="237">
        <v>18587000</v>
      </c>
      <c r="Y234" s="295">
        <f t="shared" si="10"/>
        <v>0</v>
      </c>
      <c r="Z234" s="296">
        <f t="shared" si="11"/>
        <v>1</v>
      </c>
      <c r="AA234" s="85">
        <v>85460304</v>
      </c>
      <c r="AB234" s="85" t="s">
        <v>7284</v>
      </c>
      <c r="AC234" s="290" t="s">
        <v>196</v>
      </c>
      <c r="AD234" s="290" t="s">
        <v>196</v>
      </c>
      <c r="AE234" s="236"/>
      <c r="AF234" s="85" t="s">
        <v>7305</v>
      </c>
      <c r="AG234" s="290" t="s">
        <v>192</v>
      </c>
      <c r="AH234" s="290" t="s">
        <v>192</v>
      </c>
    </row>
    <row r="235" spans="1:34" s="297" customFormat="1" ht="15" customHeight="1" x14ac:dyDescent="0.25">
      <c r="A235" s="289">
        <v>891780111</v>
      </c>
      <c r="B235" s="289" t="s">
        <v>54</v>
      </c>
      <c r="C235" s="290" t="s">
        <v>56</v>
      </c>
      <c r="D235" s="289" t="s">
        <v>60</v>
      </c>
      <c r="E235" s="290" t="s">
        <v>7306</v>
      </c>
      <c r="F235" s="289" t="s">
        <v>61</v>
      </c>
      <c r="G235" s="85" t="s">
        <v>63</v>
      </c>
      <c r="H235" s="85" t="s">
        <v>73</v>
      </c>
      <c r="I235" s="237">
        <v>13253000</v>
      </c>
      <c r="J235" s="290"/>
      <c r="K235" s="291"/>
      <c r="L235" s="291"/>
      <c r="M235" s="292">
        <f t="shared" si="9"/>
        <v>13253000</v>
      </c>
      <c r="N235" s="85">
        <v>1082982732</v>
      </c>
      <c r="O235" s="85" t="s">
        <v>7307</v>
      </c>
      <c r="P235" s="85" t="s">
        <v>7308</v>
      </c>
      <c r="Q235" s="293">
        <v>44952</v>
      </c>
      <c r="R235" s="293">
        <v>44952</v>
      </c>
      <c r="S235" s="293">
        <v>45084</v>
      </c>
      <c r="T235" s="293" t="s">
        <v>192</v>
      </c>
      <c r="U235" s="293">
        <v>44993</v>
      </c>
      <c r="V235" s="293">
        <v>45115</v>
      </c>
      <c r="W235" s="294"/>
      <c r="X235" s="237">
        <v>4200000</v>
      </c>
      <c r="Y235" s="295">
        <f t="shared" si="10"/>
        <v>9053000</v>
      </c>
      <c r="Z235" s="296">
        <f t="shared" si="11"/>
        <v>0.31690937900852639</v>
      </c>
      <c r="AA235" s="85">
        <v>57461216</v>
      </c>
      <c r="AB235" s="85" t="s">
        <v>6512</v>
      </c>
      <c r="AC235" s="290" t="s">
        <v>196</v>
      </c>
      <c r="AD235" s="290" t="s">
        <v>196</v>
      </c>
      <c r="AE235" s="236"/>
      <c r="AF235" s="85" t="s">
        <v>7309</v>
      </c>
      <c r="AG235" s="290" t="s">
        <v>192</v>
      </c>
      <c r="AH235" s="290" t="s">
        <v>192</v>
      </c>
    </row>
    <row r="236" spans="1:34" s="297" customFormat="1" ht="15" customHeight="1" x14ac:dyDescent="0.25">
      <c r="A236" s="289">
        <v>891780111</v>
      </c>
      <c r="B236" s="289" t="s">
        <v>54</v>
      </c>
      <c r="C236" s="290" t="s">
        <v>56</v>
      </c>
      <c r="D236" s="289" t="s">
        <v>60</v>
      </c>
      <c r="E236" s="290" t="s">
        <v>7310</v>
      </c>
      <c r="F236" s="289" t="s">
        <v>61</v>
      </c>
      <c r="G236" s="85" t="s">
        <v>63</v>
      </c>
      <c r="H236" s="85" t="s">
        <v>73</v>
      </c>
      <c r="I236" s="237">
        <v>13160000</v>
      </c>
      <c r="J236" s="290">
        <v>1</v>
      </c>
      <c r="K236" s="291">
        <v>2147000</v>
      </c>
      <c r="L236" s="291"/>
      <c r="M236" s="292">
        <f t="shared" si="9"/>
        <v>15307000</v>
      </c>
      <c r="N236" s="85">
        <v>1082973181</v>
      </c>
      <c r="O236" s="85" t="s">
        <v>7311</v>
      </c>
      <c r="P236" s="85" t="s">
        <v>7312</v>
      </c>
      <c r="Q236" s="293">
        <v>44952</v>
      </c>
      <c r="R236" s="293">
        <v>44952</v>
      </c>
      <c r="S236" s="293">
        <v>45084</v>
      </c>
      <c r="T236" s="293"/>
      <c r="U236" s="293"/>
      <c r="V236" s="293"/>
      <c r="W236" s="294">
        <v>45107</v>
      </c>
      <c r="X236" s="237">
        <v>15307000</v>
      </c>
      <c r="Y236" s="295">
        <f t="shared" si="10"/>
        <v>0</v>
      </c>
      <c r="Z236" s="296">
        <f t="shared" si="11"/>
        <v>1</v>
      </c>
      <c r="AA236" s="85">
        <v>12548945</v>
      </c>
      <c r="AB236" s="85" t="s">
        <v>6925</v>
      </c>
      <c r="AC236" s="290" t="s">
        <v>196</v>
      </c>
      <c r="AD236" s="290" t="s">
        <v>196</v>
      </c>
      <c r="AE236" s="236"/>
      <c r="AF236" s="85" t="s">
        <v>7313</v>
      </c>
      <c r="AG236" s="290" t="s">
        <v>192</v>
      </c>
      <c r="AH236" s="290" t="s">
        <v>192</v>
      </c>
    </row>
    <row r="237" spans="1:34" s="297" customFormat="1" ht="15" customHeight="1" x14ac:dyDescent="0.25">
      <c r="A237" s="289">
        <v>891780111</v>
      </c>
      <c r="B237" s="289" t="s">
        <v>54</v>
      </c>
      <c r="C237" s="290" t="s">
        <v>56</v>
      </c>
      <c r="D237" s="289" t="s">
        <v>60</v>
      </c>
      <c r="E237" s="290" t="s">
        <v>7314</v>
      </c>
      <c r="F237" s="289" t="s">
        <v>61</v>
      </c>
      <c r="G237" s="85" t="s">
        <v>63</v>
      </c>
      <c r="H237" s="85" t="s">
        <v>73</v>
      </c>
      <c r="I237" s="237">
        <v>13253000</v>
      </c>
      <c r="J237" s="290">
        <v>1</v>
      </c>
      <c r="K237" s="291">
        <v>2147000</v>
      </c>
      <c r="L237" s="291"/>
      <c r="M237" s="292">
        <f t="shared" si="9"/>
        <v>15400000</v>
      </c>
      <c r="N237" s="85">
        <v>1082904561</v>
      </c>
      <c r="O237" s="85" t="s">
        <v>7315</v>
      </c>
      <c r="P237" s="85" t="s">
        <v>7316</v>
      </c>
      <c r="Q237" s="293">
        <v>44952</v>
      </c>
      <c r="R237" s="293">
        <v>44952</v>
      </c>
      <c r="S237" s="293">
        <v>45084</v>
      </c>
      <c r="T237" s="293"/>
      <c r="U237" s="293"/>
      <c r="V237" s="293"/>
      <c r="W237" s="294">
        <v>45107</v>
      </c>
      <c r="X237" s="237">
        <v>14747000</v>
      </c>
      <c r="Y237" s="295">
        <f t="shared" si="10"/>
        <v>653000</v>
      </c>
      <c r="Z237" s="296">
        <f t="shared" si="11"/>
        <v>0.95759740259740256</v>
      </c>
      <c r="AA237" s="85">
        <v>72255882</v>
      </c>
      <c r="AB237" s="85" t="s">
        <v>7317</v>
      </c>
      <c r="AC237" s="290" t="s">
        <v>196</v>
      </c>
      <c r="AD237" s="290" t="s">
        <v>196</v>
      </c>
      <c r="AE237" s="236"/>
      <c r="AF237" s="85" t="s">
        <v>7318</v>
      </c>
      <c r="AG237" s="290" t="s">
        <v>192</v>
      </c>
      <c r="AH237" s="290" t="s">
        <v>192</v>
      </c>
    </row>
    <row r="238" spans="1:34" s="297" customFormat="1" ht="15" customHeight="1" x14ac:dyDescent="0.25">
      <c r="A238" s="289">
        <v>891780111</v>
      </c>
      <c r="B238" s="289" t="s">
        <v>54</v>
      </c>
      <c r="C238" s="290" t="s">
        <v>56</v>
      </c>
      <c r="D238" s="289" t="s">
        <v>60</v>
      </c>
      <c r="E238" s="290" t="s">
        <v>7319</v>
      </c>
      <c r="F238" s="289" t="s">
        <v>61</v>
      </c>
      <c r="G238" s="85" t="s">
        <v>63</v>
      </c>
      <c r="H238" s="85" t="s">
        <v>73</v>
      </c>
      <c r="I238" s="237">
        <v>9943000</v>
      </c>
      <c r="J238" s="290">
        <v>1</v>
      </c>
      <c r="K238" s="291">
        <v>887000</v>
      </c>
      <c r="L238" s="291"/>
      <c r="M238" s="292">
        <f t="shared" si="9"/>
        <v>10830000</v>
      </c>
      <c r="N238" s="85">
        <v>1082963378</v>
      </c>
      <c r="O238" s="85" t="s">
        <v>7320</v>
      </c>
      <c r="P238" s="85" t="s">
        <v>7321</v>
      </c>
      <c r="Q238" s="293">
        <v>44952</v>
      </c>
      <c r="R238" s="293">
        <v>44952</v>
      </c>
      <c r="S238" s="293">
        <v>45093</v>
      </c>
      <c r="T238" s="293"/>
      <c r="U238" s="293"/>
      <c r="V238" s="293"/>
      <c r="W238" s="294">
        <v>45107</v>
      </c>
      <c r="X238" s="237">
        <v>10830000</v>
      </c>
      <c r="Y238" s="295">
        <f t="shared" si="10"/>
        <v>0</v>
      </c>
      <c r="Z238" s="296">
        <f t="shared" si="11"/>
        <v>1</v>
      </c>
      <c r="AA238" s="85">
        <v>7631392</v>
      </c>
      <c r="AB238" s="85" t="s">
        <v>6633</v>
      </c>
      <c r="AC238" s="290" t="s">
        <v>196</v>
      </c>
      <c r="AD238" s="290" t="s">
        <v>196</v>
      </c>
      <c r="AE238" s="236"/>
      <c r="AF238" s="85" t="s">
        <v>7322</v>
      </c>
      <c r="AG238" s="290" t="s">
        <v>192</v>
      </c>
      <c r="AH238" s="290" t="s">
        <v>192</v>
      </c>
    </row>
    <row r="239" spans="1:34" s="297" customFormat="1" ht="15" customHeight="1" x14ac:dyDescent="0.25">
      <c r="A239" s="289">
        <v>891780111</v>
      </c>
      <c r="B239" s="289" t="s">
        <v>54</v>
      </c>
      <c r="C239" s="290" t="s">
        <v>56</v>
      </c>
      <c r="D239" s="289" t="s">
        <v>60</v>
      </c>
      <c r="E239" s="290" t="s">
        <v>7323</v>
      </c>
      <c r="F239" s="289" t="s">
        <v>61</v>
      </c>
      <c r="G239" s="85" t="s">
        <v>63</v>
      </c>
      <c r="H239" s="85" t="s">
        <v>73</v>
      </c>
      <c r="I239" s="237">
        <v>11833000</v>
      </c>
      <c r="J239" s="290">
        <v>1</v>
      </c>
      <c r="K239" s="291">
        <v>4250000</v>
      </c>
      <c r="L239" s="291"/>
      <c r="M239" s="292">
        <f t="shared" si="9"/>
        <v>16083000</v>
      </c>
      <c r="N239" s="85">
        <v>84454876</v>
      </c>
      <c r="O239" s="85" t="s">
        <v>7324</v>
      </c>
      <c r="P239" s="85" t="s">
        <v>7325</v>
      </c>
      <c r="Q239" s="293">
        <v>44952</v>
      </c>
      <c r="R239" s="293">
        <v>44952</v>
      </c>
      <c r="S239" s="293">
        <v>45084</v>
      </c>
      <c r="T239" s="293"/>
      <c r="U239" s="293"/>
      <c r="V239" s="293"/>
      <c r="W239" s="294">
        <v>45105</v>
      </c>
      <c r="X239" s="237">
        <v>13750000</v>
      </c>
      <c r="Y239" s="295">
        <f t="shared" si="10"/>
        <v>2333000</v>
      </c>
      <c r="Z239" s="296">
        <f t="shared" si="11"/>
        <v>0.85493999875645088</v>
      </c>
      <c r="AA239" s="85">
        <v>45507423</v>
      </c>
      <c r="AB239" s="85" t="s">
        <v>6911</v>
      </c>
      <c r="AC239" s="290" t="s">
        <v>196</v>
      </c>
      <c r="AD239" s="290" t="s">
        <v>196</v>
      </c>
      <c r="AE239" s="236"/>
      <c r="AF239" s="85" t="s">
        <v>7326</v>
      </c>
      <c r="AG239" s="290" t="s">
        <v>192</v>
      </c>
      <c r="AH239" s="290" t="s">
        <v>192</v>
      </c>
    </row>
    <row r="240" spans="1:34" s="297" customFormat="1" ht="15" customHeight="1" x14ac:dyDescent="0.25">
      <c r="A240" s="289">
        <v>891780111</v>
      </c>
      <c r="B240" s="289" t="s">
        <v>54</v>
      </c>
      <c r="C240" s="290" t="s">
        <v>56</v>
      </c>
      <c r="D240" s="289" t="s">
        <v>60</v>
      </c>
      <c r="E240" s="290" t="s">
        <v>7327</v>
      </c>
      <c r="F240" s="289" t="s">
        <v>61</v>
      </c>
      <c r="G240" s="85" t="s">
        <v>63</v>
      </c>
      <c r="H240" s="85" t="s">
        <v>73</v>
      </c>
      <c r="I240" s="237">
        <v>11833000</v>
      </c>
      <c r="J240" s="290">
        <v>1</v>
      </c>
      <c r="K240" s="291">
        <v>1917000</v>
      </c>
      <c r="L240" s="291"/>
      <c r="M240" s="292">
        <f t="shared" si="9"/>
        <v>13750000</v>
      </c>
      <c r="N240" s="85">
        <v>1082946247</v>
      </c>
      <c r="O240" s="85" t="s">
        <v>7328</v>
      </c>
      <c r="P240" s="85" t="s">
        <v>7329</v>
      </c>
      <c r="Q240" s="293">
        <v>44952</v>
      </c>
      <c r="R240" s="293">
        <v>44952</v>
      </c>
      <c r="S240" s="293">
        <v>45084</v>
      </c>
      <c r="T240" s="293"/>
      <c r="U240" s="293"/>
      <c r="V240" s="293"/>
      <c r="W240" s="294">
        <v>45107</v>
      </c>
      <c r="X240" s="237">
        <v>13750000</v>
      </c>
      <c r="Y240" s="295">
        <f t="shared" si="10"/>
        <v>0</v>
      </c>
      <c r="Z240" s="296">
        <f t="shared" si="11"/>
        <v>1</v>
      </c>
      <c r="AA240" s="85">
        <v>85152695</v>
      </c>
      <c r="AB240" s="85" t="s">
        <v>6984</v>
      </c>
      <c r="AC240" s="290" t="s">
        <v>196</v>
      </c>
      <c r="AD240" s="290" t="s">
        <v>196</v>
      </c>
      <c r="AE240" s="236"/>
      <c r="AF240" s="85" t="s">
        <v>7330</v>
      </c>
      <c r="AG240" s="290" t="s">
        <v>192</v>
      </c>
      <c r="AH240" s="290" t="s">
        <v>192</v>
      </c>
    </row>
    <row r="241" spans="1:34" s="297" customFormat="1" ht="15" customHeight="1" x14ac:dyDescent="0.25">
      <c r="A241" s="289">
        <v>891780111</v>
      </c>
      <c r="B241" s="289" t="s">
        <v>54</v>
      </c>
      <c r="C241" s="290" t="s">
        <v>59</v>
      </c>
      <c r="D241" s="289" t="s">
        <v>60</v>
      </c>
      <c r="E241" s="290" t="s">
        <v>7331</v>
      </c>
      <c r="F241" s="289" t="s">
        <v>61</v>
      </c>
      <c r="G241" s="85" t="s">
        <v>63</v>
      </c>
      <c r="H241" s="85" t="s">
        <v>73</v>
      </c>
      <c r="I241" s="237">
        <v>23800000</v>
      </c>
      <c r="J241" s="290"/>
      <c r="K241" s="291"/>
      <c r="L241" s="291"/>
      <c r="M241" s="292">
        <f t="shared" si="9"/>
        <v>23800000</v>
      </c>
      <c r="N241" s="85">
        <v>1082909211</v>
      </c>
      <c r="O241" s="85" t="s">
        <v>7332</v>
      </c>
      <c r="P241" s="85" t="s">
        <v>7333</v>
      </c>
      <c r="Q241" s="293">
        <v>44953</v>
      </c>
      <c r="R241" s="293">
        <v>44953</v>
      </c>
      <c r="S241" s="293">
        <v>45138</v>
      </c>
      <c r="T241" s="293"/>
      <c r="U241" s="293"/>
      <c r="V241" s="293"/>
      <c r="W241" s="294"/>
      <c r="X241" s="237">
        <v>20400000</v>
      </c>
      <c r="Y241" s="295">
        <f t="shared" si="10"/>
        <v>3400000</v>
      </c>
      <c r="Z241" s="296">
        <f t="shared" si="11"/>
        <v>0.8571428571428571</v>
      </c>
      <c r="AA241" s="85">
        <v>1082870070</v>
      </c>
      <c r="AB241" s="85" t="s">
        <v>7163</v>
      </c>
      <c r="AC241" s="290" t="s">
        <v>196</v>
      </c>
      <c r="AD241" s="290" t="s">
        <v>196</v>
      </c>
      <c r="AE241" s="236"/>
      <c r="AF241" s="85" t="s">
        <v>7334</v>
      </c>
      <c r="AG241" s="290" t="s">
        <v>192</v>
      </c>
      <c r="AH241" s="290" t="s">
        <v>192</v>
      </c>
    </row>
    <row r="242" spans="1:34" s="297" customFormat="1" ht="15" customHeight="1" x14ac:dyDescent="0.25">
      <c r="A242" s="289">
        <v>891780111</v>
      </c>
      <c r="B242" s="289" t="s">
        <v>54</v>
      </c>
      <c r="C242" s="290" t="s">
        <v>59</v>
      </c>
      <c r="D242" s="289" t="s">
        <v>60</v>
      </c>
      <c r="E242" s="290" t="s">
        <v>7335</v>
      </c>
      <c r="F242" s="289" t="s">
        <v>61</v>
      </c>
      <c r="G242" s="85" t="s">
        <v>63</v>
      </c>
      <c r="H242" s="85" t="s">
        <v>73</v>
      </c>
      <c r="I242" s="237">
        <v>31200000</v>
      </c>
      <c r="J242" s="290"/>
      <c r="K242" s="291"/>
      <c r="L242" s="291"/>
      <c r="M242" s="292">
        <f t="shared" si="9"/>
        <v>31200000</v>
      </c>
      <c r="N242" s="85">
        <v>85461666</v>
      </c>
      <c r="O242" s="85" t="s">
        <v>7336</v>
      </c>
      <c r="P242" s="85" t="s">
        <v>7337</v>
      </c>
      <c r="Q242" s="293">
        <v>44953</v>
      </c>
      <c r="R242" s="293">
        <v>44958</v>
      </c>
      <c r="S242" s="293">
        <v>45138</v>
      </c>
      <c r="T242" s="293"/>
      <c r="U242" s="293"/>
      <c r="V242" s="293"/>
      <c r="W242" s="294"/>
      <c r="X242" s="237">
        <v>26000000</v>
      </c>
      <c r="Y242" s="295">
        <f t="shared" si="10"/>
        <v>5200000</v>
      </c>
      <c r="Z242" s="296">
        <f t="shared" si="11"/>
        <v>0.83333333333333337</v>
      </c>
      <c r="AA242" s="85">
        <v>72220242</v>
      </c>
      <c r="AB242" s="85" t="s">
        <v>7338</v>
      </c>
      <c r="AC242" s="290" t="s">
        <v>196</v>
      </c>
      <c r="AD242" s="290" t="s">
        <v>196</v>
      </c>
      <c r="AE242" s="236"/>
      <c r="AF242" s="85" t="s">
        <v>7339</v>
      </c>
      <c r="AG242" s="290" t="s">
        <v>192</v>
      </c>
      <c r="AH242" s="290" t="s">
        <v>192</v>
      </c>
    </row>
    <row r="243" spans="1:34" s="297" customFormat="1" ht="15" customHeight="1" x14ac:dyDescent="0.25">
      <c r="A243" s="289">
        <v>891780111</v>
      </c>
      <c r="B243" s="289" t="s">
        <v>54</v>
      </c>
      <c r="C243" s="290" t="s">
        <v>59</v>
      </c>
      <c r="D243" s="289" t="s">
        <v>60</v>
      </c>
      <c r="E243" s="290" t="s">
        <v>7340</v>
      </c>
      <c r="F243" s="289" t="s">
        <v>61</v>
      </c>
      <c r="G243" s="85" t="s">
        <v>63</v>
      </c>
      <c r="H243" s="85" t="s">
        <v>73</v>
      </c>
      <c r="I243" s="237">
        <v>14400000</v>
      </c>
      <c r="J243" s="290"/>
      <c r="K243" s="291"/>
      <c r="L243" s="291"/>
      <c r="M243" s="292">
        <f t="shared" si="9"/>
        <v>14400000</v>
      </c>
      <c r="N243" s="85">
        <v>33224219</v>
      </c>
      <c r="O243" s="85" t="s">
        <v>717</v>
      </c>
      <c r="P243" s="85" t="s">
        <v>7341</v>
      </c>
      <c r="Q243" s="293">
        <v>44953</v>
      </c>
      <c r="R243" s="293">
        <v>44958</v>
      </c>
      <c r="S243" s="293">
        <v>45138</v>
      </c>
      <c r="T243" s="293"/>
      <c r="U243" s="293"/>
      <c r="V243" s="293"/>
      <c r="W243" s="294"/>
      <c r="X243" s="237">
        <v>12000000</v>
      </c>
      <c r="Y243" s="295">
        <f t="shared" si="10"/>
        <v>2400000</v>
      </c>
      <c r="Z243" s="296">
        <f t="shared" si="11"/>
        <v>0.83333333333333337</v>
      </c>
      <c r="AA243" s="85">
        <v>1082870070</v>
      </c>
      <c r="AB243" s="85" t="s">
        <v>7163</v>
      </c>
      <c r="AC243" s="290" t="s">
        <v>196</v>
      </c>
      <c r="AD243" s="290" t="s">
        <v>196</v>
      </c>
      <c r="AE243" s="236"/>
      <c r="AF243" s="85" t="s">
        <v>7342</v>
      </c>
      <c r="AG243" s="290" t="s">
        <v>192</v>
      </c>
      <c r="AH243" s="290" t="s">
        <v>192</v>
      </c>
    </row>
    <row r="244" spans="1:34" s="297" customFormat="1" ht="15" customHeight="1" x14ac:dyDescent="0.25">
      <c r="A244" s="289">
        <v>891780111</v>
      </c>
      <c r="B244" s="289" t="s">
        <v>54</v>
      </c>
      <c r="C244" s="290" t="s">
        <v>59</v>
      </c>
      <c r="D244" s="289" t="s">
        <v>60</v>
      </c>
      <c r="E244" s="290" t="s">
        <v>7343</v>
      </c>
      <c r="F244" s="289" t="s">
        <v>61</v>
      </c>
      <c r="G244" s="85" t="s">
        <v>63</v>
      </c>
      <c r="H244" s="85" t="s">
        <v>73</v>
      </c>
      <c r="I244" s="237">
        <v>22000000</v>
      </c>
      <c r="J244" s="290"/>
      <c r="K244" s="291"/>
      <c r="L244" s="291"/>
      <c r="M244" s="292">
        <f t="shared" si="9"/>
        <v>22000000</v>
      </c>
      <c r="N244" s="85">
        <v>1114816077</v>
      </c>
      <c r="O244" s="85" t="s">
        <v>7166</v>
      </c>
      <c r="P244" s="85" t="s">
        <v>7344</v>
      </c>
      <c r="Q244" s="293">
        <v>44953</v>
      </c>
      <c r="R244" s="293">
        <v>44953</v>
      </c>
      <c r="S244" s="293">
        <v>45091</v>
      </c>
      <c r="T244" s="293"/>
      <c r="U244" s="293"/>
      <c r="V244" s="293"/>
      <c r="W244" s="294"/>
      <c r="X244" s="237">
        <v>17600000</v>
      </c>
      <c r="Y244" s="295">
        <f t="shared" si="10"/>
        <v>4400000</v>
      </c>
      <c r="Z244" s="296">
        <f t="shared" si="11"/>
        <v>0.8</v>
      </c>
      <c r="AA244" s="85">
        <v>8746547</v>
      </c>
      <c r="AB244" s="85" t="s">
        <v>7345</v>
      </c>
      <c r="AC244" s="290" t="s">
        <v>196</v>
      </c>
      <c r="AD244" s="290" t="s">
        <v>196</v>
      </c>
      <c r="AE244" s="236"/>
      <c r="AF244" s="85" t="s">
        <v>7346</v>
      </c>
      <c r="AG244" s="290" t="s">
        <v>192</v>
      </c>
      <c r="AH244" s="290" t="s">
        <v>192</v>
      </c>
    </row>
    <row r="245" spans="1:34" s="297" customFormat="1" ht="15" customHeight="1" x14ac:dyDescent="0.25">
      <c r="A245" s="289">
        <v>891780111</v>
      </c>
      <c r="B245" s="289" t="s">
        <v>54</v>
      </c>
      <c r="C245" s="290" t="s">
        <v>56</v>
      </c>
      <c r="D245" s="289" t="s">
        <v>60</v>
      </c>
      <c r="E245" s="290" t="s">
        <v>7347</v>
      </c>
      <c r="F245" s="289" t="s">
        <v>61</v>
      </c>
      <c r="G245" s="85" t="s">
        <v>63</v>
      </c>
      <c r="H245" s="85" t="s">
        <v>73</v>
      </c>
      <c r="I245" s="237">
        <v>9120000</v>
      </c>
      <c r="J245" s="290">
        <v>1</v>
      </c>
      <c r="K245" s="291">
        <v>887000</v>
      </c>
      <c r="L245" s="291"/>
      <c r="M245" s="292">
        <f t="shared" si="9"/>
        <v>10007000</v>
      </c>
      <c r="N245" s="85">
        <v>36668600</v>
      </c>
      <c r="O245" s="85" t="s">
        <v>7348</v>
      </c>
      <c r="P245" s="85" t="s">
        <v>7349</v>
      </c>
      <c r="Q245" s="293">
        <v>44953</v>
      </c>
      <c r="R245" s="293">
        <v>44953</v>
      </c>
      <c r="S245" s="293">
        <v>45093</v>
      </c>
      <c r="T245" s="293"/>
      <c r="U245" s="293"/>
      <c r="V245" s="293"/>
      <c r="W245" s="294">
        <v>45107</v>
      </c>
      <c r="X245" s="237">
        <v>10007000</v>
      </c>
      <c r="Y245" s="295">
        <f t="shared" si="10"/>
        <v>0</v>
      </c>
      <c r="Z245" s="296">
        <f t="shared" si="11"/>
        <v>1</v>
      </c>
      <c r="AA245" s="85">
        <v>7633817</v>
      </c>
      <c r="AB245" s="85" t="s">
        <v>5425</v>
      </c>
      <c r="AC245" s="290" t="s">
        <v>196</v>
      </c>
      <c r="AD245" s="290" t="s">
        <v>196</v>
      </c>
      <c r="AE245" s="236"/>
      <c r="AF245" s="85" t="s">
        <v>7350</v>
      </c>
      <c r="AG245" s="290" t="s">
        <v>192</v>
      </c>
      <c r="AH245" s="290" t="s">
        <v>192</v>
      </c>
    </row>
    <row r="246" spans="1:34" s="297" customFormat="1" ht="15" customHeight="1" x14ac:dyDescent="0.25">
      <c r="A246" s="289">
        <v>891780111</v>
      </c>
      <c r="B246" s="289" t="s">
        <v>54</v>
      </c>
      <c r="C246" s="290" t="s">
        <v>56</v>
      </c>
      <c r="D246" s="289" t="s">
        <v>60</v>
      </c>
      <c r="E246" s="290" t="s">
        <v>7351</v>
      </c>
      <c r="F246" s="289" t="s">
        <v>61</v>
      </c>
      <c r="G246" s="85" t="s">
        <v>63</v>
      </c>
      <c r="H246" s="85" t="s">
        <v>73</v>
      </c>
      <c r="I246" s="237">
        <v>10450000</v>
      </c>
      <c r="J246" s="290"/>
      <c r="K246" s="291"/>
      <c r="L246" s="291"/>
      <c r="M246" s="292">
        <f t="shared" si="9"/>
        <v>10450000</v>
      </c>
      <c r="N246" s="85">
        <v>1079934757</v>
      </c>
      <c r="O246" s="85" t="s">
        <v>7352</v>
      </c>
      <c r="P246" s="85" t="s">
        <v>7353</v>
      </c>
      <c r="Q246" s="293">
        <v>44953</v>
      </c>
      <c r="R246" s="293">
        <v>44953</v>
      </c>
      <c r="S246" s="293">
        <v>45093</v>
      </c>
      <c r="T246" s="293"/>
      <c r="U246" s="293"/>
      <c r="V246" s="293"/>
      <c r="W246" s="294"/>
      <c r="X246" s="237">
        <v>3737000</v>
      </c>
      <c r="Y246" s="295">
        <f t="shared" si="10"/>
        <v>6713000</v>
      </c>
      <c r="Z246" s="296">
        <f t="shared" si="11"/>
        <v>0.35760765550239232</v>
      </c>
      <c r="AA246" s="85">
        <v>85459497</v>
      </c>
      <c r="AB246" s="85" t="s">
        <v>4837</v>
      </c>
      <c r="AC246" s="290" t="s">
        <v>196</v>
      </c>
      <c r="AD246" s="290" t="s">
        <v>196</v>
      </c>
      <c r="AE246" s="236"/>
      <c r="AF246" s="85" t="s">
        <v>7354</v>
      </c>
      <c r="AG246" s="290" t="s">
        <v>192</v>
      </c>
      <c r="AH246" s="290" t="s">
        <v>192</v>
      </c>
    </row>
    <row r="247" spans="1:34" s="297" customFormat="1" ht="15" customHeight="1" x14ac:dyDescent="0.25">
      <c r="A247" s="289">
        <v>891780111</v>
      </c>
      <c r="B247" s="289" t="s">
        <v>54</v>
      </c>
      <c r="C247" s="290" t="s">
        <v>56</v>
      </c>
      <c r="D247" s="289" t="s">
        <v>60</v>
      </c>
      <c r="E247" s="290" t="s">
        <v>7355</v>
      </c>
      <c r="F247" s="289" t="s">
        <v>61</v>
      </c>
      <c r="G247" s="85" t="s">
        <v>63</v>
      </c>
      <c r="H247" s="85" t="s">
        <v>73</v>
      </c>
      <c r="I247" s="237">
        <v>14880000</v>
      </c>
      <c r="J247" s="290">
        <v>1</v>
      </c>
      <c r="K247" s="291">
        <v>1447000</v>
      </c>
      <c r="L247" s="291"/>
      <c r="M247" s="292">
        <f t="shared" si="9"/>
        <v>16327000</v>
      </c>
      <c r="N247" s="85">
        <v>1216968632</v>
      </c>
      <c r="O247" s="85" t="s">
        <v>4293</v>
      </c>
      <c r="P247" s="85" t="s">
        <v>7356</v>
      </c>
      <c r="Q247" s="293">
        <v>44953</v>
      </c>
      <c r="R247" s="293">
        <v>44953</v>
      </c>
      <c r="S247" s="293">
        <v>45093</v>
      </c>
      <c r="T247" s="293"/>
      <c r="U247" s="293"/>
      <c r="V247" s="293"/>
      <c r="W247" s="294">
        <v>45107</v>
      </c>
      <c r="X247" s="237">
        <v>16327000</v>
      </c>
      <c r="Y247" s="295">
        <f t="shared" si="10"/>
        <v>0</v>
      </c>
      <c r="Z247" s="296">
        <f t="shared" si="11"/>
        <v>1</v>
      </c>
      <c r="AA247" s="85">
        <v>7633817</v>
      </c>
      <c r="AB247" s="85" t="s">
        <v>5425</v>
      </c>
      <c r="AC247" s="290" t="s">
        <v>196</v>
      </c>
      <c r="AD247" s="290" t="s">
        <v>196</v>
      </c>
      <c r="AE247" s="236"/>
      <c r="AF247" s="85" t="s">
        <v>7357</v>
      </c>
      <c r="AG247" s="290" t="s">
        <v>192</v>
      </c>
      <c r="AH247" s="290" t="s">
        <v>192</v>
      </c>
    </row>
    <row r="248" spans="1:34" s="297" customFormat="1" ht="15" customHeight="1" x14ac:dyDescent="0.25">
      <c r="A248" s="289">
        <v>891780111</v>
      </c>
      <c r="B248" s="289" t="s">
        <v>54</v>
      </c>
      <c r="C248" s="290" t="s">
        <v>56</v>
      </c>
      <c r="D248" s="289" t="s">
        <v>60</v>
      </c>
      <c r="E248" s="290" t="s">
        <v>7358</v>
      </c>
      <c r="F248" s="289" t="s">
        <v>61</v>
      </c>
      <c r="G248" s="85" t="s">
        <v>63</v>
      </c>
      <c r="H248" s="85" t="s">
        <v>73</v>
      </c>
      <c r="I248" s="237">
        <v>13950000</v>
      </c>
      <c r="J248" s="290">
        <v>1</v>
      </c>
      <c r="K248" s="291">
        <v>2377000</v>
      </c>
      <c r="L248" s="291"/>
      <c r="M248" s="292">
        <f t="shared" si="9"/>
        <v>16327000</v>
      </c>
      <c r="N248" s="85">
        <v>1083020695</v>
      </c>
      <c r="O248" s="85" t="s">
        <v>4586</v>
      </c>
      <c r="P248" s="85" t="s">
        <v>7359</v>
      </c>
      <c r="Q248" s="293">
        <v>44953</v>
      </c>
      <c r="R248" s="293">
        <v>44953</v>
      </c>
      <c r="S248" s="293">
        <v>45084</v>
      </c>
      <c r="T248" s="293"/>
      <c r="U248" s="293"/>
      <c r="V248" s="293"/>
      <c r="W248" s="294">
        <v>45107</v>
      </c>
      <c r="X248" s="237">
        <v>16327000</v>
      </c>
      <c r="Y248" s="295">
        <f t="shared" si="10"/>
        <v>0</v>
      </c>
      <c r="Z248" s="296">
        <f t="shared" si="11"/>
        <v>1</v>
      </c>
      <c r="AA248" s="85">
        <v>85471791</v>
      </c>
      <c r="AB248" s="85" t="s">
        <v>7172</v>
      </c>
      <c r="AC248" s="290" t="s">
        <v>196</v>
      </c>
      <c r="AD248" s="290" t="s">
        <v>196</v>
      </c>
      <c r="AE248" s="236"/>
      <c r="AF248" s="85" t="s">
        <v>7360</v>
      </c>
      <c r="AG248" s="290" t="s">
        <v>192</v>
      </c>
      <c r="AH248" s="290" t="s">
        <v>192</v>
      </c>
    </row>
    <row r="249" spans="1:34" s="297" customFormat="1" ht="15" customHeight="1" x14ac:dyDescent="0.25">
      <c r="A249" s="289">
        <v>891780111</v>
      </c>
      <c r="B249" s="289" t="s">
        <v>54</v>
      </c>
      <c r="C249" s="290" t="s">
        <v>56</v>
      </c>
      <c r="D249" s="289" t="s">
        <v>60</v>
      </c>
      <c r="E249" s="290" t="s">
        <v>7361</v>
      </c>
      <c r="F249" s="289" t="s">
        <v>61</v>
      </c>
      <c r="G249" s="85" t="s">
        <v>63</v>
      </c>
      <c r="H249" s="85" t="s">
        <v>73</v>
      </c>
      <c r="I249" s="237">
        <v>9563000</v>
      </c>
      <c r="J249" s="290"/>
      <c r="K249" s="291"/>
      <c r="L249" s="291"/>
      <c r="M249" s="292">
        <f t="shared" si="9"/>
        <v>9563000</v>
      </c>
      <c r="N249" s="85">
        <v>85465984</v>
      </c>
      <c r="O249" s="85" t="s">
        <v>7362</v>
      </c>
      <c r="P249" s="85" t="s">
        <v>6540</v>
      </c>
      <c r="Q249" s="293">
        <v>44953</v>
      </c>
      <c r="R249" s="293">
        <v>44953</v>
      </c>
      <c r="S249" s="293">
        <v>45093</v>
      </c>
      <c r="T249" s="293"/>
      <c r="U249" s="293"/>
      <c r="V249" s="293"/>
      <c r="W249" s="294"/>
      <c r="X249" s="237">
        <v>9563000</v>
      </c>
      <c r="Y249" s="295">
        <f t="shared" si="10"/>
        <v>0</v>
      </c>
      <c r="Z249" s="296">
        <f t="shared" si="11"/>
        <v>1</v>
      </c>
      <c r="AA249" s="85">
        <v>85459497</v>
      </c>
      <c r="AB249" s="85" t="s">
        <v>4837</v>
      </c>
      <c r="AC249" s="290" t="s">
        <v>196</v>
      </c>
      <c r="AD249" s="290" t="s">
        <v>196</v>
      </c>
      <c r="AE249" s="236"/>
      <c r="AF249" s="85" t="s">
        <v>7363</v>
      </c>
      <c r="AG249" s="290" t="s">
        <v>192</v>
      </c>
      <c r="AH249" s="290" t="s">
        <v>192</v>
      </c>
    </row>
    <row r="250" spans="1:34" s="297" customFormat="1" ht="15" customHeight="1" x14ac:dyDescent="0.25">
      <c r="A250" s="289">
        <v>891780111</v>
      </c>
      <c r="B250" s="289" t="s">
        <v>54</v>
      </c>
      <c r="C250" s="290" t="s">
        <v>56</v>
      </c>
      <c r="D250" s="289" t="s">
        <v>60</v>
      </c>
      <c r="E250" s="290" t="s">
        <v>7364</v>
      </c>
      <c r="F250" s="289" t="s">
        <v>61</v>
      </c>
      <c r="G250" s="85" t="s">
        <v>63</v>
      </c>
      <c r="H250" s="85" t="s">
        <v>73</v>
      </c>
      <c r="I250" s="237">
        <v>10560000</v>
      </c>
      <c r="J250" s="290">
        <v>1</v>
      </c>
      <c r="K250" s="291">
        <v>1027000.0000000001</v>
      </c>
      <c r="L250" s="291"/>
      <c r="M250" s="292">
        <f t="shared" si="9"/>
        <v>11587000</v>
      </c>
      <c r="N250" s="85">
        <v>1082974742</v>
      </c>
      <c r="O250" s="85" t="s">
        <v>7365</v>
      </c>
      <c r="P250" s="85" t="s">
        <v>7366</v>
      </c>
      <c r="Q250" s="293">
        <v>44953</v>
      </c>
      <c r="R250" s="293">
        <v>44953</v>
      </c>
      <c r="S250" s="293">
        <v>45093</v>
      </c>
      <c r="T250" s="293"/>
      <c r="U250" s="293"/>
      <c r="V250" s="293"/>
      <c r="W250" s="294">
        <v>45107</v>
      </c>
      <c r="X250" s="237">
        <v>11587000</v>
      </c>
      <c r="Y250" s="295">
        <f t="shared" si="10"/>
        <v>0</v>
      </c>
      <c r="Z250" s="296">
        <f t="shared" si="11"/>
        <v>1</v>
      </c>
      <c r="AA250" s="85">
        <v>57297693</v>
      </c>
      <c r="AB250" s="85" t="s">
        <v>5446</v>
      </c>
      <c r="AC250" s="290" t="s">
        <v>196</v>
      </c>
      <c r="AD250" s="290" t="s">
        <v>196</v>
      </c>
      <c r="AE250" s="236"/>
      <c r="AF250" s="85" t="s">
        <v>7367</v>
      </c>
      <c r="AG250" s="290" t="s">
        <v>192</v>
      </c>
      <c r="AH250" s="290" t="s">
        <v>192</v>
      </c>
    </row>
    <row r="251" spans="1:34" s="297" customFormat="1" ht="15" customHeight="1" x14ac:dyDescent="0.25">
      <c r="A251" s="289">
        <v>891780111</v>
      </c>
      <c r="B251" s="289" t="s">
        <v>54</v>
      </c>
      <c r="C251" s="290" t="s">
        <v>56</v>
      </c>
      <c r="D251" s="289" t="s">
        <v>60</v>
      </c>
      <c r="E251" s="290" t="s">
        <v>7368</v>
      </c>
      <c r="F251" s="289" t="s">
        <v>61</v>
      </c>
      <c r="G251" s="85" t="s">
        <v>63</v>
      </c>
      <c r="H251" s="85" t="s">
        <v>73</v>
      </c>
      <c r="I251" s="237">
        <v>10340000</v>
      </c>
      <c r="J251" s="290">
        <v>1</v>
      </c>
      <c r="K251" s="291">
        <v>1687000</v>
      </c>
      <c r="L251" s="291"/>
      <c r="M251" s="292">
        <f t="shared" si="9"/>
        <v>12027000</v>
      </c>
      <c r="N251" s="85">
        <v>1082840247</v>
      </c>
      <c r="O251" s="85" t="s">
        <v>7369</v>
      </c>
      <c r="P251" s="85" t="s">
        <v>7370</v>
      </c>
      <c r="Q251" s="293">
        <v>44953</v>
      </c>
      <c r="R251" s="293">
        <v>44953</v>
      </c>
      <c r="S251" s="293">
        <v>45084</v>
      </c>
      <c r="T251" s="293"/>
      <c r="U251" s="293"/>
      <c r="V251" s="293"/>
      <c r="W251" s="294">
        <v>45107</v>
      </c>
      <c r="X251" s="237">
        <v>12027000</v>
      </c>
      <c r="Y251" s="295">
        <f t="shared" si="10"/>
        <v>0</v>
      </c>
      <c r="Z251" s="296">
        <f t="shared" si="11"/>
        <v>1</v>
      </c>
      <c r="AA251" s="85">
        <v>1082889541</v>
      </c>
      <c r="AB251" s="85" t="s">
        <v>5388</v>
      </c>
      <c r="AC251" s="290" t="s">
        <v>196</v>
      </c>
      <c r="AD251" s="290" t="s">
        <v>196</v>
      </c>
      <c r="AE251" s="236"/>
      <c r="AF251" s="85" t="s">
        <v>7371</v>
      </c>
      <c r="AG251" s="290" t="s">
        <v>192</v>
      </c>
      <c r="AH251" s="290" t="s">
        <v>192</v>
      </c>
    </row>
    <row r="252" spans="1:34" s="297" customFormat="1" ht="15" customHeight="1" x14ac:dyDescent="0.25">
      <c r="A252" s="289">
        <v>891780111</v>
      </c>
      <c r="B252" s="289" t="s">
        <v>54</v>
      </c>
      <c r="C252" s="290" t="s">
        <v>56</v>
      </c>
      <c r="D252" s="289" t="s">
        <v>60</v>
      </c>
      <c r="E252" s="290" t="s">
        <v>7372</v>
      </c>
      <c r="F252" s="289" t="s">
        <v>61</v>
      </c>
      <c r="G252" s="85" t="s">
        <v>63</v>
      </c>
      <c r="H252" s="85" t="s">
        <v>73</v>
      </c>
      <c r="I252" s="237">
        <v>14000000</v>
      </c>
      <c r="J252" s="290">
        <v>1</v>
      </c>
      <c r="K252" s="291">
        <v>1307000</v>
      </c>
      <c r="L252" s="291"/>
      <c r="M252" s="292">
        <f t="shared" si="9"/>
        <v>15307000</v>
      </c>
      <c r="N252" s="85">
        <v>1082859194</v>
      </c>
      <c r="O252" s="85" t="s">
        <v>7373</v>
      </c>
      <c r="P252" s="85" t="s">
        <v>7374</v>
      </c>
      <c r="Q252" s="293">
        <v>44953</v>
      </c>
      <c r="R252" s="293">
        <v>44953</v>
      </c>
      <c r="S252" s="293">
        <v>45093</v>
      </c>
      <c r="T252" s="293"/>
      <c r="U252" s="293"/>
      <c r="V252" s="293"/>
      <c r="W252" s="294">
        <v>45107</v>
      </c>
      <c r="X252" s="237">
        <v>15307000</v>
      </c>
      <c r="Y252" s="295">
        <f t="shared" si="10"/>
        <v>0</v>
      </c>
      <c r="Z252" s="296">
        <f t="shared" si="11"/>
        <v>1</v>
      </c>
      <c r="AA252" s="85">
        <v>7632607</v>
      </c>
      <c r="AB252" s="85" t="s">
        <v>7071</v>
      </c>
      <c r="AC252" s="290" t="s">
        <v>196</v>
      </c>
      <c r="AD252" s="290" t="s">
        <v>196</v>
      </c>
      <c r="AE252" s="236"/>
      <c r="AF252" s="85" t="s">
        <v>7375</v>
      </c>
      <c r="AG252" s="290" t="s">
        <v>192</v>
      </c>
      <c r="AH252" s="290" t="s">
        <v>192</v>
      </c>
    </row>
    <row r="253" spans="1:34" s="297" customFormat="1" ht="15" customHeight="1" x14ac:dyDescent="0.25">
      <c r="A253" s="289">
        <v>891780111</v>
      </c>
      <c r="B253" s="289" t="s">
        <v>54</v>
      </c>
      <c r="C253" s="290" t="s">
        <v>56</v>
      </c>
      <c r="D253" s="289" t="s">
        <v>60</v>
      </c>
      <c r="E253" s="290" t="s">
        <v>7376</v>
      </c>
      <c r="F253" s="289" t="s">
        <v>61</v>
      </c>
      <c r="G253" s="85" t="s">
        <v>63</v>
      </c>
      <c r="H253" s="85" t="s">
        <v>73</v>
      </c>
      <c r="I253" s="237">
        <v>8550000</v>
      </c>
      <c r="J253" s="290">
        <v>1</v>
      </c>
      <c r="K253" s="291">
        <v>3230000</v>
      </c>
      <c r="L253" s="291"/>
      <c r="M253" s="292">
        <f t="shared" si="9"/>
        <v>11780000</v>
      </c>
      <c r="N253" s="85">
        <v>57443446</v>
      </c>
      <c r="O253" s="85" t="s">
        <v>7377</v>
      </c>
      <c r="P253" s="85" t="s">
        <v>7378</v>
      </c>
      <c r="Q253" s="293">
        <v>44953</v>
      </c>
      <c r="R253" s="293">
        <v>44953</v>
      </c>
      <c r="S253" s="293">
        <v>45084</v>
      </c>
      <c r="T253" s="293"/>
      <c r="U253" s="293"/>
      <c r="V253" s="293"/>
      <c r="W253" s="294">
        <v>45105</v>
      </c>
      <c r="X253" s="237">
        <v>8107000</v>
      </c>
      <c r="Y253" s="295">
        <f t="shared" si="10"/>
        <v>3673000</v>
      </c>
      <c r="Z253" s="296">
        <f t="shared" si="11"/>
        <v>0.68820033955857385</v>
      </c>
      <c r="AA253" s="85">
        <v>45507423</v>
      </c>
      <c r="AB253" s="85" t="s">
        <v>6911</v>
      </c>
      <c r="AC253" s="290" t="s">
        <v>196</v>
      </c>
      <c r="AD253" s="290" t="s">
        <v>196</v>
      </c>
      <c r="AE253" s="236"/>
      <c r="AF253" s="85" t="s">
        <v>7379</v>
      </c>
      <c r="AG253" s="290" t="s">
        <v>192</v>
      </c>
      <c r="AH253" s="290" t="s">
        <v>192</v>
      </c>
    </row>
    <row r="254" spans="1:34" s="297" customFormat="1" ht="15" customHeight="1" x14ac:dyDescent="0.25">
      <c r="A254" s="289">
        <v>891780111</v>
      </c>
      <c r="B254" s="289" t="s">
        <v>54</v>
      </c>
      <c r="C254" s="290" t="s">
        <v>56</v>
      </c>
      <c r="D254" s="289" t="s">
        <v>60</v>
      </c>
      <c r="E254" s="290" t="s">
        <v>7380</v>
      </c>
      <c r="F254" s="289" t="s">
        <v>61</v>
      </c>
      <c r="G254" s="85" t="s">
        <v>63</v>
      </c>
      <c r="H254" s="85" t="s">
        <v>73</v>
      </c>
      <c r="I254" s="237">
        <v>14673000</v>
      </c>
      <c r="J254" s="290">
        <v>1</v>
      </c>
      <c r="K254" s="291">
        <v>2377000</v>
      </c>
      <c r="L254" s="291"/>
      <c r="M254" s="292">
        <f t="shared" si="9"/>
        <v>17050000</v>
      </c>
      <c r="N254" s="85">
        <v>57463967</v>
      </c>
      <c r="O254" s="85" t="s">
        <v>7381</v>
      </c>
      <c r="P254" s="85" t="s">
        <v>7382</v>
      </c>
      <c r="Q254" s="293">
        <v>44953</v>
      </c>
      <c r="R254" s="293">
        <v>44953</v>
      </c>
      <c r="S254" s="293">
        <v>45084</v>
      </c>
      <c r="T254" s="293"/>
      <c r="U254" s="293"/>
      <c r="V254" s="293"/>
      <c r="W254" s="294">
        <v>45107</v>
      </c>
      <c r="X254" s="237">
        <v>17050000</v>
      </c>
      <c r="Y254" s="295">
        <f t="shared" si="10"/>
        <v>0</v>
      </c>
      <c r="Z254" s="296">
        <f t="shared" si="11"/>
        <v>1</v>
      </c>
      <c r="AA254" s="85">
        <v>7601831</v>
      </c>
      <c r="AB254" s="85" t="s">
        <v>7383</v>
      </c>
      <c r="AC254" s="290" t="s">
        <v>196</v>
      </c>
      <c r="AD254" s="290" t="s">
        <v>196</v>
      </c>
      <c r="AE254" s="236"/>
      <c r="AF254" s="85" t="s">
        <v>7384</v>
      </c>
      <c r="AG254" s="290" t="s">
        <v>192</v>
      </c>
      <c r="AH254" s="290" t="s">
        <v>192</v>
      </c>
    </row>
    <row r="255" spans="1:34" s="297" customFormat="1" ht="15" customHeight="1" x14ac:dyDescent="0.25">
      <c r="A255" s="289">
        <v>891780111</v>
      </c>
      <c r="B255" s="289" t="s">
        <v>54</v>
      </c>
      <c r="C255" s="290" t="s">
        <v>56</v>
      </c>
      <c r="D255" s="289" t="s">
        <v>60</v>
      </c>
      <c r="E255" s="290" t="s">
        <v>7385</v>
      </c>
      <c r="F255" s="289" t="s">
        <v>61</v>
      </c>
      <c r="G255" s="85" t="s">
        <v>63</v>
      </c>
      <c r="H255" s="85" t="s">
        <v>73</v>
      </c>
      <c r="I255" s="237">
        <v>16567000</v>
      </c>
      <c r="J255" s="290">
        <v>1</v>
      </c>
      <c r="K255" s="291">
        <v>2683000</v>
      </c>
      <c r="L255" s="291"/>
      <c r="M255" s="292">
        <f t="shared" si="9"/>
        <v>19250000</v>
      </c>
      <c r="N255" s="85">
        <v>1082977003</v>
      </c>
      <c r="O255" s="85" t="s">
        <v>7386</v>
      </c>
      <c r="P255" s="85" t="s">
        <v>7387</v>
      </c>
      <c r="Q255" s="293">
        <v>44953</v>
      </c>
      <c r="R255" s="293">
        <v>44953</v>
      </c>
      <c r="S255" s="293">
        <v>45084</v>
      </c>
      <c r="T255" s="293"/>
      <c r="U255" s="293"/>
      <c r="V255" s="293"/>
      <c r="W255" s="294">
        <v>45107</v>
      </c>
      <c r="X255" s="237">
        <v>19250000</v>
      </c>
      <c r="Y255" s="295">
        <f t="shared" si="10"/>
        <v>0</v>
      </c>
      <c r="Z255" s="296">
        <f t="shared" si="11"/>
        <v>1</v>
      </c>
      <c r="AA255" s="85">
        <v>12539351</v>
      </c>
      <c r="AB255" s="85" t="s">
        <v>6545</v>
      </c>
      <c r="AC255" s="290" t="s">
        <v>196</v>
      </c>
      <c r="AD255" s="290" t="s">
        <v>196</v>
      </c>
      <c r="AE255" s="236"/>
      <c r="AF255" s="85" t="s">
        <v>7388</v>
      </c>
      <c r="AG255" s="290" t="s">
        <v>192</v>
      </c>
      <c r="AH255" s="290" t="s">
        <v>192</v>
      </c>
    </row>
    <row r="256" spans="1:34" s="297" customFormat="1" ht="15" customHeight="1" x14ac:dyDescent="0.25">
      <c r="A256" s="289">
        <v>891780111</v>
      </c>
      <c r="B256" s="289" t="s">
        <v>54</v>
      </c>
      <c r="C256" s="290" t="s">
        <v>56</v>
      </c>
      <c r="D256" s="289" t="s">
        <v>60</v>
      </c>
      <c r="E256" s="290" t="s">
        <v>7389</v>
      </c>
      <c r="F256" s="289" t="s">
        <v>61</v>
      </c>
      <c r="G256" s="85" t="s">
        <v>63</v>
      </c>
      <c r="H256" s="85" t="s">
        <v>73</v>
      </c>
      <c r="I256" s="237">
        <v>9817000</v>
      </c>
      <c r="J256" s="290">
        <v>1</v>
      </c>
      <c r="K256" s="291">
        <v>886000</v>
      </c>
      <c r="L256" s="291"/>
      <c r="M256" s="292">
        <f t="shared" si="9"/>
        <v>10703000</v>
      </c>
      <c r="N256" s="85">
        <v>19617471</v>
      </c>
      <c r="O256" s="85" t="s">
        <v>7390</v>
      </c>
      <c r="P256" s="85" t="s">
        <v>7391</v>
      </c>
      <c r="Q256" s="293">
        <v>44953</v>
      </c>
      <c r="R256" s="293">
        <v>44953</v>
      </c>
      <c r="S256" s="293">
        <v>45093</v>
      </c>
      <c r="T256" s="293"/>
      <c r="U256" s="293"/>
      <c r="V256" s="293"/>
      <c r="W256" s="294">
        <v>45107</v>
      </c>
      <c r="X256" s="237">
        <v>10703000</v>
      </c>
      <c r="Y256" s="295">
        <f t="shared" si="10"/>
        <v>0</v>
      </c>
      <c r="Z256" s="296">
        <f t="shared" si="11"/>
        <v>1</v>
      </c>
      <c r="AA256" s="85">
        <v>85459497</v>
      </c>
      <c r="AB256" s="85" t="s">
        <v>4837</v>
      </c>
      <c r="AC256" s="290" t="s">
        <v>196</v>
      </c>
      <c r="AD256" s="290" t="s">
        <v>196</v>
      </c>
      <c r="AE256" s="236"/>
      <c r="AF256" s="85" t="s">
        <v>7392</v>
      </c>
      <c r="AG256" s="290" t="s">
        <v>192</v>
      </c>
      <c r="AH256" s="290" t="s">
        <v>192</v>
      </c>
    </row>
    <row r="257" spans="1:34" s="297" customFormat="1" ht="15" customHeight="1" x14ac:dyDescent="0.25">
      <c r="A257" s="289">
        <v>891780111</v>
      </c>
      <c r="B257" s="289" t="s">
        <v>54</v>
      </c>
      <c r="C257" s="290" t="s">
        <v>56</v>
      </c>
      <c r="D257" s="289" t="s">
        <v>60</v>
      </c>
      <c r="E257" s="290" t="s">
        <v>7393</v>
      </c>
      <c r="F257" s="289" t="s">
        <v>61</v>
      </c>
      <c r="G257" s="85" t="s">
        <v>63</v>
      </c>
      <c r="H257" s="85" t="s">
        <v>73</v>
      </c>
      <c r="I257" s="237">
        <v>11250000</v>
      </c>
      <c r="J257" s="290">
        <v>1</v>
      </c>
      <c r="K257" s="291">
        <v>1333000</v>
      </c>
      <c r="L257" s="291"/>
      <c r="M257" s="292">
        <f t="shared" si="9"/>
        <v>12583000</v>
      </c>
      <c r="N257" s="85">
        <v>1082915040</v>
      </c>
      <c r="O257" s="85" t="s">
        <v>7394</v>
      </c>
      <c r="P257" s="85" t="s">
        <v>7395</v>
      </c>
      <c r="Q257" s="293">
        <v>44953</v>
      </c>
      <c r="R257" s="293">
        <v>44953</v>
      </c>
      <c r="S257" s="293">
        <v>45084</v>
      </c>
      <c r="T257" s="293"/>
      <c r="U257" s="293"/>
      <c r="V257" s="293"/>
      <c r="W257" s="294">
        <v>45100</v>
      </c>
      <c r="X257" s="237">
        <v>12583000</v>
      </c>
      <c r="Y257" s="295">
        <f t="shared" si="10"/>
        <v>0</v>
      </c>
      <c r="Z257" s="296">
        <f t="shared" si="11"/>
        <v>1</v>
      </c>
      <c r="AA257" s="85">
        <v>41947381</v>
      </c>
      <c r="AB257" s="85" t="s">
        <v>6440</v>
      </c>
      <c r="AC257" s="290" t="s">
        <v>196</v>
      </c>
      <c r="AD257" s="290" t="s">
        <v>196</v>
      </c>
      <c r="AE257" s="236"/>
      <c r="AF257" s="85" t="s">
        <v>7396</v>
      </c>
      <c r="AG257" s="290" t="s">
        <v>192</v>
      </c>
      <c r="AH257" s="290" t="s">
        <v>192</v>
      </c>
    </row>
    <row r="258" spans="1:34" s="297" customFormat="1" ht="15" customHeight="1" x14ac:dyDescent="0.25">
      <c r="A258" s="289">
        <v>891780111</v>
      </c>
      <c r="B258" s="289" t="s">
        <v>54</v>
      </c>
      <c r="C258" s="290" t="s">
        <v>56</v>
      </c>
      <c r="D258" s="289" t="s">
        <v>60</v>
      </c>
      <c r="E258" s="290" t="s">
        <v>7397</v>
      </c>
      <c r="F258" s="289" t="s">
        <v>61</v>
      </c>
      <c r="G258" s="85" t="s">
        <v>63</v>
      </c>
      <c r="H258" s="85" t="s">
        <v>73</v>
      </c>
      <c r="I258" s="237">
        <v>35737000</v>
      </c>
      <c r="J258" s="290">
        <v>1</v>
      </c>
      <c r="K258" s="291">
        <v>3313000</v>
      </c>
      <c r="L258" s="291"/>
      <c r="M258" s="292">
        <f t="shared" si="9"/>
        <v>39050000</v>
      </c>
      <c r="N258" s="85">
        <v>79488380</v>
      </c>
      <c r="O258" s="85" t="s">
        <v>7398</v>
      </c>
      <c r="P258" s="85" t="s">
        <v>7399</v>
      </c>
      <c r="Q258" s="293">
        <v>44953</v>
      </c>
      <c r="R258" s="293">
        <v>44953</v>
      </c>
      <c r="S258" s="293">
        <v>45093</v>
      </c>
      <c r="T258" s="293"/>
      <c r="U258" s="293"/>
      <c r="V258" s="293"/>
      <c r="W258" s="294">
        <v>45107</v>
      </c>
      <c r="X258" s="237">
        <v>39050000</v>
      </c>
      <c r="Y258" s="295">
        <f t="shared" si="10"/>
        <v>0</v>
      </c>
      <c r="Z258" s="296">
        <f t="shared" si="11"/>
        <v>1</v>
      </c>
      <c r="AA258" s="85">
        <v>85455983</v>
      </c>
      <c r="AB258" s="85" t="s">
        <v>6413</v>
      </c>
      <c r="AC258" s="290" t="s">
        <v>196</v>
      </c>
      <c r="AD258" s="290" t="s">
        <v>196</v>
      </c>
      <c r="AE258" s="236"/>
      <c r="AF258" s="85" t="s">
        <v>7400</v>
      </c>
      <c r="AG258" s="290" t="s">
        <v>192</v>
      </c>
      <c r="AH258" s="290" t="s">
        <v>192</v>
      </c>
    </row>
    <row r="259" spans="1:34" s="297" customFormat="1" ht="15" customHeight="1" x14ac:dyDescent="0.25">
      <c r="A259" s="289">
        <v>891780111</v>
      </c>
      <c r="B259" s="289" t="s">
        <v>54</v>
      </c>
      <c r="C259" s="290" t="s">
        <v>56</v>
      </c>
      <c r="D259" s="289" t="s">
        <v>60</v>
      </c>
      <c r="E259" s="290" t="s">
        <v>7401</v>
      </c>
      <c r="F259" s="289" t="s">
        <v>61</v>
      </c>
      <c r="G259" s="85" t="s">
        <v>63</v>
      </c>
      <c r="H259" s="85" t="s">
        <v>73</v>
      </c>
      <c r="I259" s="237">
        <v>16773000</v>
      </c>
      <c r="J259" s="290">
        <v>1</v>
      </c>
      <c r="K259" s="291">
        <v>2607000</v>
      </c>
      <c r="L259" s="291"/>
      <c r="M259" s="292">
        <f t="shared" si="9"/>
        <v>19380000</v>
      </c>
      <c r="N259" s="85">
        <v>1140877757</v>
      </c>
      <c r="O259" s="85" t="s">
        <v>4607</v>
      </c>
      <c r="P259" s="85" t="s">
        <v>7402</v>
      </c>
      <c r="Q259" s="293">
        <v>44953</v>
      </c>
      <c r="R259" s="293">
        <v>44953</v>
      </c>
      <c r="S259" s="293">
        <v>45084</v>
      </c>
      <c r="T259" s="293"/>
      <c r="U259" s="293"/>
      <c r="V259" s="293"/>
      <c r="W259" s="294">
        <v>45107</v>
      </c>
      <c r="X259" s="237">
        <v>19380000</v>
      </c>
      <c r="Y259" s="295">
        <f t="shared" si="10"/>
        <v>0</v>
      </c>
      <c r="Z259" s="296">
        <f t="shared" si="11"/>
        <v>1</v>
      </c>
      <c r="AA259" s="85">
        <v>85471791</v>
      </c>
      <c r="AB259" s="85" t="s">
        <v>7172</v>
      </c>
      <c r="AC259" s="290" t="s">
        <v>196</v>
      </c>
      <c r="AD259" s="290" t="s">
        <v>196</v>
      </c>
      <c r="AE259" s="236"/>
      <c r="AF259" s="85" t="s">
        <v>7403</v>
      </c>
      <c r="AG259" s="290" t="s">
        <v>192</v>
      </c>
      <c r="AH259" s="290" t="s">
        <v>192</v>
      </c>
    </row>
    <row r="260" spans="1:34" s="297" customFormat="1" ht="15" customHeight="1" x14ac:dyDescent="0.25">
      <c r="A260" s="289">
        <v>891780111</v>
      </c>
      <c r="B260" s="289" t="s">
        <v>54</v>
      </c>
      <c r="C260" s="290" t="s">
        <v>56</v>
      </c>
      <c r="D260" s="289" t="s">
        <v>60</v>
      </c>
      <c r="E260" s="290" t="s">
        <v>7404</v>
      </c>
      <c r="F260" s="289" t="s">
        <v>61</v>
      </c>
      <c r="G260" s="85" t="s">
        <v>63</v>
      </c>
      <c r="H260" s="85" t="s">
        <v>73</v>
      </c>
      <c r="I260" s="237">
        <v>17000000</v>
      </c>
      <c r="J260" s="290">
        <v>1</v>
      </c>
      <c r="K260" s="291">
        <v>1587000</v>
      </c>
      <c r="L260" s="291"/>
      <c r="M260" s="292">
        <f t="shared" si="9"/>
        <v>18587000</v>
      </c>
      <c r="N260" s="85">
        <v>1082951480</v>
      </c>
      <c r="O260" s="85" t="s">
        <v>7405</v>
      </c>
      <c r="P260" s="85" t="s">
        <v>7406</v>
      </c>
      <c r="Q260" s="293">
        <v>44953</v>
      </c>
      <c r="R260" s="293">
        <v>44953</v>
      </c>
      <c r="S260" s="293">
        <v>45093</v>
      </c>
      <c r="T260" s="293"/>
      <c r="U260" s="293"/>
      <c r="V260" s="293"/>
      <c r="W260" s="294">
        <v>45107</v>
      </c>
      <c r="X260" s="237">
        <v>18587000</v>
      </c>
      <c r="Y260" s="295">
        <f t="shared" si="10"/>
        <v>0</v>
      </c>
      <c r="Z260" s="296">
        <f t="shared" si="11"/>
        <v>1</v>
      </c>
      <c r="AA260" s="85">
        <v>7632607</v>
      </c>
      <c r="AB260" s="85" t="s">
        <v>7071</v>
      </c>
      <c r="AC260" s="290" t="s">
        <v>196</v>
      </c>
      <c r="AD260" s="290" t="s">
        <v>196</v>
      </c>
      <c r="AE260" s="236"/>
      <c r="AF260" s="85" t="s">
        <v>7407</v>
      </c>
      <c r="AG260" s="290" t="s">
        <v>192</v>
      </c>
      <c r="AH260" s="290" t="s">
        <v>192</v>
      </c>
    </row>
    <row r="261" spans="1:34" s="297" customFormat="1" ht="15" customHeight="1" x14ac:dyDescent="0.25">
      <c r="A261" s="289">
        <v>891780111</v>
      </c>
      <c r="B261" s="289" t="s">
        <v>54</v>
      </c>
      <c r="C261" s="290" t="s">
        <v>56</v>
      </c>
      <c r="D261" s="289" t="s">
        <v>60</v>
      </c>
      <c r="E261" s="290" t="s">
        <v>7408</v>
      </c>
      <c r="F261" s="289" t="s">
        <v>61</v>
      </c>
      <c r="G261" s="85" t="s">
        <v>63</v>
      </c>
      <c r="H261" s="85" t="s">
        <v>73</v>
      </c>
      <c r="I261" s="237">
        <v>13000000</v>
      </c>
      <c r="J261" s="290">
        <v>1</v>
      </c>
      <c r="K261" s="291">
        <v>1167000</v>
      </c>
      <c r="L261" s="291"/>
      <c r="M261" s="292">
        <f t="shared" ref="M261:M324" si="12">I261+K261-L261</f>
        <v>14167000</v>
      </c>
      <c r="N261" s="85">
        <v>1082250050</v>
      </c>
      <c r="O261" s="85" t="s">
        <v>7409</v>
      </c>
      <c r="P261" s="85" t="s">
        <v>7410</v>
      </c>
      <c r="Q261" s="293">
        <v>44953</v>
      </c>
      <c r="R261" s="293">
        <v>44953</v>
      </c>
      <c r="S261" s="293">
        <v>45093</v>
      </c>
      <c r="T261" s="293"/>
      <c r="U261" s="293"/>
      <c r="V261" s="293"/>
      <c r="W261" s="294">
        <v>45107</v>
      </c>
      <c r="X261" s="237">
        <v>14167000</v>
      </c>
      <c r="Y261" s="295">
        <f t="shared" ref="Y261:Y324" si="13">M261-X261</f>
        <v>0</v>
      </c>
      <c r="Z261" s="296">
        <f t="shared" ref="Z261:Z324" si="14">+(X261/M261)</f>
        <v>1</v>
      </c>
      <c r="AA261" s="85">
        <v>85449357</v>
      </c>
      <c r="AB261" s="85" t="s">
        <v>6553</v>
      </c>
      <c r="AC261" s="290" t="s">
        <v>196</v>
      </c>
      <c r="AD261" s="290" t="s">
        <v>196</v>
      </c>
      <c r="AE261" s="236"/>
      <c r="AF261" s="85" t="s">
        <v>7411</v>
      </c>
      <c r="AG261" s="290" t="s">
        <v>192</v>
      </c>
      <c r="AH261" s="290" t="s">
        <v>192</v>
      </c>
    </row>
    <row r="262" spans="1:34" s="297" customFormat="1" ht="15" customHeight="1" x14ac:dyDescent="0.25">
      <c r="A262" s="289">
        <v>891780111</v>
      </c>
      <c r="B262" s="289" t="s">
        <v>54</v>
      </c>
      <c r="C262" s="290" t="s">
        <v>56</v>
      </c>
      <c r="D262" s="289" t="s">
        <v>60</v>
      </c>
      <c r="E262" s="290" t="s">
        <v>7412</v>
      </c>
      <c r="F262" s="289" t="s">
        <v>61</v>
      </c>
      <c r="G262" s="85" t="s">
        <v>63</v>
      </c>
      <c r="H262" s="85" t="s">
        <v>73</v>
      </c>
      <c r="I262" s="237">
        <v>8550000</v>
      </c>
      <c r="J262" s="290">
        <v>1</v>
      </c>
      <c r="K262" s="291">
        <v>1013000</v>
      </c>
      <c r="L262" s="291"/>
      <c r="M262" s="292">
        <f t="shared" si="12"/>
        <v>9563000</v>
      </c>
      <c r="N262" s="85">
        <v>36641670</v>
      </c>
      <c r="O262" s="85" t="s">
        <v>7413</v>
      </c>
      <c r="P262" s="85" t="s">
        <v>7414</v>
      </c>
      <c r="Q262" s="293">
        <v>44953</v>
      </c>
      <c r="R262" s="293">
        <v>44953</v>
      </c>
      <c r="S262" s="293">
        <v>45084</v>
      </c>
      <c r="T262" s="293"/>
      <c r="U262" s="293"/>
      <c r="V262" s="293"/>
      <c r="W262" s="294">
        <v>45100</v>
      </c>
      <c r="X262" s="237">
        <v>9563000</v>
      </c>
      <c r="Y262" s="295">
        <f t="shared" si="13"/>
        <v>0</v>
      </c>
      <c r="Z262" s="296">
        <f t="shared" si="14"/>
        <v>1</v>
      </c>
      <c r="AA262" s="85">
        <v>45507423</v>
      </c>
      <c r="AB262" s="85" t="s">
        <v>6911</v>
      </c>
      <c r="AC262" s="290" t="s">
        <v>196</v>
      </c>
      <c r="AD262" s="290" t="s">
        <v>196</v>
      </c>
      <c r="AE262" s="236"/>
      <c r="AF262" s="85" t="s">
        <v>7415</v>
      </c>
      <c r="AG262" s="290" t="s">
        <v>192</v>
      </c>
      <c r="AH262" s="290" t="s">
        <v>192</v>
      </c>
    </row>
    <row r="263" spans="1:34" s="297" customFormat="1" ht="15" customHeight="1" x14ac:dyDescent="0.25">
      <c r="A263" s="289">
        <v>891780111</v>
      </c>
      <c r="B263" s="289" t="s">
        <v>54</v>
      </c>
      <c r="C263" s="290" t="s">
        <v>56</v>
      </c>
      <c r="D263" s="289" t="s">
        <v>60</v>
      </c>
      <c r="E263" s="290" t="s">
        <v>7416</v>
      </c>
      <c r="F263" s="289" t="s">
        <v>61</v>
      </c>
      <c r="G263" s="85" t="s">
        <v>63</v>
      </c>
      <c r="H263" s="85" t="s">
        <v>73</v>
      </c>
      <c r="I263" s="237">
        <v>11250000</v>
      </c>
      <c r="J263" s="290">
        <v>1</v>
      </c>
      <c r="K263" s="291">
        <v>1333000</v>
      </c>
      <c r="L263" s="291"/>
      <c r="M263" s="292">
        <f t="shared" si="12"/>
        <v>12583000</v>
      </c>
      <c r="N263" s="85">
        <v>1143451176</v>
      </c>
      <c r="O263" s="85" t="s">
        <v>7417</v>
      </c>
      <c r="P263" s="85" t="s">
        <v>7418</v>
      </c>
      <c r="Q263" s="293">
        <v>44953</v>
      </c>
      <c r="R263" s="293">
        <v>44953</v>
      </c>
      <c r="S263" s="293">
        <v>45084</v>
      </c>
      <c r="T263" s="293"/>
      <c r="U263" s="293"/>
      <c r="V263" s="293"/>
      <c r="W263" s="294">
        <v>45100</v>
      </c>
      <c r="X263" s="237">
        <v>12583000</v>
      </c>
      <c r="Y263" s="295">
        <f t="shared" si="13"/>
        <v>0</v>
      </c>
      <c r="Z263" s="296">
        <f t="shared" si="14"/>
        <v>1</v>
      </c>
      <c r="AA263" s="85">
        <v>41947381</v>
      </c>
      <c r="AB263" s="85" t="s">
        <v>6440</v>
      </c>
      <c r="AC263" s="290" t="s">
        <v>196</v>
      </c>
      <c r="AD263" s="290" t="s">
        <v>196</v>
      </c>
      <c r="AE263" s="236"/>
      <c r="AF263" s="85" t="s">
        <v>7419</v>
      </c>
      <c r="AG263" s="290" t="s">
        <v>192</v>
      </c>
      <c r="AH263" s="290" t="s">
        <v>192</v>
      </c>
    </row>
    <row r="264" spans="1:34" s="297" customFormat="1" ht="15" customHeight="1" x14ac:dyDescent="0.25">
      <c r="A264" s="289">
        <v>891780111</v>
      </c>
      <c r="B264" s="289" t="s">
        <v>54</v>
      </c>
      <c r="C264" s="290" t="s">
        <v>56</v>
      </c>
      <c r="D264" s="289" t="s">
        <v>60</v>
      </c>
      <c r="E264" s="290" t="s">
        <v>7420</v>
      </c>
      <c r="F264" s="289" t="s">
        <v>61</v>
      </c>
      <c r="G264" s="85" t="s">
        <v>63</v>
      </c>
      <c r="H264" s="85" t="s">
        <v>73</v>
      </c>
      <c r="I264" s="237">
        <v>13067000</v>
      </c>
      <c r="J264" s="290">
        <v>1</v>
      </c>
      <c r="K264" s="291">
        <v>2146000</v>
      </c>
      <c r="L264" s="291"/>
      <c r="M264" s="292">
        <f t="shared" si="12"/>
        <v>15213000</v>
      </c>
      <c r="N264" s="85">
        <v>1102864782</v>
      </c>
      <c r="O264" s="85" t="s">
        <v>7421</v>
      </c>
      <c r="P264" s="85" t="s">
        <v>7422</v>
      </c>
      <c r="Q264" s="293">
        <v>44953</v>
      </c>
      <c r="R264" s="293">
        <v>44953</v>
      </c>
      <c r="S264" s="293">
        <v>45084</v>
      </c>
      <c r="T264" s="293"/>
      <c r="U264" s="293"/>
      <c r="V264" s="293"/>
      <c r="W264" s="294">
        <v>45107</v>
      </c>
      <c r="X264" s="237">
        <v>15213000</v>
      </c>
      <c r="Y264" s="295">
        <f t="shared" si="13"/>
        <v>0</v>
      </c>
      <c r="Z264" s="296">
        <f t="shared" si="14"/>
        <v>1</v>
      </c>
      <c r="AA264" s="85">
        <v>72221403</v>
      </c>
      <c r="AB264" s="85" t="s">
        <v>7423</v>
      </c>
      <c r="AC264" s="290" t="s">
        <v>196</v>
      </c>
      <c r="AD264" s="290" t="s">
        <v>196</v>
      </c>
      <c r="AE264" s="236"/>
      <c r="AF264" s="85" t="s">
        <v>7424</v>
      </c>
      <c r="AG264" s="290" t="s">
        <v>192</v>
      </c>
      <c r="AH264" s="290" t="s">
        <v>192</v>
      </c>
    </row>
    <row r="265" spans="1:34" s="297" customFormat="1" ht="15" customHeight="1" x14ac:dyDescent="0.25">
      <c r="A265" s="289">
        <v>891780111</v>
      </c>
      <c r="B265" s="289" t="s">
        <v>54</v>
      </c>
      <c r="C265" s="290" t="s">
        <v>56</v>
      </c>
      <c r="D265" s="289" t="s">
        <v>60</v>
      </c>
      <c r="E265" s="290" t="s">
        <v>7425</v>
      </c>
      <c r="F265" s="289" t="s">
        <v>61</v>
      </c>
      <c r="G265" s="85" t="s">
        <v>63</v>
      </c>
      <c r="H265" s="85" t="s">
        <v>73</v>
      </c>
      <c r="I265" s="237">
        <v>10927000</v>
      </c>
      <c r="J265" s="290"/>
      <c r="K265" s="291"/>
      <c r="L265" s="291"/>
      <c r="M265" s="292">
        <f t="shared" si="12"/>
        <v>10927000</v>
      </c>
      <c r="N265" s="85">
        <v>57434959</v>
      </c>
      <c r="O265" s="85" t="s">
        <v>7426</v>
      </c>
      <c r="P265" s="85" t="s">
        <v>7427</v>
      </c>
      <c r="Q265" s="293">
        <v>44953</v>
      </c>
      <c r="R265" s="293">
        <v>44953</v>
      </c>
      <c r="S265" s="293">
        <v>45093</v>
      </c>
      <c r="T265" s="293"/>
      <c r="U265" s="293"/>
      <c r="V265" s="293"/>
      <c r="W265" s="294"/>
      <c r="X265" s="237">
        <v>10927000</v>
      </c>
      <c r="Y265" s="295">
        <f t="shared" si="13"/>
        <v>0</v>
      </c>
      <c r="Z265" s="296">
        <f t="shared" si="14"/>
        <v>1</v>
      </c>
      <c r="AA265" s="85">
        <v>26668285</v>
      </c>
      <c r="AB265" s="85" t="s">
        <v>5038</v>
      </c>
      <c r="AC265" s="290" t="s">
        <v>196</v>
      </c>
      <c r="AD265" s="290" t="s">
        <v>196</v>
      </c>
      <c r="AE265" s="236"/>
      <c r="AF265" s="85" t="s">
        <v>7428</v>
      </c>
      <c r="AG265" s="290" t="s">
        <v>192</v>
      </c>
      <c r="AH265" s="290" t="s">
        <v>192</v>
      </c>
    </row>
    <row r="266" spans="1:34" s="297" customFormat="1" ht="15" customHeight="1" x14ac:dyDescent="0.25">
      <c r="A266" s="289">
        <v>891780111</v>
      </c>
      <c r="B266" s="289" t="s">
        <v>54</v>
      </c>
      <c r="C266" s="290" t="s">
        <v>56</v>
      </c>
      <c r="D266" s="289" t="s">
        <v>60</v>
      </c>
      <c r="E266" s="290" t="s">
        <v>7429</v>
      </c>
      <c r="F266" s="289" t="s">
        <v>61</v>
      </c>
      <c r="G266" s="85" t="s">
        <v>63</v>
      </c>
      <c r="H266" s="85" t="s">
        <v>73</v>
      </c>
      <c r="I266" s="237">
        <v>10413000</v>
      </c>
      <c r="J266" s="290">
        <v>1</v>
      </c>
      <c r="K266" s="291">
        <v>1687000</v>
      </c>
      <c r="L266" s="291"/>
      <c r="M266" s="292">
        <f t="shared" si="12"/>
        <v>12100000</v>
      </c>
      <c r="N266" s="85">
        <v>57427809</v>
      </c>
      <c r="O266" s="85" t="s">
        <v>7430</v>
      </c>
      <c r="P266" s="85" t="s">
        <v>7431</v>
      </c>
      <c r="Q266" s="293">
        <v>44953</v>
      </c>
      <c r="R266" s="293">
        <v>44953</v>
      </c>
      <c r="S266" s="293">
        <v>45084</v>
      </c>
      <c r="T266" s="293"/>
      <c r="U266" s="293"/>
      <c r="V266" s="293"/>
      <c r="W266" s="294">
        <v>45107</v>
      </c>
      <c r="X266" s="237">
        <v>12100000</v>
      </c>
      <c r="Y266" s="295">
        <f t="shared" si="13"/>
        <v>0</v>
      </c>
      <c r="Z266" s="296">
        <f t="shared" si="14"/>
        <v>1</v>
      </c>
      <c r="AA266" s="85">
        <v>36557666</v>
      </c>
      <c r="AB266" s="85" t="s">
        <v>6916</v>
      </c>
      <c r="AC266" s="290" t="s">
        <v>196</v>
      </c>
      <c r="AD266" s="290" t="s">
        <v>196</v>
      </c>
      <c r="AE266" s="236"/>
      <c r="AF266" s="85" t="s">
        <v>7432</v>
      </c>
      <c r="AG266" s="290" t="s">
        <v>192</v>
      </c>
      <c r="AH266" s="290" t="s">
        <v>192</v>
      </c>
    </row>
    <row r="267" spans="1:34" s="297" customFormat="1" ht="15" customHeight="1" x14ac:dyDescent="0.25">
      <c r="A267" s="289">
        <v>891780111</v>
      </c>
      <c r="B267" s="289" t="s">
        <v>54</v>
      </c>
      <c r="C267" s="290" t="s">
        <v>56</v>
      </c>
      <c r="D267" s="289" t="s">
        <v>60</v>
      </c>
      <c r="E267" s="290" t="s">
        <v>7433</v>
      </c>
      <c r="F267" s="289" t="s">
        <v>61</v>
      </c>
      <c r="G267" s="85" t="s">
        <v>63</v>
      </c>
      <c r="H267" s="85" t="s">
        <v>73</v>
      </c>
      <c r="I267" s="237">
        <v>14673000</v>
      </c>
      <c r="J267" s="290">
        <v>1</v>
      </c>
      <c r="K267" s="291">
        <v>2377000</v>
      </c>
      <c r="L267" s="291"/>
      <c r="M267" s="292">
        <f t="shared" si="12"/>
        <v>17050000</v>
      </c>
      <c r="N267" s="85">
        <v>75035405</v>
      </c>
      <c r="O267" s="85" t="s">
        <v>7434</v>
      </c>
      <c r="P267" s="85" t="s">
        <v>7435</v>
      </c>
      <c r="Q267" s="293">
        <v>44953</v>
      </c>
      <c r="R267" s="293">
        <v>44953</v>
      </c>
      <c r="S267" s="293">
        <v>45084</v>
      </c>
      <c r="T267" s="293"/>
      <c r="U267" s="293"/>
      <c r="V267" s="293"/>
      <c r="W267" s="294">
        <v>45093</v>
      </c>
      <c r="X267" s="237">
        <v>17050000</v>
      </c>
      <c r="Y267" s="295">
        <f t="shared" si="13"/>
        <v>0</v>
      </c>
      <c r="Z267" s="296">
        <f t="shared" si="14"/>
        <v>1</v>
      </c>
      <c r="AA267" s="85">
        <v>85152695</v>
      </c>
      <c r="AB267" s="85" t="s">
        <v>6984</v>
      </c>
      <c r="AC267" s="290" t="s">
        <v>196</v>
      </c>
      <c r="AD267" s="290" t="s">
        <v>196</v>
      </c>
      <c r="AE267" s="236"/>
      <c r="AF267" s="85" t="s">
        <v>7436</v>
      </c>
      <c r="AG267" s="290" t="s">
        <v>192</v>
      </c>
      <c r="AH267" s="290" t="s">
        <v>192</v>
      </c>
    </row>
    <row r="268" spans="1:34" s="297" customFormat="1" ht="15" customHeight="1" x14ac:dyDescent="0.25">
      <c r="A268" s="289">
        <v>891780111</v>
      </c>
      <c r="B268" s="289" t="s">
        <v>54</v>
      </c>
      <c r="C268" s="290" t="s">
        <v>56</v>
      </c>
      <c r="D268" s="289" t="s">
        <v>60</v>
      </c>
      <c r="E268" s="290" t="s">
        <v>7437</v>
      </c>
      <c r="F268" s="289" t="s">
        <v>61</v>
      </c>
      <c r="G268" s="85" t="s">
        <v>63</v>
      </c>
      <c r="H268" s="85" t="s">
        <v>73</v>
      </c>
      <c r="I268" s="237">
        <v>3400000</v>
      </c>
      <c r="J268" s="290"/>
      <c r="K268" s="291"/>
      <c r="L268" s="291"/>
      <c r="M268" s="292">
        <f t="shared" si="12"/>
        <v>3400000</v>
      </c>
      <c r="N268" s="85">
        <v>1082938941</v>
      </c>
      <c r="O268" s="85" t="s">
        <v>7438</v>
      </c>
      <c r="P268" s="85" t="s">
        <v>7439</v>
      </c>
      <c r="Q268" s="293">
        <v>44956</v>
      </c>
      <c r="R268" s="293">
        <v>44956</v>
      </c>
      <c r="S268" s="293">
        <v>44974</v>
      </c>
      <c r="T268" s="293"/>
      <c r="U268" s="293"/>
      <c r="V268" s="293"/>
      <c r="W268" s="294"/>
      <c r="X268" s="237">
        <v>3400000</v>
      </c>
      <c r="Y268" s="295">
        <f t="shared" si="13"/>
        <v>0</v>
      </c>
      <c r="Z268" s="296">
        <f t="shared" si="14"/>
        <v>1</v>
      </c>
      <c r="AA268" s="85">
        <v>1082868728</v>
      </c>
      <c r="AB268" s="85" t="s">
        <v>6010</v>
      </c>
      <c r="AC268" s="290" t="s">
        <v>196</v>
      </c>
      <c r="AD268" s="290" t="s">
        <v>196</v>
      </c>
      <c r="AE268" s="236"/>
      <c r="AF268" s="85" t="s">
        <v>7440</v>
      </c>
      <c r="AG268" s="290" t="s">
        <v>192</v>
      </c>
      <c r="AH268" s="290" t="s">
        <v>192</v>
      </c>
    </row>
    <row r="269" spans="1:34" s="297" customFormat="1" ht="15" customHeight="1" x14ac:dyDescent="0.25">
      <c r="A269" s="289">
        <v>891780111</v>
      </c>
      <c r="B269" s="289" t="s">
        <v>54</v>
      </c>
      <c r="C269" s="290" t="s">
        <v>56</v>
      </c>
      <c r="D269" s="289" t="s">
        <v>60</v>
      </c>
      <c r="E269" s="290" t="s">
        <v>7441</v>
      </c>
      <c r="F269" s="289" t="s">
        <v>61</v>
      </c>
      <c r="G269" s="85" t="s">
        <v>63</v>
      </c>
      <c r="H269" s="85" t="s">
        <v>73</v>
      </c>
      <c r="I269" s="237">
        <v>12973000</v>
      </c>
      <c r="J269" s="290">
        <v>2</v>
      </c>
      <c r="K269" s="291">
        <v>1493000</v>
      </c>
      <c r="L269" s="291"/>
      <c r="M269" s="292">
        <f t="shared" si="12"/>
        <v>14466000</v>
      </c>
      <c r="N269" s="85">
        <v>1083045649</v>
      </c>
      <c r="O269" s="85" t="s">
        <v>7442</v>
      </c>
      <c r="P269" s="85" t="s">
        <v>7443</v>
      </c>
      <c r="Q269" s="293">
        <v>44956</v>
      </c>
      <c r="R269" s="293">
        <v>44956</v>
      </c>
      <c r="S269" s="293">
        <v>45084</v>
      </c>
      <c r="T269" s="293"/>
      <c r="U269" s="293"/>
      <c r="V269" s="293"/>
      <c r="W269" s="294">
        <v>45100</v>
      </c>
      <c r="X269" s="237">
        <v>14466000</v>
      </c>
      <c r="Y269" s="295">
        <f t="shared" si="13"/>
        <v>0</v>
      </c>
      <c r="Z269" s="296">
        <f t="shared" si="14"/>
        <v>1</v>
      </c>
      <c r="AA269" s="85">
        <v>1082868728</v>
      </c>
      <c r="AB269" s="85" t="s">
        <v>6010</v>
      </c>
      <c r="AC269" s="290" t="s">
        <v>196</v>
      </c>
      <c r="AD269" s="290" t="s">
        <v>196</v>
      </c>
      <c r="AE269" s="236"/>
      <c r="AF269" s="85" t="s">
        <v>7444</v>
      </c>
      <c r="AG269" s="290" t="s">
        <v>192</v>
      </c>
      <c r="AH269" s="290" t="s">
        <v>192</v>
      </c>
    </row>
    <row r="270" spans="1:34" s="297" customFormat="1" ht="15" customHeight="1" x14ac:dyDescent="0.25">
      <c r="A270" s="289">
        <v>891780111</v>
      </c>
      <c r="B270" s="289" t="s">
        <v>54</v>
      </c>
      <c r="C270" s="290" t="s">
        <v>59</v>
      </c>
      <c r="D270" s="289" t="s">
        <v>60</v>
      </c>
      <c r="E270" s="290" t="s">
        <v>7445</v>
      </c>
      <c r="F270" s="289" t="s">
        <v>61</v>
      </c>
      <c r="G270" s="85" t="s">
        <v>63</v>
      </c>
      <c r="H270" s="85" t="s">
        <v>73</v>
      </c>
      <c r="I270" s="237">
        <v>17600000</v>
      </c>
      <c r="J270" s="290"/>
      <c r="K270" s="291"/>
      <c r="L270" s="291"/>
      <c r="M270" s="292">
        <f t="shared" si="12"/>
        <v>17600000</v>
      </c>
      <c r="N270" s="85">
        <v>1020757081</v>
      </c>
      <c r="O270" s="85" t="s">
        <v>7446</v>
      </c>
      <c r="P270" s="85" t="s">
        <v>7447</v>
      </c>
      <c r="Q270" s="293">
        <v>44956</v>
      </c>
      <c r="R270" s="293">
        <v>44956</v>
      </c>
      <c r="S270" s="293">
        <v>45091</v>
      </c>
      <c r="T270" s="293"/>
      <c r="U270" s="293"/>
      <c r="V270" s="293"/>
      <c r="W270" s="294"/>
      <c r="X270" s="237">
        <v>7040000</v>
      </c>
      <c r="Y270" s="295">
        <f t="shared" si="13"/>
        <v>10560000</v>
      </c>
      <c r="Z270" s="296">
        <f t="shared" si="14"/>
        <v>0.4</v>
      </c>
      <c r="AA270" s="85">
        <v>8746547</v>
      </c>
      <c r="AB270" s="85" t="s">
        <v>7345</v>
      </c>
      <c r="AC270" s="290" t="s">
        <v>196</v>
      </c>
      <c r="AD270" s="290" t="s">
        <v>196</v>
      </c>
      <c r="AE270" s="236"/>
      <c r="AF270" s="85" t="s">
        <v>7448</v>
      </c>
      <c r="AG270" s="290" t="s">
        <v>192</v>
      </c>
      <c r="AH270" s="290" t="s">
        <v>192</v>
      </c>
    </row>
    <row r="271" spans="1:34" s="297" customFormat="1" ht="15" customHeight="1" x14ac:dyDescent="0.25">
      <c r="A271" s="289">
        <v>891780111</v>
      </c>
      <c r="B271" s="289" t="s">
        <v>54</v>
      </c>
      <c r="C271" s="290" t="s">
        <v>56</v>
      </c>
      <c r="D271" s="289" t="s">
        <v>60</v>
      </c>
      <c r="E271" s="290" t="s">
        <v>7449</v>
      </c>
      <c r="F271" s="289" t="s">
        <v>61</v>
      </c>
      <c r="G271" s="85" t="s">
        <v>63</v>
      </c>
      <c r="H271" s="85" t="s">
        <v>73</v>
      </c>
      <c r="I271" s="237">
        <v>10450000</v>
      </c>
      <c r="J271" s="290">
        <v>1</v>
      </c>
      <c r="K271" s="291">
        <v>887000</v>
      </c>
      <c r="L271" s="291"/>
      <c r="M271" s="292">
        <f t="shared" si="12"/>
        <v>11337000</v>
      </c>
      <c r="N271" s="85">
        <v>1079941098</v>
      </c>
      <c r="O271" s="85" t="s">
        <v>7450</v>
      </c>
      <c r="P271" s="85" t="s">
        <v>7451</v>
      </c>
      <c r="Q271" s="293">
        <v>44956</v>
      </c>
      <c r="R271" s="293">
        <v>44956</v>
      </c>
      <c r="S271" s="293">
        <v>45093</v>
      </c>
      <c r="T271" s="293"/>
      <c r="U271" s="293"/>
      <c r="V271" s="293"/>
      <c r="W271" s="294">
        <v>45107</v>
      </c>
      <c r="X271" s="237">
        <v>11337000</v>
      </c>
      <c r="Y271" s="295">
        <f t="shared" si="13"/>
        <v>0</v>
      </c>
      <c r="Z271" s="296">
        <f t="shared" si="14"/>
        <v>1</v>
      </c>
      <c r="AA271" s="85">
        <v>85459497</v>
      </c>
      <c r="AB271" s="85" t="s">
        <v>4837</v>
      </c>
      <c r="AC271" s="290" t="s">
        <v>196</v>
      </c>
      <c r="AD271" s="290" t="s">
        <v>196</v>
      </c>
      <c r="AE271" s="236"/>
      <c r="AF271" s="85" t="s">
        <v>7452</v>
      </c>
      <c r="AG271" s="290" t="s">
        <v>192</v>
      </c>
      <c r="AH271" s="290" t="s">
        <v>192</v>
      </c>
    </row>
    <row r="272" spans="1:34" s="297" customFormat="1" ht="15" customHeight="1" x14ac:dyDescent="0.25">
      <c r="A272" s="289">
        <v>891780111</v>
      </c>
      <c r="B272" s="289" t="s">
        <v>54</v>
      </c>
      <c r="C272" s="290" t="s">
        <v>56</v>
      </c>
      <c r="D272" s="289" t="s">
        <v>60</v>
      </c>
      <c r="E272" s="290" t="s">
        <v>7453</v>
      </c>
      <c r="F272" s="289" t="s">
        <v>61</v>
      </c>
      <c r="G272" s="85" t="s">
        <v>63</v>
      </c>
      <c r="H272" s="85" t="s">
        <v>73</v>
      </c>
      <c r="I272" s="237">
        <v>9753000</v>
      </c>
      <c r="J272" s="290"/>
      <c r="K272" s="291"/>
      <c r="L272" s="291"/>
      <c r="M272" s="292">
        <f t="shared" si="12"/>
        <v>9753000</v>
      </c>
      <c r="N272" s="85">
        <v>84455698</v>
      </c>
      <c r="O272" s="85" t="s">
        <v>7454</v>
      </c>
      <c r="P272" s="85" t="s">
        <v>6715</v>
      </c>
      <c r="Q272" s="293">
        <v>44959</v>
      </c>
      <c r="R272" s="293">
        <v>44959</v>
      </c>
      <c r="S272" s="293">
        <v>45093</v>
      </c>
      <c r="T272" s="293"/>
      <c r="U272" s="293"/>
      <c r="V272" s="293"/>
      <c r="W272" s="294"/>
      <c r="X272" s="237">
        <v>9753000</v>
      </c>
      <c r="Y272" s="295">
        <f t="shared" si="13"/>
        <v>0</v>
      </c>
      <c r="Z272" s="296">
        <f t="shared" si="14"/>
        <v>1</v>
      </c>
      <c r="AA272" s="85">
        <v>85459497</v>
      </c>
      <c r="AB272" s="85" t="s">
        <v>4837</v>
      </c>
      <c r="AC272" s="290" t="s">
        <v>196</v>
      </c>
      <c r="AD272" s="290" t="s">
        <v>196</v>
      </c>
      <c r="AE272" s="236"/>
      <c r="AF272" s="85" t="s">
        <v>7455</v>
      </c>
      <c r="AG272" s="290" t="s">
        <v>192</v>
      </c>
      <c r="AH272" s="290" t="s">
        <v>192</v>
      </c>
    </row>
    <row r="273" spans="1:34" s="297" customFormat="1" ht="15" customHeight="1" x14ac:dyDescent="0.25">
      <c r="A273" s="289">
        <v>891780111</v>
      </c>
      <c r="B273" s="289" t="s">
        <v>54</v>
      </c>
      <c r="C273" s="290" t="s">
        <v>56</v>
      </c>
      <c r="D273" s="289" t="s">
        <v>60</v>
      </c>
      <c r="E273" s="290" t="s">
        <v>7456</v>
      </c>
      <c r="F273" s="289" t="s">
        <v>61</v>
      </c>
      <c r="G273" s="85" t="s">
        <v>63</v>
      </c>
      <c r="H273" s="85" t="s">
        <v>73</v>
      </c>
      <c r="I273" s="237">
        <v>14570000</v>
      </c>
      <c r="J273" s="290"/>
      <c r="K273" s="291"/>
      <c r="L273" s="291"/>
      <c r="M273" s="292">
        <f t="shared" si="12"/>
        <v>14570000</v>
      </c>
      <c r="N273" s="85">
        <v>1082956335</v>
      </c>
      <c r="O273" s="85" t="s">
        <v>7457</v>
      </c>
      <c r="P273" s="85" t="s">
        <v>7458</v>
      </c>
      <c r="Q273" s="293">
        <v>44959</v>
      </c>
      <c r="R273" s="293">
        <v>44959</v>
      </c>
      <c r="S273" s="293">
        <v>45084</v>
      </c>
      <c r="T273" s="293"/>
      <c r="U273" s="293"/>
      <c r="V273" s="293"/>
      <c r="W273" s="294"/>
      <c r="X273" s="237">
        <v>14570000</v>
      </c>
      <c r="Y273" s="295">
        <f t="shared" si="13"/>
        <v>0</v>
      </c>
      <c r="Z273" s="296">
        <f t="shared" si="14"/>
        <v>1</v>
      </c>
      <c r="AA273" s="85">
        <v>36665858</v>
      </c>
      <c r="AB273" s="85" t="s">
        <v>5707</v>
      </c>
      <c r="AC273" s="290" t="s">
        <v>196</v>
      </c>
      <c r="AD273" s="290" t="s">
        <v>196</v>
      </c>
      <c r="AE273" s="236"/>
      <c r="AF273" s="85" t="s">
        <v>7459</v>
      </c>
      <c r="AG273" s="290" t="s">
        <v>192</v>
      </c>
      <c r="AH273" s="290" t="s">
        <v>192</v>
      </c>
    </row>
    <row r="274" spans="1:34" s="297" customFormat="1" ht="15" customHeight="1" x14ac:dyDescent="0.25">
      <c r="A274" s="289">
        <v>891780111</v>
      </c>
      <c r="B274" s="289" t="s">
        <v>54</v>
      </c>
      <c r="C274" s="290" t="s">
        <v>56</v>
      </c>
      <c r="D274" s="289" t="s">
        <v>60</v>
      </c>
      <c r="E274" s="290" t="s">
        <v>7460</v>
      </c>
      <c r="F274" s="289" t="s">
        <v>61</v>
      </c>
      <c r="G274" s="85" t="s">
        <v>63</v>
      </c>
      <c r="H274" s="85" t="s">
        <v>73</v>
      </c>
      <c r="I274" s="237">
        <v>2200000</v>
      </c>
      <c r="J274" s="290"/>
      <c r="K274" s="291"/>
      <c r="L274" s="291"/>
      <c r="M274" s="292">
        <f t="shared" si="12"/>
        <v>2200000</v>
      </c>
      <c r="N274" s="85">
        <v>1052088292</v>
      </c>
      <c r="O274" s="85" t="s">
        <v>7461</v>
      </c>
      <c r="P274" s="85" t="s">
        <v>7462</v>
      </c>
      <c r="Q274" s="293">
        <v>44959</v>
      </c>
      <c r="R274" s="293">
        <v>44959</v>
      </c>
      <c r="S274" s="293">
        <v>44980</v>
      </c>
      <c r="T274" s="293"/>
      <c r="U274" s="293"/>
      <c r="V274" s="293"/>
      <c r="W274" s="294"/>
      <c r="X274" s="237">
        <v>2200000</v>
      </c>
      <c r="Y274" s="295">
        <f t="shared" si="13"/>
        <v>0</v>
      </c>
      <c r="Z274" s="296">
        <f t="shared" si="14"/>
        <v>1</v>
      </c>
      <c r="AA274" s="85">
        <v>1082868728</v>
      </c>
      <c r="AB274" s="85" t="s">
        <v>6010</v>
      </c>
      <c r="AC274" s="290" t="s">
        <v>196</v>
      </c>
      <c r="AD274" s="290" t="s">
        <v>196</v>
      </c>
      <c r="AE274" s="236"/>
      <c r="AF274" s="85" t="s">
        <v>7463</v>
      </c>
      <c r="AG274" s="290" t="s">
        <v>192</v>
      </c>
      <c r="AH274" s="290" t="s">
        <v>192</v>
      </c>
    </row>
    <row r="275" spans="1:34" s="297" customFormat="1" ht="15" customHeight="1" x14ac:dyDescent="0.25">
      <c r="A275" s="289">
        <v>891780111</v>
      </c>
      <c r="B275" s="289" t="s">
        <v>54</v>
      </c>
      <c r="C275" s="290" t="s">
        <v>57</v>
      </c>
      <c r="D275" s="289" t="s">
        <v>60</v>
      </c>
      <c r="E275" s="290" t="s">
        <v>7464</v>
      </c>
      <c r="F275" s="289" t="s">
        <v>61</v>
      </c>
      <c r="G275" s="85" t="s">
        <v>63</v>
      </c>
      <c r="H275" s="85" t="s">
        <v>73</v>
      </c>
      <c r="I275" s="237">
        <v>8750000</v>
      </c>
      <c r="J275" s="290"/>
      <c r="K275" s="291"/>
      <c r="L275" s="291"/>
      <c r="M275" s="292">
        <f t="shared" si="12"/>
        <v>8750000</v>
      </c>
      <c r="N275" s="85">
        <v>1082926063</v>
      </c>
      <c r="O275" s="85" t="s">
        <v>6457</v>
      </c>
      <c r="P275" s="85" t="s">
        <v>7465</v>
      </c>
      <c r="Q275" s="293">
        <v>44959</v>
      </c>
      <c r="R275" s="293">
        <v>44959</v>
      </c>
      <c r="S275" s="293">
        <v>45077</v>
      </c>
      <c r="T275" s="293" t="s">
        <v>192</v>
      </c>
      <c r="U275" s="293">
        <v>45040</v>
      </c>
      <c r="V275" s="293">
        <v>45166</v>
      </c>
      <c r="W275" s="294"/>
      <c r="X275" s="237">
        <v>6230000</v>
      </c>
      <c r="Y275" s="295">
        <f t="shared" si="13"/>
        <v>2520000</v>
      </c>
      <c r="Z275" s="296">
        <f t="shared" si="14"/>
        <v>0.71199999999999997</v>
      </c>
      <c r="AA275" s="85">
        <v>36726018</v>
      </c>
      <c r="AB275" s="85" t="s">
        <v>7466</v>
      </c>
      <c r="AC275" s="290" t="s">
        <v>196</v>
      </c>
      <c r="AD275" s="290" t="s">
        <v>196</v>
      </c>
      <c r="AE275" s="236"/>
      <c r="AF275" s="85" t="s">
        <v>7467</v>
      </c>
      <c r="AG275" s="290" t="s">
        <v>192</v>
      </c>
      <c r="AH275" s="290" t="s">
        <v>192</v>
      </c>
    </row>
    <row r="276" spans="1:34" s="297" customFormat="1" ht="15" customHeight="1" x14ac:dyDescent="0.25">
      <c r="A276" s="289">
        <v>891780111</v>
      </c>
      <c r="B276" s="289" t="s">
        <v>54</v>
      </c>
      <c r="C276" s="290" t="s">
        <v>57</v>
      </c>
      <c r="D276" s="289" t="s">
        <v>60</v>
      </c>
      <c r="E276" s="290" t="s">
        <v>7468</v>
      </c>
      <c r="F276" s="289" t="s">
        <v>61</v>
      </c>
      <c r="G276" s="85" t="s">
        <v>63</v>
      </c>
      <c r="H276" s="85" t="s">
        <v>73</v>
      </c>
      <c r="I276" s="237">
        <v>8400000</v>
      </c>
      <c r="J276" s="290"/>
      <c r="K276" s="291"/>
      <c r="L276" s="291"/>
      <c r="M276" s="292">
        <f t="shared" si="12"/>
        <v>8400000</v>
      </c>
      <c r="N276" s="85">
        <v>1082935774</v>
      </c>
      <c r="O276" s="85" t="s">
        <v>7469</v>
      </c>
      <c r="P276" s="85" t="s">
        <v>7470</v>
      </c>
      <c r="Q276" s="293">
        <v>44959</v>
      </c>
      <c r="R276" s="293">
        <v>44959</v>
      </c>
      <c r="S276" s="293">
        <v>45077</v>
      </c>
      <c r="T276" s="293" t="s">
        <v>192</v>
      </c>
      <c r="U276" s="293">
        <v>45035</v>
      </c>
      <c r="V276" s="293">
        <v>45168</v>
      </c>
      <c r="W276" s="294"/>
      <c r="X276" s="237">
        <v>5530000</v>
      </c>
      <c r="Y276" s="295">
        <f t="shared" si="13"/>
        <v>2870000</v>
      </c>
      <c r="Z276" s="296">
        <f t="shared" si="14"/>
        <v>0.65833333333333333</v>
      </c>
      <c r="AA276" s="85">
        <v>36726018</v>
      </c>
      <c r="AB276" s="85" t="s">
        <v>7466</v>
      </c>
      <c r="AC276" s="290" t="s">
        <v>196</v>
      </c>
      <c r="AD276" s="290" t="s">
        <v>196</v>
      </c>
      <c r="AE276" s="236"/>
      <c r="AF276" s="85" t="s">
        <v>7471</v>
      </c>
      <c r="AG276" s="290" t="s">
        <v>192</v>
      </c>
      <c r="AH276" s="290" t="s">
        <v>192</v>
      </c>
    </row>
    <row r="277" spans="1:34" s="297" customFormat="1" ht="15" customHeight="1" x14ac:dyDescent="0.25">
      <c r="A277" s="289">
        <v>891780111</v>
      </c>
      <c r="B277" s="289" t="s">
        <v>54</v>
      </c>
      <c r="C277" s="290" t="s">
        <v>56</v>
      </c>
      <c r="D277" s="289" t="s">
        <v>60</v>
      </c>
      <c r="E277" s="290" t="s">
        <v>7472</v>
      </c>
      <c r="F277" s="289" t="s">
        <v>61</v>
      </c>
      <c r="G277" s="85" t="s">
        <v>63</v>
      </c>
      <c r="H277" s="85" t="s">
        <v>73</v>
      </c>
      <c r="I277" s="237">
        <v>11853000</v>
      </c>
      <c r="J277" s="290"/>
      <c r="K277" s="291"/>
      <c r="L277" s="291"/>
      <c r="M277" s="292">
        <f t="shared" si="12"/>
        <v>11853000</v>
      </c>
      <c r="N277" s="85">
        <v>1082984559</v>
      </c>
      <c r="O277" s="85" t="s">
        <v>6494</v>
      </c>
      <c r="P277" s="85" t="s">
        <v>7473</v>
      </c>
      <c r="Q277" s="293">
        <v>44959</v>
      </c>
      <c r="R277" s="293">
        <v>44959</v>
      </c>
      <c r="S277" s="293">
        <v>45084</v>
      </c>
      <c r="T277" s="293"/>
      <c r="U277" s="293"/>
      <c r="V277" s="293"/>
      <c r="W277" s="294"/>
      <c r="X277" s="237">
        <v>11853000</v>
      </c>
      <c r="Y277" s="295">
        <f t="shared" si="13"/>
        <v>0</v>
      </c>
      <c r="Z277" s="296">
        <f t="shared" si="14"/>
        <v>1</v>
      </c>
      <c r="AA277" s="85">
        <v>57461216</v>
      </c>
      <c r="AB277" s="85" t="s">
        <v>6512</v>
      </c>
      <c r="AC277" s="290" t="s">
        <v>196</v>
      </c>
      <c r="AD277" s="290" t="s">
        <v>196</v>
      </c>
      <c r="AE277" s="236"/>
      <c r="AF277" s="85" t="s">
        <v>7474</v>
      </c>
      <c r="AG277" s="290" t="s">
        <v>192</v>
      </c>
      <c r="AH277" s="290" t="s">
        <v>192</v>
      </c>
    </row>
    <row r="278" spans="1:34" s="297" customFormat="1" ht="15" customHeight="1" x14ac:dyDescent="0.25">
      <c r="A278" s="289">
        <v>891780111</v>
      </c>
      <c r="B278" s="289" t="s">
        <v>54</v>
      </c>
      <c r="C278" s="290" t="s">
        <v>56</v>
      </c>
      <c r="D278" s="289" t="s">
        <v>60</v>
      </c>
      <c r="E278" s="290" t="s">
        <v>7475</v>
      </c>
      <c r="F278" s="289" t="s">
        <v>61</v>
      </c>
      <c r="G278" s="85" t="s">
        <v>63</v>
      </c>
      <c r="H278" s="85" t="s">
        <v>73</v>
      </c>
      <c r="I278" s="237">
        <v>11853000</v>
      </c>
      <c r="J278" s="290">
        <v>1</v>
      </c>
      <c r="K278" s="291">
        <v>2147000</v>
      </c>
      <c r="L278" s="291"/>
      <c r="M278" s="292">
        <f t="shared" si="12"/>
        <v>14000000</v>
      </c>
      <c r="N278" s="85">
        <v>1143379940</v>
      </c>
      <c r="O278" s="85" t="s">
        <v>6486</v>
      </c>
      <c r="P278" s="85" t="s">
        <v>7476</v>
      </c>
      <c r="Q278" s="293">
        <v>44959</v>
      </c>
      <c r="R278" s="293">
        <v>44959</v>
      </c>
      <c r="S278" s="293">
        <v>45084</v>
      </c>
      <c r="T278" s="293"/>
      <c r="U278" s="293"/>
      <c r="V278" s="293">
        <v>45107</v>
      </c>
      <c r="W278" s="294"/>
      <c r="X278" s="237">
        <v>14000000</v>
      </c>
      <c r="Y278" s="295">
        <f t="shared" si="13"/>
        <v>0</v>
      </c>
      <c r="Z278" s="296">
        <f t="shared" si="14"/>
        <v>1</v>
      </c>
      <c r="AA278" s="85">
        <v>57461216</v>
      </c>
      <c r="AB278" s="85" t="s">
        <v>6512</v>
      </c>
      <c r="AC278" s="290" t="s">
        <v>196</v>
      </c>
      <c r="AD278" s="290" t="s">
        <v>196</v>
      </c>
      <c r="AE278" s="236"/>
      <c r="AF278" s="85" t="s">
        <v>7477</v>
      </c>
      <c r="AG278" s="290" t="s">
        <v>192</v>
      </c>
      <c r="AH278" s="290" t="s">
        <v>192</v>
      </c>
    </row>
    <row r="279" spans="1:34" s="297" customFormat="1" ht="15" customHeight="1" x14ac:dyDescent="0.25">
      <c r="A279" s="289">
        <v>891780111</v>
      </c>
      <c r="B279" s="289" t="s">
        <v>54</v>
      </c>
      <c r="C279" s="290" t="s">
        <v>56</v>
      </c>
      <c r="D279" s="289" t="s">
        <v>60</v>
      </c>
      <c r="E279" s="290" t="s">
        <v>7478</v>
      </c>
      <c r="F279" s="289" t="s">
        <v>61</v>
      </c>
      <c r="G279" s="85" t="s">
        <v>63</v>
      </c>
      <c r="H279" s="85" t="s">
        <v>73</v>
      </c>
      <c r="I279" s="237">
        <v>10583000</v>
      </c>
      <c r="J279" s="290"/>
      <c r="K279" s="291"/>
      <c r="L279" s="291"/>
      <c r="M279" s="292">
        <f t="shared" si="12"/>
        <v>10583000</v>
      </c>
      <c r="N279" s="85">
        <v>1065632898</v>
      </c>
      <c r="O279" s="85" t="s">
        <v>7479</v>
      </c>
      <c r="P279" s="85" t="s">
        <v>7480</v>
      </c>
      <c r="Q279" s="293">
        <v>44959</v>
      </c>
      <c r="R279" s="293">
        <v>44959</v>
      </c>
      <c r="S279" s="293">
        <v>45084</v>
      </c>
      <c r="T279" s="293"/>
      <c r="U279" s="293"/>
      <c r="V279" s="293"/>
      <c r="W279" s="294"/>
      <c r="X279" s="237">
        <v>10583000</v>
      </c>
      <c r="Y279" s="295">
        <f t="shared" si="13"/>
        <v>0</v>
      </c>
      <c r="Z279" s="296">
        <f t="shared" si="14"/>
        <v>1</v>
      </c>
      <c r="AA279" s="85">
        <v>57461216</v>
      </c>
      <c r="AB279" s="85" t="s">
        <v>6512</v>
      </c>
      <c r="AC279" s="290" t="s">
        <v>196</v>
      </c>
      <c r="AD279" s="290" t="s">
        <v>196</v>
      </c>
      <c r="AE279" s="236"/>
      <c r="AF279" s="85" t="s">
        <v>7481</v>
      </c>
      <c r="AG279" s="290" t="s">
        <v>192</v>
      </c>
      <c r="AH279" s="290" t="s">
        <v>192</v>
      </c>
    </row>
    <row r="280" spans="1:34" s="297" customFormat="1" ht="15" customHeight="1" x14ac:dyDescent="0.25">
      <c r="A280" s="289">
        <v>891780111</v>
      </c>
      <c r="B280" s="289" t="s">
        <v>54</v>
      </c>
      <c r="C280" s="290" t="s">
        <v>56</v>
      </c>
      <c r="D280" s="289" t="s">
        <v>60</v>
      </c>
      <c r="E280" s="290" t="s">
        <v>7482</v>
      </c>
      <c r="F280" s="289" t="s">
        <v>61</v>
      </c>
      <c r="G280" s="85" t="s">
        <v>63</v>
      </c>
      <c r="H280" s="85" t="s">
        <v>73</v>
      </c>
      <c r="I280" s="237">
        <v>9313000</v>
      </c>
      <c r="J280" s="290"/>
      <c r="K280" s="291"/>
      <c r="L280" s="291"/>
      <c r="M280" s="292">
        <f t="shared" si="12"/>
        <v>9313000</v>
      </c>
      <c r="N280" s="85">
        <v>85449729</v>
      </c>
      <c r="O280" s="85" t="s">
        <v>7483</v>
      </c>
      <c r="P280" s="85" t="s">
        <v>7484</v>
      </c>
      <c r="Q280" s="293">
        <v>44959</v>
      </c>
      <c r="R280" s="293">
        <v>44959</v>
      </c>
      <c r="S280" s="293">
        <v>45084</v>
      </c>
      <c r="T280" s="293"/>
      <c r="U280" s="293"/>
      <c r="V280" s="293"/>
      <c r="W280" s="294"/>
      <c r="X280" s="237">
        <v>9313000</v>
      </c>
      <c r="Y280" s="295">
        <f t="shared" si="13"/>
        <v>0</v>
      </c>
      <c r="Z280" s="296">
        <f t="shared" si="14"/>
        <v>1</v>
      </c>
      <c r="AA280" s="85">
        <v>85152695</v>
      </c>
      <c r="AB280" s="85" t="s">
        <v>6984</v>
      </c>
      <c r="AC280" s="290" t="s">
        <v>196</v>
      </c>
      <c r="AD280" s="290" t="s">
        <v>196</v>
      </c>
      <c r="AE280" s="236"/>
      <c r="AF280" s="85" t="s">
        <v>7485</v>
      </c>
      <c r="AG280" s="290" t="s">
        <v>192</v>
      </c>
      <c r="AH280" s="290" t="s">
        <v>192</v>
      </c>
    </row>
    <row r="281" spans="1:34" s="297" customFormat="1" ht="15" customHeight="1" x14ac:dyDescent="0.25">
      <c r="A281" s="289">
        <v>891780111</v>
      </c>
      <c r="B281" s="289" t="s">
        <v>54</v>
      </c>
      <c r="C281" s="290" t="s">
        <v>56</v>
      </c>
      <c r="D281" s="289" t="s">
        <v>60</v>
      </c>
      <c r="E281" s="290" t="s">
        <v>7486</v>
      </c>
      <c r="F281" s="289" t="s">
        <v>61</v>
      </c>
      <c r="G281" s="85" t="s">
        <v>63</v>
      </c>
      <c r="H281" s="85" t="s">
        <v>73</v>
      </c>
      <c r="I281" s="237">
        <v>11853000</v>
      </c>
      <c r="J281" s="290"/>
      <c r="K281" s="291"/>
      <c r="L281" s="291"/>
      <c r="M281" s="292">
        <f t="shared" si="12"/>
        <v>11853000</v>
      </c>
      <c r="N281" s="85">
        <v>85271941</v>
      </c>
      <c r="O281" s="85" t="s">
        <v>7487</v>
      </c>
      <c r="P281" s="85" t="s">
        <v>7488</v>
      </c>
      <c r="Q281" s="293">
        <v>44959</v>
      </c>
      <c r="R281" s="293">
        <v>44959</v>
      </c>
      <c r="S281" s="293">
        <v>45084</v>
      </c>
      <c r="T281" s="293"/>
      <c r="U281" s="293"/>
      <c r="V281" s="293"/>
      <c r="W281" s="294"/>
      <c r="X281" s="237">
        <v>5600000</v>
      </c>
      <c r="Y281" s="295">
        <f t="shared" si="13"/>
        <v>6253000</v>
      </c>
      <c r="Z281" s="296">
        <f t="shared" si="14"/>
        <v>0.47245423099637224</v>
      </c>
      <c r="AA281" s="85">
        <v>57461216</v>
      </c>
      <c r="AB281" s="85" t="s">
        <v>6512</v>
      </c>
      <c r="AC281" s="290" t="s">
        <v>196</v>
      </c>
      <c r="AD281" s="290" t="s">
        <v>196</v>
      </c>
      <c r="AE281" s="236"/>
      <c r="AF281" s="85" t="s">
        <v>7489</v>
      </c>
      <c r="AG281" s="290" t="s">
        <v>192</v>
      </c>
      <c r="AH281" s="290" t="s">
        <v>192</v>
      </c>
    </row>
    <row r="282" spans="1:34" s="297" customFormat="1" ht="15" customHeight="1" x14ac:dyDescent="0.25">
      <c r="A282" s="289">
        <v>891780111</v>
      </c>
      <c r="B282" s="289" t="s">
        <v>54</v>
      </c>
      <c r="C282" s="290" t="s">
        <v>56</v>
      </c>
      <c r="D282" s="289" t="s">
        <v>60</v>
      </c>
      <c r="E282" s="290" t="s">
        <v>7490</v>
      </c>
      <c r="F282" s="289" t="s">
        <v>61</v>
      </c>
      <c r="G282" s="85" t="s">
        <v>63</v>
      </c>
      <c r="H282" s="85" t="s">
        <v>73</v>
      </c>
      <c r="I282" s="237">
        <v>8043000</v>
      </c>
      <c r="J282" s="290">
        <v>1</v>
      </c>
      <c r="K282" s="291">
        <v>1457000</v>
      </c>
      <c r="L282" s="291"/>
      <c r="M282" s="292">
        <f t="shared" si="12"/>
        <v>9500000</v>
      </c>
      <c r="N282" s="85">
        <v>85150457</v>
      </c>
      <c r="O282" s="85" t="s">
        <v>7491</v>
      </c>
      <c r="P282" s="85" t="s">
        <v>7492</v>
      </c>
      <c r="Q282" s="293">
        <v>44959</v>
      </c>
      <c r="R282" s="293">
        <v>44959</v>
      </c>
      <c r="S282" s="293">
        <v>45084</v>
      </c>
      <c r="T282" s="293"/>
      <c r="U282" s="293"/>
      <c r="V282" s="293">
        <v>45107</v>
      </c>
      <c r="W282" s="294"/>
      <c r="X282" s="237">
        <v>9500000</v>
      </c>
      <c r="Y282" s="295">
        <f t="shared" si="13"/>
        <v>0</v>
      </c>
      <c r="Z282" s="296">
        <f t="shared" si="14"/>
        <v>1</v>
      </c>
      <c r="AA282" s="85">
        <v>7633817</v>
      </c>
      <c r="AB282" s="85" t="s">
        <v>5425</v>
      </c>
      <c r="AC282" s="290" t="s">
        <v>196</v>
      </c>
      <c r="AD282" s="290" t="s">
        <v>196</v>
      </c>
      <c r="AE282" s="236"/>
      <c r="AF282" s="85" t="s">
        <v>7493</v>
      </c>
      <c r="AG282" s="290" t="s">
        <v>192</v>
      </c>
      <c r="AH282" s="290" t="s">
        <v>192</v>
      </c>
    </row>
    <row r="283" spans="1:34" s="297" customFormat="1" ht="15" customHeight="1" x14ac:dyDescent="0.25">
      <c r="A283" s="289">
        <v>891780111</v>
      </c>
      <c r="B283" s="289" t="s">
        <v>54</v>
      </c>
      <c r="C283" s="290" t="s">
        <v>56</v>
      </c>
      <c r="D283" s="289" t="s">
        <v>60</v>
      </c>
      <c r="E283" s="290" t="s">
        <v>7494</v>
      </c>
      <c r="F283" s="289" t="s">
        <v>61</v>
      </c>
      <c r="G283" s="85" t="s">
        <v>63</v>
      </c>
      <c r="H283" s="85" t="s">
        <v>73</v>
      </c>
      <c r="I283" s="237">
        <v>21760000</v>
      </c>
      <c r="J283" s="290">
        <v>1</v>
      </c>
      <c r="K283" s="291">
        <v>2240000</v>
      </c>
      <c r="L283" s="291"/>
      <c r="M283" s="292">
        <f t="shared" si="12"/>
        <v>24000000</v>
      </c>
      <c r="N283" s="85">
        <v>7597867</v>
      </c>
      <c r="O283" s="85" t="s">
        <v>7495</v>
      </c>
      <c r="P283" s="85" t="s">
        <v>7496</v>
      </c>
      <c r="Q283" s="293">
        <v>44959</v>
      </c>
      <c r="R283" s="293">
        <v>44959</v>
      </c>
      <c r="S283" s="293">
        <v>45093</v>
      </c>
      <c r="T283" s="293"/>
      <c r="U283" s="293"/>
      <c r="V283" s="293">
        <v>45107</v>
      </c>
      <c r="W283" s="294"/>
      <c r="X283" s="237">
        <v>24000000</v>
      </c>
      <c r="Y283" s="295">
        <f t="shared" si="13"/>
        <v>0</v>
      </c>
      <c r="Z283" s="296">
        <f t="shared" si="14"/>
        <v>1</v>
      </c>
      <c r="AA283" s="85">
        <v>15443332</v>
      </c>
      <c r="AB283" s="85" t="s">
        <v>5907</v>
      </c>
      <c r="AC283" s="290" t="s">
        <v>196</v>
      </c>
      <c r="AD283" s="290" t="s">
        <v>196</v>
      </c>
      <c r="AE283" s="236"/>
      <c r="AF283" s="85" t="s">
        <v>7497</v>
      </c>
      <c r="AG283" s="290" t="s">
        <v>192</v>
      </c>
      <c r="AH283" s="290" t="s">
        <v>192</v>
      </c>
    </row>
    <row r="284" spans="1:34" s="297" customFormat="1" ht="15" customHeight="1" x14ac:dyDescent="0.25">
      <c r="A284" s="289">
        <v>891780111</v>
      </c>
      <c r="B284" s="289" t="s">
        <v>54</v>
      </c>
      <c r="C284" s="290" t="s">
        <v>56</v>
      </c>
      <c r="D284" s="289" t="s">
        <v>60</v>
      </c>
      <c r="E284" s="290" t="s">
        <v>7498</v>
      </c>
      <c r="F284" s="289" t="s">
        <v>61</v>
      </c>
      <c r="G284" s="85" t="s">
        <v>63</v>
      </c>
      <c r="H284" s="85" t="s">
        <v>73</v>
      </c>
      <c r="I284" s="237">
        <v>9313000</v>
      </c>
      <c r="J284" s="290"/>
      <c r="K284" s="291"/>
      <c r="L284" s="291"/>
      <c r="M284" s="292">
        <f t="shared" si="12"/>
        <v>9313000</v>
      </c>
      <c r="N284" s="85">
        <v>1063563098</v>
      </c>
      <c r="O284" s="85" t="s">
        <v>7499</v>
      </c>
      <c r="P284" s="85" t="s">
        <v>7500</v>
      </c>
      <c r="Q284" s="293">
        <v>44959</v>
      </c>
      <c r="R284" s="293">
        <v>44959</v>
      </c>
      <c r="S284" s="293">
        <v>45084</v>
      </c>
      <c r="T284" s="293"/>
      <c r="U284" s="293"/>
      <c r="V284" s="293"/>
      <c r="W284" s="294"/>
      <c r="X284" s="237">
        <v>9313000</v>
      </c>
      <c r="Y284" s="295">
        <f t="shared" si="13"/>
        <v>0</v>
      </c>
      <c r="Z284" s="296">
        <f t="shared" si="14"/>
        <v>1</v>
      </c>
      <c r="AA284" s="85">
        <v>72175281</v>
      </c>
      <c r="AB284" s="85" t="s">
        <v>6507</v>
      </c>
      <c r="AC284" s="290" t="s">
        <v>196</v>
      </c>
      <c r="AD284" s="290" t="s">
        <v>196</v>
      </c>
      <c r="AE284" s="236"/>
      <c r="AF284" s="85" t="s">
        <v>7501</v>
      </c>
      <c r="AG284" s="290" t="s">
        <v>192</v>
      </c>
      <c r="AH284" s="290" t="s">
        <v>192</v>
      </c>
    </row>
    <row r="285" spans="1:34" s="297" customFormat="1" ht="15" customHeight="1" x14ac:dyDescent="0.25">
      <c r="A285" s="289">
        <v>891780111</v>
      </c>
      <c r="B285" s="289" t="s">
        <v>54</v>
      </c>
      <c r="C285" s="290" t="s">
        <v>56</v>
      </c>
      <c r="D285" s="289" t="s">
        <v>60</v>
      </c>
      <c r="E285" s="290" t="s">
        <v>7502</v>
      </c>
      <c r="F285" s="289" t="s">
        <v>61</v>
      </c>
      <c r="G285" s="85" t="s">
        <v>63</v>
      </c>
      <c r="H285" s="85" t="s">
        <v>73</v>
      </c>
      <c r="I285" s="237">
        <v>8043000</v>
      </c>
      <c r="J285" s="290"/>
      <c r="K285" s="291"/>
      <c r="L285" s="291"/>
      <c r="M285" s="292">
        <f t="shared" si="12"/>
        <v>8043000</v>
      </c>
      <c r="N285" s="85">
        <v>1082958463</v>
      </c>
      <c r="O285" s="85" t="s">
        <v>7503</v>
      </c>
      <c r="P285" s="85" t="s">
        <v>7504</v>
      </c>
      <c r="Q285" s="293">
        <v>44959</v>
      </c>
      <c r="R285" s="293">
        <v>44959</v>
      </c>
      <c r="S285" s="293">
        <v>45084</v>
      </c>
      <c r="T285" s="293"/>
      <c r="U285" s="293"/>
      <c r="V285" s="293"/>
      <c r="W285" s="294"/>
      <c r="X285" s="237">
        <v>8043000</v>
      </c>
      <c r="Y285" s="295">
        <f t="shared" si="13"/>
        <v>0</v>
      </c>
      <c r="Z285" s="296">
        <f t="shared" si="14"/>
        <v>1</v>
      </c>
      <c r="AA285" s="85">
        <v>7601831</v>
      </c>
      <c r="AB285" s="85" t="s">
        <v>7383</v>
      </c>
      <c r="AC285" s="290" t="s">
        <v>196</v>
      </c>
      <c r="AD285" s="290" t="s">
        <v>196</v>
      </c>
      <c r="AE285" s="236"/>
      <c r="AF285" s="85" t="s">
        <v>7505</v>
      </c>
      <c r="AG285" s="290" t="s">
        <v>192</v>
      </c>
      <c r="AH285" s="290" t="s">
        <v>192</v>
      </c>
    </row>
    <row r="286" spans="1:34" s="297" customFormat="1" ht="15" customHeight="1" x14ac:dyDescent="0.25">
      <c r="A286" s="289">
        <v>891780111</v>
      </c>
      <c r="B286" s="289" t="s">
        <v>54</v>
      </c>
      <c r="C286" s="290" t="s">
        <v>56</v>
      </c>
      <c r="D286" s="289" t="s">
        <v>60</v>
      </c>
      <c r="E286" s="290" t="s">
        <v>7506</v>
      </c>
      <c r="F286" s="289" t="s">
        <v>61</v>
      </c>
      <c r="G286" s="85" t="s">
        <v>63</v>
      </c>
      <c r="H286" s="85" t="s">
        <v>73</v>
      </c>
      <c r="I286" s="237">
        <v>15413000</v>
      </c>
      <c r="J286" s="290"/>
      <c r="K286" s="291"/>
      <c r="L286" s="291"/>
      <c r="M286" s="292">
        <f t="shared" si="12"/>
        <v>15413000</v>
      </c>
      <c r="N286" s="85">
        <v>1082886956</v>
      </c>
      <c r="O286" s="85" t="s">
        <v>7507</v>
      </c>
      <c r="P286" s="85" t="s">
        <v>7508</v>
      </c>
      <c r="Q286" s="293">
        <v>44959</v>
      </c>
      <c r="R286" s="293">
        <v>44959</v>
      </c>
      <c r="S286" s="293">
        <v>45093</v>
      </c>
      <c r="T286" s="293"/>
      <c r="U286" s="293"/>
      <c r="V286" s="293"/>
      <c r="W286" s="294"/>
      <c r="X286" s="237">
        <v>15413000</v>
      </c>
      <c r="Y286" s="295">
        <f t="shared" si="13"/>
        <v>0</v>
      </c>
      <c r="Z286" s="296">
        <f t="shared" si="14"/>
        <v>1</v>
      </c>
      <c r="AA286" s="85">
        <v>26668285</v>
      </c>
      <c r="AB286" s="85" t="s">
        <v>5038</v>
      </c>
      <c r="AC286" s="290" t="s">
        <v>196</v>
      </c>
      <c r="AD286" s="290" t="s">
        <v>196</v>
      </c>
      <c r="AE286" s="236"/>
      <c r="AF286" s="85" t="s">
        <v>7509</v>
      </c>
      <c r="AG286" s="290" t="s">
        <v>192</v>
      </c>
      <c r="AH286" s="290" t="s">
        <v>192</v>
      </c>
    </row>
    <row r="287" spans="1:34" s="297" customFormat="1" ht="15" customHeight="1" x14ac:dyDescent="0.25">
      <c r="A287" s="289">
        <v>891780111</v>
      </c>
      <c r="B287" s="289" t="s">
        <v>54</v>
      </c>
      <c r="C287" s="290" t="s">
        <v>56</v>
      </c>
      <c r="D287" s="289" t="s">
        <v>60</v>
      </c>
      <c r="E287" s="290" t="s">
        <v>7510</v>
      </c>
      <c r="F287" s="289" t="s">
        <v>61</v>
      </c>
      <c r="G287" s="85" t="s">
        <v>63</v>
      </c>
      <c r="H287" s="85" t="s">
        <v>73</v>
      </c>
      <c r="I287" s="237">
        <v>11853000</v>
      </c>
      <c r="J287" s="290"/>
      <c r="K287" s="291"/>
      <c r="L287" s="291"/>
      <c r="M287" s="292">
        <f t="shared" si="12"/>
        <v>11853000</v>
      </c>
      <c r="N287" s="85">
        <v>36551666</v>
      </c>
      <c r="O287" s="85" t="s">
        <v>7511</v>
      </c>
      <c r="P287" s="85" t="s">
        <v>7512</v>
      </c>
      <c r="Q287" s="293">
        <v>44959</v>
      </c>
      <c r="R287" s="293">
        <v>44959</v>
      </c>
      <c r="S287" s="293">
        <v>45084</v>
      </c>
      <c r="T287" s="293"/>
      <c r="U287" s="293"/>
      <c r="V287" s="293"/>
      <c r="W287" s="294"/>
      <c r="X287" s="237">
        <v>11853000</v>
      </c>
      <c r="Y287" s="295">
        <f t="shared" si="13"/>
        <v>0</v>
      </c>
      <c r="Z287" s="296">
        <f t="shared" si="14"/>
        <v>1</v>
      </c>
      <c r="AA287" s="85">
        <v>85460625</v>
      </c>
      <c r="AB287" s="85" t="s">
        <v>6666</v>
      </c>
      <c r="AC287" s="290" t="s">
        <v>196</v>
      </c>
      <c r="AD287" s="290" t="s">
        <v>196</v>
      </c>
      <c r="AE287" s="236"/>
      <c r="AF287" s="85" t="s">
        <v>7513</v>
      </c>
      <c r="AG287" s="290" t="s">
        <v>192</v>
      </c>
      <c r="AH287" s="290" t="s">
        <v>192</v>
      </c>
    </row>
    <row r="288" spans="1:34" s="297" customFormat="1" ht="15" customHeight="1" x14ac:dyDescent="0.25">
      <c r="A288" s="289">
        <v>891780111</v>
      </c>
      <c r="B288" s="289" t="s">
        <v>54</v>
      </c>
      <c r="C288" s="290" t="s">
        <v>56</v>
      </c>
      <c r="D288" s="289" t="s">
        <v>60</v>
      </c>
      <c r="E288" s="290" t="s">
        <v>7514</v>
      </c>
      <c r="F288" s="289" t="s">
        <v>61</v>
      </c>
      <c r="G288" s="85" t="s">
        <v>63</v>
      </c>
      <c r="H288" s="85" t="s">
        <v>73</v>
      </c>
      <c r="I288" s="237">
        <v>10583000</v>
      </c>
      <c r="J288" s="290"/>
      <c r="K288" s="291"/>
      <c r="L288" s="291"/>
      <c r="M288" s="292">
        <f t="shared" si="12"/>
        <v>10583000</v>
      </c>
      <c r="N288" s="85">
        <v>85450183</v>
      </c>
      <c r="O288" s="85" t="s">
        <v>7515</v>
      </c>
      <c r="P288" s="85" t="s">
        <v>7516</v>
      </c>
      <c r="Q288" s="293">
        <v>44959</v>
      </c>
      <c r="R288" s="293">
        <v>44959</v>
      </c>
      <c r="S288" s="293">
        <v>45084</v>
      </c>
      <c r="T288" s="293"/>
      <c r="U288" s="293"/>
      <c r="V288" s="293"/>
      <c r="W288" s="294"/>
      <c r="X288" s="237">
        <v>10000000</v>
      </c>
      <c r="Y288" s="295">
        <f t="shared" si="13"/>
        <v>583000</v>
      </c>
      <c r="Z288" s="296">
        <f t="shared" si="14"/>
        <v>0.94491165076065387</v>
      </c>
      <c r="AA288" s="85">
        <v>57461216</v>
      </c>
      <c r="AB288" s="85" t="s">
        <v>6512</v>
      </c>
      <c r="AC288" s="290" t="s">
        <v>196</v>
      </c>
      <c r="AD288" s="290" t="s">
        <v>196</v>
      </c>
      <c r="AE288" s="236"/>
      <c r="AF288" s="85" t="s">
        <v>7517</v>
      </c>
      <c r="AG288" s="290" t="s">
        <v>192</v>
      </c>
      <c r="AH288" s="290" t="s">
        <v>192</v>
      </c>
    </row>
    <row r="289" spans="1:34" s="297" customFormat="1" ht="15" customHeight="1" x14ac:dyDescent="0.25">
      <c r="A289" s="289">
        <v>891780111</v>
      </c>
      <c r="B289" s="289" t="s">
        <v>54</v>
      </c>
      <c r="C289" s="290" t="s">
        <v>56</v>
      </c>
      <c r="D289" s="289" t="s">
        <v>60</v>
      </c>
      <c r="E289" s="290" t="s">
        <v>7518</v>
      </c>
      <c r="F289" s="289" t="s">
        <v>61</v>
      </c>
      <c r="G289" s="85" t="s">
        <v>63</v>
      </c>
      <c r="H289" s="85" t="s">
        <v>73</v>
      </c>
      <c r="I289" s="237">
        <v>8043000</v>
      </c>
      <c r="J289" s="290"/>
      <c r="K289" s="291"/>
      <c r="L289" s="291"/>
      <c r="M289" s="292">
        <f t="shared" si="12"/>
        <v>8043000</v>
      </c>
      <c r="N289" s="85">
        <v>1082896425</v>
      </c>
      <c r="O289" s="85" t="s">
        <v>7519</v>
      </c>
      <c r="P289" s="85" t="s">
        <v>7520</v>
      </c>
      <c r="Q289" s="293">
        <v>44959</v>
      </c>
      <c r="R289" s="293">
        <v>44959</v>
      </c>
      <c r="S289" s="293">
        <v>45084</v>
      </c>
      <c r="T289" s="293"/>
      <c r="U289" s="293"/>
      <c r="V289" s="293"/>
      <c r="W289" s="294"/>
      <c r="X289" s="237">
        <v>8043000</v>
      </c>
      <c r="Y289" s="295">
        <f t="shared" si="13"/>
        <v>0</v>
      </c>
      <c r="Z289" s="296">
        <f t="shared" si="14"/>
        <v>1</v>
      </c>
      <c r="AA289" s="85">
        <v>7601831</v>
      </c>
      <c r="AB289" s="85" t="s">
        <v>7383</v>
      </c>
      <c r="AC289" s="290" t="s">
        <v>196</v>
      </c>
      <c r="AD289" s="290" t="s">
        <v>196</v>
      </c>
      <c r="AE289" s="236"/>
      <c r="AF289" s="85" t="s">
        <v>7521</v>
      </c>
      <c r="AG289" s="290" t="s">
        <v>192</v>
      </c>
      <c r="AH289" s="290" t="s">
        <v>192</v>
      </c>
    </row>
    <row r="290" spans="1:34" s="297" customFormat="1" ht="15" customHeight="1" x14ac:dyDescent="0.25">
      <c r="A290" s="289">
        <v>891780111</v>
      </c>
      <c r="B290" s="289" t="s">
        <v>54</v>
      </c>
      <c r="C290" s="290" t="s">
        <v>56</v>
      </c>
      <c r="D290" s="289" t="s">
        <v>60</v>
      </c>
      <c r="E290" s="290" t="s">
        <v>7522</v>
      </c>
      <c r="F290" s="289" t="s">
        <v>61</v>
      </c>
      <c r="G290" s="85" t="s">
        <v>63</v>
      </c>
      <c r="H290" s="85" t="s">
        <v>73</v>
      </c>
      <c r="I290" s="237">
        <v>2200000</v>
      </c>
      <c r="J290" s="290"/>
      <c r="K290" s="291"/>
      <c r="L290" s="291"/>
      <c r="M290" s="292">
        <f t="shared" si="12"/>
        <v>2200000</v>
      </c>
      <c r="N290" s="85">
        <v>1082479254</v>
      </c>
      <c r="O290" s="85" t="s">
        <v>7523</v>
      </c>
      <c r="P290" s="85" t="s">
        <v>7524</v>
      </c>
      <c r="Q290" s="293">
        <v>44959</v>
      </c>
      <c r="R290" s="293">
        <v>44959</v>
      </c>
      <c r="S290" s="293">
        <v>44980</v>
      </c>
      <c r="T290" s="293"/>
      <c r="U290" s="293"/>
      <c r="V290" s="293"/>
      <c r="W290" s="294"/>
      <c r="X290" s="237">
        <v>2200000</v>
      </c>
      <c r="Y290" s="295">
        <f t="shared" si="13"/>
        <v>0</v>
      </c>
      <c r="Z290" s="296">
        <f t="shared" si="14"/>
        <v>1</v>
      </c>
      <c r="AA290" s="85">
        <v>1082868728</v>
      </c>
      <c r="AB290" s="85" t="s">
        <v>6010</v>
      </c>
      <c r="AC290" s="290" t="s">
        <v>196</v>
      </c>
      <c r="AD290" s="290" t="s">
        <v>196</v>
      </c>
      <c r="AE290" s="236"/>
      <c r="AF290" s="85" t="s">
        <v>7525</v>
      </c>
      <c r="AG290" s="290" t="s">
        <v>192</v>
      </c>
      <c r="AH290" s="290" t="s">
        <v>192</v>
      </c>
    </row>
    <row r="291" spans="1:34" s="297" customFormat="1" ht="15" customHeight="1" x14ac:dyDescent="0.25">
      <c r="A291" s="289">
        <v>891780111</v>
      </c>
      <c r="B291" s="289" t="s">
        <v>54</v>
      </c>
      <c r="C291" s="290" t="s">
        <v>56</v>
      </c>
      <c r="D291" s="289" t="s">
        <v>60</v>
      </c>
      <c r="E291" s="290" t="s">
        <v>7526</v>
      </c>
      <c r="F291" s="289" t="s">
        <v>61</v>
      </c>
      <c r="G291" s="85" t="s">
        <v>63</v>
      </c>
      <c r="H291" s="85" t="s">
        <v>73</v>
      </c>
      <c r="I291" s="237">
        <v>8043000</v>
      </c>
      <c r="J291" s="290">
        <v>1</v>
      </c>
      <c r="K291" s="291">
        <v>1457000</v>
      </c>
      <c r="L291" s="291"/>
      <c r="M291" s="292">
        <f t="shared" si="12"/>
        <v>9500000</v>
      </c>
      <c r="N291" s="85">
        <v>1082983512</v>
      </c>
      <c r="O291" s="85" t="s">
        <v>7527</v>
      </c>
      <c r="P291" s="85" t="s">
        <v>7528</v>
      </c>
      <c r="Q291" s="293">
        <v>44960</v>
      </c>
      <c r="R291" s="293">
        <v>44960</v>
      </c>
      <c r="S291" s="293">
        <v>45084</v>
      </c>
      <c r="T291" s="293"/>
      <c r="U291" s="293"/>
      <c r="V291" s="293"/>
      <c r="W291" s="294">
        <v>45107</v>
      </c>
      <c r="X291" s="237">
        <v>9500000</v>
      </c>
      <c r="Y291" s="295">
        <f t="shared" si="13"/>
        <v>0</v>
      </c>
      <c r="Z291" s="296">
        <f t="shared" si="14"/>
        <v>1</v>
      </c>
      <c r="AA291" s="85">
        <v>7633817</v>
      </c>
      <c r="AB291" s="85" t="s">
        <v>5425</v>
      </c>
      <c r="AC291" s="290" t="s">
        <v>196</v>
      </c>
      <c r="AD291" s="290" t="s">
        <v>196</v>
      </c>
      <c r="AE291" s="236"/>
      <c r="AF291" s="85" t="s">
        <v>7529</v>
      </c>
      <c r="AG291" s="290" t="s">
        <v>192</v>
      </c>
      <c r="AH291" s="290" t="s">
        <v>192</v>
      </c>
    </row>
    <row r="292" spans="1:34" s="297" customFormat="1" ht="15" customHeight="1" x14ac:dyDescent="0.25">
      <c r="A292" s="289">
        <v>891780111</v>
      </c>
      <c r="B292" s="289" t="s">
        <v>54</v>
      </c>
      <c r="C292" s="290" t="s">
        <v>56</v>
      </c>
      <c r="D292" s="289" t="s">
        <v>60</v>
      </c>
      <c r="E292" s="290" t="s">
        <v>7530</v>
      </c>
      <c r="F292" s="289" t="s">
        <v>61</v>
      </c>
      <c r="G292" s="85" t="s">
        <v>63</v>
      </c>
      <c r="H292" s="85" t="s">
        <v>73</v>
      </c>
      <c r="I292" s="237">
        <v>9313000</v>
      </c>
      <c r="J292" s="290"/>
      <c r="K292" s="291"/>
      <c r="L292" s="291"/>
      <c r="M292" s="292">
        <f t="shared" si="12"/>
        <v>9313000</v>
      </c>
      <c r="N292" s="85">
        <v>1082893812</v>
      </c>
      <c r="O292" s="85" t="s">
        <v>7531</v>
      </c>
      <c r="P292" s="85" t="s">
        <v>7484</v>
      </c>
      <c r="Q292" s="293">
        <v>44960</v>
      </c>
      <c r="R292" s="293">
        <v>44960</v>
      </c>
      <c r="S292" s="293">
        <v>45084</v>
      </c>
      <c r="T292" s="293"/>
      <c r="U292" s="293"/>
      <c r="V292" s="293"/>
      <c r="W292" s="294"/>
      <c r="X292" s="237">
        <v>9313000</v>
      </c>
      <c r="Y292" s="295">
        <f t="shared" si="13"/>
        <v>0</v>
      </c>
      <c r="Z292" s="296">
        <f t="shared" si="14"/>
        <v>1</v>
      </c>
      <c r="AA292" s="85">
        <v>85152695</v>
      </c>
      <c r="AB292" s="85" t="s">
        <v>6984</v>
      </c>
      <c r="AC292" s="290" t="s">
        <v>196</v>
      </c>
      <c r="AD292" s="290" t="s">
        <v>196</v>
      </c>
      <c r="AE292" s="236"/>
      <c r="AF292" s="85" t="s">
        <v>7532</v>
      </c>
      <c r="AG292" s="290" t="s">
        <v>192</v>
      </c>
      <c r="AH292" s="290" t="s">
        <v>192</v>
      </c>
    </row>
    <row r="293" spans="1:34" s="297" customFormat="1" ht="15" customHeight="1" x14ac:dyDescent="0.25">
      <c r="A293" s="289">
        <v>891780111</v>
      </c>
      <c r="B293" s="289" t="s">
        <v>54</v>
      </c>
      <c r="C293" s="290" t="s">
        <v>56</v>
      </c>
      <c r="D293" s="289" t="s">
        <v>60</v>
      </c>
      <c r="E293" s="290" t="s">
        <v>7533</v>
      </c>
      <c r="F293" s="289" t="s">
        <v>61</v>
      </c>
      <c r="G293" s="85" t="s">
        <v>63</v>
      </c>
      <c r="H293" s="85" t="s">
        <v>73</v>
      </c>
      <c r="I293" s="237">
        <v>8043000</v>
      </c>
      <c r="J293" s="290">
        <v>1</v>
      </c>
      <c r="K293" s="291">
        <v>1457000</v>
      </c>
      <c r="L293" s="291"/>
      <c r="M293" s="292">
        <f t="shared" si="12"/>
        <v>9500000</v>
      </c>
      <c r="N293" s="85">
        <v>84459678</v>
      </c>
      <c r="O293" s="85" t="s">
        <v>7534</v>
      </c>
      <c r="P293" s="85" t="s">
        <v>7535</v>
      </c>
      <c r="Q293" s="293">
        <v>44960</v>
      </c>
      <c r="R293" s="293">
        <v>44960</v>
      </c>
      <c r="S293" s="293">
        <v>45084</v>
      </c>
      <c r="T293" s="293"/>
      <c r="U293" s="293"/>
      <c r="V293" s="293"/>
      <c r="W293" s="294">
        <v>45107</v>
      </c>
      <c r="X293" s="237">
        <v>9500000</v>
      </c>
      <c r="Y293" s="295">
        <f t="shared" si="13"/>
        <v>0</v>
      </c>
      <c r="Z293" s="296">
        <f t="shared" si="14"/>
        <v>1</v>
      </c>
      <c r="AA293" s="85">
        <v>7633817</v>
      </c>
      <c r="AB293" s="85" t="s">
        <v>5425</v>
      </c>
      <c r="AC293" s="290" t="s">
        <v>196</v>
      </c>
      <c r="AD293" s="290" t="s">
        <v>196</v>
      </c>
      <c r="AE293" s="236"/>
      <c r="AF293" s="85" t="s">
        <v>7536</v>
      </c>
      <c r="AG293" s="290" t="s">
        <v>192</v>
      </c>
      <c r="AH293" s="290" t="s">
        <v>192</v>
      </c>
    </row>
    <row r="294" spans="1:34" s="297" customFormat="1" ht="15" customHeight="1" x14ac:dyDescent="0.25">
      <c r="A294" s="289">
        <v>891780111</v>
      </c>
      <c r="B294" s="289" t="s">
        <v>54</v>
      </c>
      <c r="C294" s="290" t="s">
        <v>56</v>
      </c>
      <c r="D294" s="289" t="s">
        <v>60</v>
      </c>
      <c r="E294" s="290" t="s">
        <v>7537</v>
      </c>
      <c r="F294" s="289" t="s">
        <v>61</v>
      </c>
      <c r="G294" s="85" t="s">
        <v>63</v>
      </c>
      <c r="H294" s="85" t="s">
        <v>73</v>
      </c>
      <c r="I294" s="237">
        <v>8613000</v>
      </c>
      <c r="J294" s="290">
        <v>1</v>
      </c>
      <c r="K294" s="291">
        <v>887000</v>
      </c>
      <c r="L294" s="291"/>
      <c r="M294" s="292">
        <f t="shared" si="12"/>
        <v>9500000</v>
      </c>
      <c r="N294" s="85">
        <v>1082954479</v>
      </c>
      <c r="O294" s="85" t="s">
        <v>7538</v>
      </c>
      <c r="P294" s="85" t="s">
        <v>6889</v>
      </c>
      <c r="Q294" s="293">
        <v>44960</v>
      </c>
      <c r="R294" s="293">
        <v>44960</v>
      </c>
      <c r="S294" s="293">
        <v>45093</v>
      </c>
      <c r="T294" s="293"/>
      <c r="U294" s="293"/>
      <c r="V294" s="293"/>
      <c r="W294" s="294">
        <v>45107</v>
      </c>
      <c r="X294" s="237">
        <v>7820000</v>
      </c>
      <c r="Y294" s="295">
        <f t="shared" si="13"/>
        <v>1680000</v>
      </c>
      <c r="Z294" s="296">
        <f t="shared" si="14"/>
        <v>0.82315789473684209</v>
      </c>
      <c r="AA294" s="85">
        <v>26668285</v>
      </c>
      <c r="AB294" s="85" t="s">
        <v>5038</v>
      </c>
      <c r="AC294" s="290" t="s">
        <v>196</v>
      </c>
      <c r="AD294" s="290" t="s">
        <v>196</v>
      </c>
      <c r="AE294" s="236"/>
      <c r="AF294" s="85" t="s">
        <v>7539</v>
      </c>
      <c r="AG294" s="290" t="s">
        <v>192</v>
      </c>
      <c r="AH294" s="290" t="s">
        <v>192</v>
      </c>
    </row>
    <row r="295" spans="1:34" s="297" customFormat="1" ht="15" customHeight="1" x14ac:dyDescent="0.25">
      <c r="A295" s="289">
        <v>891780111</v>
      </c>
      <c r="B295" s="289" t="s">
        <v>54</v>
      </c>
      <c r="C295" s="290" t="s">
        <v>56</v>
      </c>
      <c r="D295" s="289" t="s">
        <v>60</v>
      </c>
      <c r="E295" s="290" t="s">
        <v>7540</v>
      </c>
      <c r="F295" s="289" t="s">
        <v>61</v>
      </c>
      <c r="G295" s="85" t="s">
        <v>63</v>
      </c>
      <c r="H295" s="85" t="s">
        <v>73</v>
      </c>
      <c r="I295" s="237">
        <v>10583000</v>
      </c>
      <c r="J295" s="290"/>
      <c r="K295" s="291"/>
      <c r="L295" s="291"/>
      <c r="M295" s="292">
        <f t="shared" si="12"/>
        <v>10583000</v>
      </c>
      <c r="N295" s="85">
        <v>57426227</v>
      </c>
      <c r="O295" s="85" t="s">
        <v>7541</v>
      </c>
      <c r="P295" s="85" t="s">
        <v>7542</v>
      </c>
      <c r="Q295" s="293">
        <v>44960</v>
      </c>
      <c r="R295" s="293">
        <v>44960</v>
      </c>
      <c r="S295" s="293">
        <v>45084</v>
      </c>
      <c r="T295" s="293"/>
      <c r="U295" s="293"/>
      <c r="V295" s="293"/>
      <c r="W295" s="294"/>
      <c r="X295" s="237">
        <v>7500000</v>
      </c>
      <c r="Y295" s="295">
        <f t="shared" si="13"/>
        <v>3083000</v>
      </c>
      <c r="Z295" s="296">
        <f t="shared" si="14"/>
        <v>0.70868373807049045</v>
      </c>
      <c r="AA295" s="85">
        <v>36557666</v>
      </c>
      <c r="AB295" s="85" t="s">
        <v>6916</v>
      </c>
      <c r="AC295" s="290" t="s">
        <v>196</v>
      </c>
      <c r="AD295" s="290" t="s">
        <v>196</v>
      </c>
      <c r="AE295" s="236"/>
      <c r="AF295" s="85" t="s">
        <v>7543</v>
      </c>
      <c r="AG295" s="290" t="s">
        <v>192</v>
      </c>
      <c r="AH295" s="290" t="s">
        <v>192</v>
      </c>
    </row>
    <row r="296" spans="1:34" s="297" customFormat="1" ht="15" customHeight="1" x14ac:dyDescent="0.25">
      <c r="A296" s="289">
        <v>891780111</v>
      </c>
      <c r="B296" s="289" t="s">
        <v>54</v>
      </c>
      <c r="C296" s="290" t="s">
        <v>56</v>
      </c>
      <c r="D296" s="289" t="s">
        <v>60</v>
      </c>
      <c r="E296" s="290" t="s">
        <v>7544</v>
      </c>
      <c r="F296" s="289" t="s">
        <v>61</v>
      </c>
      <c r="G296" s="85" t="s">
        <v>63</v>
      </c>
      <c r="H296" s="85" t="s">
        <v>73</v>
      </c>
      <c r="I296" s="237">
        <v>12693000</v>
      </c>
      <c r="J296" s="290"/>
      <c r="K296" s="291"/>
      <c r="L296" s="291"/>
      <c r="M296" s="292">
        <f t="shared" si="12"/>
        <v>12693000</v>
      </c>
      <c r="N296" s="85">
        <v>1065612272</v>
      </c>
      <c r="O296" s="85" t="s">
        <v>7545</v>
      </c>
      <c r="P296" s="85" t="s">
        <v>7546</v>
      </c>
      <c r="Q296" s="293">
        <v>44960</v>
      </c>
      <c r="R296" s="293">
        <v>44960</v>
      </c>
      <c r="S296" s="293">
        <v>45093</v>
      </c>
      <c r="T296" s="293"/>
      <c r="U296" s="293"/>
      <c r="V296" s="293"/>
      <c r="W296" s="294"/>
      <c r="X296" s="237">
        <v>12693000</v>
      </c>
      <c r="Y296" s="295">
        <f t="shared" si="13"/>
        <v>0</v>
      </c>
      <c r="Z296" s="296">
        <f t="shared" si="14"/>
        <v>1</v>
      </c>
      <c r="AA296" s="85">
        <v>26668285</v>
      </c>
      <c r="AB296" s="85" t="s">
        <v>5038</v>
      </c>
      <c r="AC296" s="290" t="s">
        <v>196</v>
      </c>
      <c r="AD296" s="290" t="s">
        <v>196</v>
      </c>
      <c r="AE296" s="236"/>
      <c r="AF296" s="85" t="s">
        <v>7547</v>
      </c>
      <c r="AG296" s="290" t="s">
        <v>192</v>
      </c>
      <c r="AH296" s="290" t="s">
        <v>192</v>
      </c>
    </row>
    <row r="297" spans="1:34" s="297" customFormat="1" ht="15" customHeight="1" x14ac:dyDescent="0.25">
      <c r="A297" s="289">
        <v>891780111</v>
      </c>
      <c r="B297" s="289" t="s">
        <v>54</v>
      </c>
      <c r="C297" s="290" t="s">
        <v>56</v>
      </c>
      <c r="D297" s="289" t="s">
        <v>60</v>
      </c>
      <c r="E297" s="290" t="s">
        <v>7548</v>
      </c>
      <c r="F297" s="289" t="s">
        <v>61</v>
      </c>
      <c r="G297" s="85" t="s">
        <v>63</v>
      </c>
      <c r="H297" s="85" t="s">
        <v>73</v>
      </c>
      <c r="I297" s="237">
        <v>9313000</v>
      </c>
      <c r="J297" s="290"/>
      <c r="K297" s="291"/>
      <c r="L297" s="291"/>
      <c r="M297" s="292">
        <f t="shared" si="12"/>
        <v>9313000</v>
      </c>
      <c r="N297" s="85">
        <v>56086232</v>
      </c>
      <c r="O297" s="85" t="s">
        <v>7549</v>
      </c>
      <c r="P297" s="85" t="s">
        <v>7550</v>
      </c>
      <c r="Q297" s="293">
        <v>44960</v>
      </c>
      <c r="R297" s="293">
        <v>44960</v>
      </c>
      <c r="S297" s="293">
        <v>45084</v>
      </c>
      <c r="T297" s="293"/>
      <c r="U297" s="293"/>
      <c r="V297" s="293"/>
      <c r="W297" s="294"/>
      <c r="X297" s="237">
        <v>9313000</v>
      </c>
      <c r="Y297" s="295">
        <f t="shared" si="13"/>
        <v>0</v>
      </c>
      <c r="Z297" s="296">
        <f t="shared" si="14"/>
        <v>1</v>
      </c>
      <c r="AA297" s="85">
        <v>85152695</v>
      </c>
      <c r="AB297" s="85" t="s">
        <v>6984</v>
      </c>
      <c r="AC297" s="290" t="s">
        <v>196</v>
      </c>
      <c r="AD297" s="290" t="s">
        <v>196</v>
      </c>
      <c r="AE297" s="236"/>
      <c r="AF297" s="85" t="s">
        <v>7551</v>
      </c>
      <c r="AG297" s="290" t="s">
        <v>192</v>
      </c>
      <c r="AH297" s="290" t="s">
        <v>192</v>
      </c>
    </row>
    <row r="298" spans="1:34" s="297" customFormat="1" ht="15" customHeight="1" x14ac:dyDescent="0.25">
      <c r="A298" s="289">
        <v>891780111</v>
      </c>
      <c r="B298" s="289" t="s">
        <v>54</v>
      </c>
      <c r="C298" s="290" t="s">
        <v>56</v>
      </c>
      <c r="D298" s="289" t="s">
        <v>60</v>
      </c>
      <c r="E298" s="290" t="s">
        <v>7552</v>
      </c>
      <c r="F298" s="289" t="s">
        <v>61</v>
      </c>
      <c r="G298" s="85" t="s">
        <v>63</v>
      </c>
      <c r="H298" s="85" t="s">
        <v>73</v>
      </c>
      <c r="I298" s="237">
        <v>9313000</v>
      </c>
      <c r="J298" s="290"/>
      <c r="K298" s="291"/>
      <c r="L298" s="291"/>
      <c r="M298" s="292">
        <f t="shared" si="12"/>
        <v>9313000</v>
      </c>
      <c r="N298" s="85">
        <v>72258990</v>
      </c>
      <c r="O298" s="85" t="s">
        <v>7553</v>
      </c>
      <c r="P298" s="85" t="s">
        <v>7554</v>
      </c>
      <c r="Q298" s="293">
        <v>44960</v>
      </c>
      <c r="R298" s="293">
        <v>44960</v>
      </c>
      <c r="S298" s="293">
        <v>45084</v>
      </c>
      <c r="T298" s="293"/>
      <c r="U298" s="293"/>
      <c r="V298" s="293"/>
      <c r="W298" s="294"/>
      <c r="X298" s="237">
        <v>9313000</v>
      </c>
      <c r="Y298" s="295">
        <f t="shared" si="13"/>
        <v>0</v>
      </c>
      <c r="Z298" s="296">
        <f t="shared" si="14"/>
        <v>1</v>
      </c>
      <c r="AA298" s="85">
        <v>85152695</v>
      </c>
      <c r="AB298" s="85" t="s">
        <v>6984</v>
      </c>
      <c r="AC298" s="290" t="s">
        <v>196</v>
      </c>
      <c r="AD298" s="290" t="s">
        <v>196</v>
      </c>
      <c r="AE298" s="236"/>
      <c r="AF298" s="85" t="s">
        <v>7555</v>
      </c>
      <c r="AG298" s="290" t="s">
        <v>192</v>
      </c>
      <c r="AH298" s="290" t="s">
        <v>192</v>
      </c>
    </row>
    <row r="299" spans="1:34" s="297" customFormat="1" ht="15" customHeight="1" x14ac:dyDescent="0.25">
      <c r="A299" s="289">
        <v>891780111</v>
      </c>
      <c r="B299" s="289" t="s">
        <v>54</v>
      </c>
      <c r="C299" s="290" t="s">
        <v>56</v>
      </c>
      <c r="D299" s="289" t="s">
        <v>60</v>
      </c>
      <c r="E299" s="290" t="s">
        <v>7556</v>
      </c>
      <c r="F299" s="289" t="s">
        <v>61</v>
      </c>
      <c r="G299" s="85" t="s">
        <v>63</v>
      </c>
      <c r="H299" s="85" t="s">
        <v>73</v>
      </c>
      <c r="I299" s="237">
        <v>14393000</v>
      </c>
      <c r="J299" s="290">
        <v>1</v>
      </c>
      <c r="K299" s="291">
        <v>2607000</v>
      </c>
      <c r="L299" s="291"/>
      <c r="M299" s="292">
        <f t="shared" si="12"/>
        <v>17000000</v>
      </c>
      <c r="N299" s="85">
        <v>22854984</v>
      </c>
      <c r="O299" s="85" t="s">
        <v>7557</v>
      </c>
      <c r="P299" s="85" t="s">
        <v>7558</v>
      </c>
      <c r="Q299" s="293">
        <v>44960</v>
      </c>
      <c r="R299" s="293">
        <v>44960</v>
      </c>
      <c r="S299" s="293">
        <v>45084</v>
      </c>
      <c r="T299" s="293"/>
      <c r="U299" s="293"/>
      <c r="V299" s="293"/>
      <c r="W299" s="294">
        <v>45107</v>
      </c>
      <c r="X299" s="237">
        <v>17000000</v>
      </c>
      <c r="Y299" s="295">
        <f t="shared" si="13"/>
        <v>0</v>
      </c>
      <c r="Z299" s="296">
        <f t="shared" si="14"/>
        <v>1</v>
      </c>
      <c r="AA299" s="85">
        <v>12621405</v>
      </c>
      <c r="AB299" s="85" t="s">
        <v>6396</v>
      </c>
      <c r="AC299" s="290" t="s">
        <v>196</v>
      </c>
      <c r="AD299" s="290" t="s">
        <v>196</v>
      </c>
      <c r="AE299" s="236"/>
      <c r="AF299" s="85" t="s">
        <v>7559</v>
      </c>
      <c r="AG299" s="290" t="s">
        <v>192</v>
      </c>
      <c r="AH299" s="290" t="s">
        <v>192</v>
      </c>
    </row>
    <row r="300" spans="1:34" s="297" customFormat="1" ht="15" customHeight="1" x14ac:dyDescent="0.25">
      <c r="A300" s="289">
        <v>891780111</v>
      </c>
      <c r="B300" s="289" t="s">
        <v>54</v>
      </c>
      <c r="C300" s="290" t="s">
        <v>56</v>
      </c>
      <c r="D300" s="289" t="s">
        <v>60</v>
      </c>
      <c r="E300" s="290" t="s">
        <v>7560</v>
      </c>
      <c r="F300" s="289" t="s">
        <v>61</v>
      </c>
      <c r="G300" s="85" t="s">
        <v>63</v>
      </c>
      <c r="H300" s="85" t="s">
        <v>73</v>
      </c>
      <c r="I300" s="237">
        <v>14817000</v>
      </c>
      <c r="J300" s="290"/>
      <c r="K300" s="291"/>
      <c r="L300" s="291"/>
      <c r="M300" s="292">
        <f t="shared" si="12"/>
        <v>14817000</v>
      </c>
      <c r="N300" s="85">
        <v>79158166</v>
      </c>
      <c r="O300" s="85" t="s">
        <v>7561</v>
      </c>
      <c r="P300" s="85" t="s">
        <v>7562</v>
      </c>
      <c r="Q300" s="293">
        <v>44960</v>
      </c>
      <c r="R300" s="293">
        <v>44960</v>
      </c>
      <c r="S300" s="293">
        <v>45084</v>
      </c>
      <c r="T300" s="293"/>
      <c r="U300" s="293"/>
      <c r="V300" s="293"/>
      <c r="W300" s="294"/>
      <c r="X300" s="237">
        <v>14817000</v>
      </c>
      <c r="Y300" s="295">
        <f t="shared" si="13"/>
        <v>0</v>
      </c>
      <c r="Z300" s="296">
        <f t="shared" si="14"/>
        <v>1</v>
      </c>
      <c r="AA300" s="85">
        <v>36557666</v>
      </c>
      <c r="AB300" s="85" t="s">
        <v>6916</v>
      </c>
      <c r="AC300" s="290" t="s">
        <v>196</v>
      </c>
      <c r="AD300" s="290" t="s">
        <v>196</v>
      </c>
      <c r="AE300" s="236"/>
      <c r="AF300" s="85" t="s">
        <v>7563</v>
      </c>
      <c r="AG300" s="290" t="s">
        <v>192</v>
      </c>
      <c r="AH300" s="290" t="s">
        <v>192</v>
      </c>
    </row>
    <row r="301" spans="1:34" s="297" customFormat="1" ht="15" customHeight="1" x14ac:dyDescent="0.25">
      <c r="A301" s="289">
        <v>891780111</v>
      </c>
      <c r="B301" s="289" t="s">
        <v>54</v>
      </c>
      <c r="C301" s="290" t="s">
        <v>56</v>
      </c>
      <c r="D301" s="289" t="s">
        <v>60</v>
      </c>
      <c r="E301" s="290" t="s">
        <v>7564</v>
      </c>
      <c r="F301" s="289" t="s">
        <v>61</v>
      </c>
      <c r="G301" s="85" t="s">
        <v>63</v>
      </c>
      <c r="H301" s="85" t="s">
        <v>73</v>
      </c>
      <c r="I301" s="237">
        <v>8043000</v>
      </c>
      <c r="J301" s="290">
        <v>1</v>
      </c>
      <c r="K301" s="291">
        <v>1457000</v>
      </c>
      <c r="L301" s="291"/>
      <c r="M301" s="292">
        <f t="shared" si="12"/>
        <v>9500000</v>
      </c>
      <c r="N301" s="85">
        <v>57298171</v>
      </c>
      <c r="O301" s="85" t="s">
        <v>7565</v>
      </c>
      <c r="P301" s="85" t="s">
        <v>7535</v>
      </c>
      <c r="Q301" s="293">
        <v>44960</v>
      </c>
      <c r="R301" s="293">
        <v>44960</v>
      </c>
      <c r="S301" s="293">
        <v>45084</v>
      </c>
      <c r="T301" s="293"/>
      <c r="U301" s="293"/>
      <c r="V301" s="293"/>
      <c r="W301" s="294">
        <v>45107</v>
      </c>
      <c r="X301" s="237">
        <v>9500000</v>
      </c>
      <c r="Y301" s="295">
        <f t="shared" si="13"/>
        <v>0</v>
      </c>
      <c r="Z301" s="296">
        <f t="shared" si="14"/>
        <v>1</v>
      </c>
      <c r="AA301" s="85">
        <v>7633817</v>
      </c>
      <c r="AB301" s="85" t="s">
        <v>5425</v>
      </c>
      <c r="AC301" s="290" t="s">
        <v>196</v>
      </c>
      <c r="AD301" s="290" t="s">
        <v>196</v>
      </c>
      <c r="AE301" s="236"/>
      <c r="AF301" s="85" t="s">
        <v>7566</v>
      </c>
      <c r="AG301" s="290" t="s">
        <v>192</v>
      </c>
      <c r="AH301" s="290" t="s">
        <v>192</v>
      </c>
    </row>
    <row r="302" spans="1:34" s="297" customFormat="1" ht="15" customHeight="1" x14ac:dyDescent="0.25">
      <c r="A302" s="289">
        <v>891780111</v>
      </c>
      <c r="B302" s="289" t="s">
        <v>54</v>
      </c>
      <c r="C302" s="290" t="s">
        <v>56</v>
      </c>
      <c r="D302" s="289" t="s">
        <v>60</v>
      </c>
      <c r="E302" s="290" t="s">
        <v>7567</v>
      </c>
      <c r="F302" s="289" t="s">
        <v>61</v>
      </c>
      <c r="G302" s="85" t="s">
        <v>63</v>
      </c>
      <c r="H302" s="85" t="s">
        <v>73</v>
      </c>
      <c r="I302" s="237">
        <v>9313000</v>
      </c>
      <c r="J302" s="290"/>
      <c r="K302" s="291"/>
      <c r="L302" s="291"/>
      <c r="M302" s="292">
        <f t="shared" si="12"/>
        <v>9313000</v>
      </c>
      <c r="N302" s="85">
        <v>93373218</v>
      </c>
      <c r="O302" s="85" t="s">
        <v>7568</v>
      </c>
      <c r="P302" s="85" t="s">
        <v>7569</v>
      </c>
      <c r="Q302" s="293">
        <v>44960</v>
      </c>
      <c r="R302" s="293">
        <v>44960</v>
      </c>
      <c r="S302" s="293">
        <v>45084</v>
      </c>
      <c r="T302" s="293"/>
      <c r="U302" s="293"/>
      <c r="V302" s="293"/>
      <c r="W302" s="294"/>
      <c r="X302" s="237">
        <v>9313000</v>
      </c>
      <c r="Y302" s="295">
        <f t="shared" si="13"/>
        <v>0</v>
      </c>
      <c r="Z302" s="296">
        <f t="shared" si="14"/>
        <v>1</v>
      </c>
      <c r="AA302" s="85">
        <v>85152695</v>
      </c>
      <c r="AB302" s="85" t="s">
        <v>6984</v>
      </c>
      <c r="AC302" s="290" t="s">
        <v>196</v>
      </c>
      <c r="AD302" s="290" t="s">
        <v>196</v>
      </c>
      <c r="AE302" s="236"/>
      <c r="AF302" s="85" t="s">
        <v>7570</v>
      </c>
      <c r="AG302" s="290" t="s">
        <v>192</v>
      </c>
      <c r="AH302" s="290" t="s">
        <v>192</v>
      </c>
    </row>
    <row r="303" spans="1:34" s="297" customFormat="1" ht="15" customHeight="1" x14ac:dyDescent="0.25">
      <c r="A303" s="289">
        <v>891780111</v>
      </c>
      <c r="B303" s="289" t="s">
        <v>54</v>
      </c>
      <c r="C303" s="290" t="s">
        <v>56</v>
      </c>
      <c r="D303" s="289" t="s">
        <v>60</v>
      </c>
      <c r="E303" s="290" t="s">
        <v>7571</v>
      </c>
      <c r="F303" s="289" t="s">
        <v>61</v>
      </c>
      <c r="G303" s="85" t="s">
        <v>63</v>
      </c>
      <c r="H303" s="85" t="s">
        <v>73</v>
      </c>
      <c r="I303" s="237">
        <v>8613000</v>
      </c>
      <c r="J303" s="290"/>
      <c r="K303" s="291"/>
      <c r="L303" s="291"/>
      <c r="M303" s="292">
        <f t="shared" si="12"/>
        <v>8613000</v>
      </c>
      <c r="N303" s="85">
        <v>12550715</v>
      </c>
      <c r="O303" s="85" t="s">
        <v>7572</v>
      </c>
      <c r="P303" s="85" t="s">
        <v>7573</v>
      </c>
      <c r="Q303" s="293">
        <v>44960</v>
      </c>
      <c r="R303" s="293">
        <v>44960</v>
      </c>
      <c r="S303" s="293">
        <v>45093</v>
      </c>
      <c r="T303" s="293" t="s">
        <v>192</v>
      </c>
      <c r="U303" s="293">
        <v>45030</v>
      </c>
      <c r="V303" s="293">
        <v>45045</v>
      </c>
      <c r="W303" s="294">
        <v>45108</v>
      </c>
      <c r="X303" s="237">
        <v>8613000</v>
      </c>
      <c r="Y303" s="295">
        <f t="shared" si="13"/>
        <v>0</v>
      </c>
      <c r="Z303" s="296">
        <f t="shared" si="14"/>
        <v>1</v>
      </c>
      <c r="AA303" s="85">
        <v>85459497</v>
      </c>
      <c r="AB303" s="85" t="s">
        <v>4837</v>
      </c>
      <c r="AC303" s="290" t="s">
        <v>196</v>
      </c>
      <c r="AD303" s="290" t="s">
        <v>196</v>
      </c>
      <c r="AE303" s="236"/>
      <c r="AF303" s="85" t="s">
        <v>7574</v>
      </c>
      <c r="AG303" s="290" t="s">
        <v>192</v>
      </c>
      <c r="AH303" s="290" t="s">
        <v>192</v>
      </c>
    </row>
    <row r="304" spans="1:34" s="297" customFormat="1" ht="15" customHeight="1" x14ac:dyDescent="0.25">
      <c r="A304" s="289">
        <v>891780111</v>
      </c>
      <c r="B304" s="289" t="s">
        <v>54</v>
      </c>
      <c r="C304" s="290" t="s">
        <v>56</v>
      </c>
      <c r="D304" s="289" t="s">
        <v>60</v>
      </c>
      <c r="E304" s="290" t="s">
        <v>7575</v>
      </c>
      <c r="F304" s="289" t="s">
        <v>61</v>
      </c>
      <c r="G304" s="85" t="s">
        <v>63</v>
      </c>
      <c r="H304" s="85" t="s">
        <v>73</v>
      </c>
      <c r="I304" s="237">
        <v>9313000</v>
      </c>
      <c r="J304" s="290"/>
      <c r="K304" s="291"/>
      <c r="L304" s="291"/>
      <c r="M304" s="292">
        <f t="shared" si="12"/>
        <v>9313000</v>
      </c>
      <c r="N304" s="85">
        <v>1045723246</v>
      </c>
      <c r="O304" s="85" t="s">
        <v>5123</v>
      </c>
      <c r="P304" s="85" t="s">
        <v>7576</v>
      </c>
      <c r="Q304" s="293">
        <v>44960</v>
      </c>
      <c r="R304" s="293">
        <v>44960</v>
      </c>
      <c r="S304" s="293">
        <v>45084</v>
      </c>
      <c r="T304" s="293"/>
      <c r="U304" s="293"/>
      <c r="V304" s="293"/>
      <c r="W304" s="294"/>
      <c r="X304" s="237">
        <v>9313000</v>
      </c>
      <c r="Y304" s="295">
        <f t="shared" si="13"/>
        <v>0</v>
      </c>
      <c r="Z304" s="296">
        <f t="shared" si="14"/>
        <v>1</v>
      </c>
      <c r="AA304" s="85">
        <v>55301715</v>
      </c>
      <c r="AB304" s="85" t="s">
        <v>7577</v>
      </c>
      <c r="AC304" s="290" t="s">
        <v>196</v>
      </c>
      <c r="AD304" s="290" t="s">
        <v>196</v>
      </c>
      <c r="AE304" s="236"/>
      <c r="AF304" s="85" t="s">
        <v>7578</v>
      </c>
      <c r="AG304" s="290" t="s">
        <v>192</v>
      </c>
      <c r="AH304" s="290" t="s">
        <v>192</v>
      </c>
    </row>
    <row r="305" spans="1:34" s="297" customFormat="1" ht="15" customHeight="1" x14ac:dyDescent="0.25">
      <c r="A305" s="289">
        <v>891780111</v>
      </c>
      <c r="B305" s="289" t="s">
        <v>54</v>
      </c>
      <c r="C305" s="290" t="s">
        <v>56</v>
      </c>
      <c r="D305" s="289" t="s">
        <v>60</v>
      </c>
      <c r="E305" s="290" t="s">
        <v>7579</v>
      </c>
      <c r="F305" s="289" t="s">
        <v>61</v>
      </c>
      <c r="G305" s="85" t="s">
        <v>63</v>
      </c>
      <c r="H305" s="85" t="s">
        <v>73</v>
      </c>
      <c r="I305" s="237">
        <v>8043000</v>
      </c>
      <c r="J305" s="290"/>
      <c r="K305" s="291"/>
      <c r="L305" s="291"/>
      <c r="M305" s="292">
        <f t="shared" si="12"/>
        <v>8043000</v>
      </c>
      <c r="N305" s="85">
        <v>1102848790</v>
      </c>
      <c r="O305" s="85" t="s">
        <v>7580</v>
      </c>
      <c r="P305" s="85" t="s">
        <v>7581</v>
      </c>
      <c r="Q305" s="293">
        <v>44960</v>
      </c>
      <c r="R305" s="293">
        <v>44960</v>
      </c>
      <c r="S305" s="293">
        <v>45084</v>
      </c>
      <c r="T305" s="293"/>
      <c r="U305" s="293"/>
      <c r="V305" s="293"/>
      <c r="W305" s="294"/>
      <c r="X305" s="237">
        <v>8043000</v>
      </c>
      <c r="Y305" s="295">
        <f t="shared" si="13"/>
        <v>0</v>
      </c>
      <c r="Z305" s="296">
        <f t="shared" si="14"/>
        <v>1</v>
      </c>
      <c r="AA305" s="85">
        <v>55301715</v>
      </c>
      <c r="AB305" s="85" t="s">
        <v>7577</v>
      </c>
      <c r="AC305" s="290" t="s">
        <v>196</v>
      </c>
      <c r="AD305" s="290" t="s">
        <v>196</v>
      </c>
      <c r="AE305" s="236"/>
      <c r="AF305" s="85" t="s">
        <v>7582</v>
      </c>
      <c r="AG305" s="290" t="s">
        <v>192</v>
      </c>
      <c r="AH305" s="290" t="s">
        <v>192</v>
      </c>
    </row>
    <row r="306" spans="1:34" s="297" customFormat="1" ht="15" customHeight="1" x14ac:dyDescent="0.25">
      <c r="A306" s="289">
        <v>891780111</v>
      </c>
      <c r="B306" s="289" t="s">
        <v>54</v>
      </c>
      <c r="C306" s="290" t="s">
        <v>56</v>
      </c>
      <c r="D306" s="289" t="s">
        <v>60</v>
      </c>
      <c r="E306" s="290" t="s">
        <v>7583</v>
      </c>
      <c r="F306" s="289" t="s">
        <v>61</v>
      </c>
      <c r="G306" s="85" t="s">
        <v>63</v>
      </c>
      <c r="H306" s="85" t="s">
        <v>73</v>
      </c>
      <c r="I306" s="237">
        <v>13123000</v>
      </c>
      <c r="J306" s="290">
        <v>1</v>
      </c>
      <c r="K306" s="291"/>
      <c r="L306" s="291">
        <v>3823000</v>
      </c>
      <c r="M306" s="292">
        <f t="shared" si="12"/>
        <v>9300000</v>
      </c>
      <c r="N306" s="85">
        <v>1083027986</v>
      </c>
      <c r="O306" s="85" t="s">
        <v>7584</v>
      </c>
      <c r="P306" s="85" t="s">
        <v>7585</v>
      </c>
      <c r="Q306" s="293">
        <v>44960</v>
      </c>
      <c r="R306" s="293">
        <v>44960</v>
      </c>
      <c r="S306" s="293">
        <v>45084</v>
      </c>
      <c r="T306" s="293"/>
      <c r="U306" s="293"/>
      <c r="V306" s="293"/>
      <c r="W306" s="294">
        <v>45044</v>
      </c>
      <c r="X306" s="237">
        <v>9300000</v>
      </c>
      <c r="Y306" s="295">
        <f t="shared" si="13"/>
        <v>0</v>
      </c>
      <c r="Z306" s="296">
        <f t="shared" si="14"/>
        <v>1</v>
      </c>
      <c r="AA306" s="85">
        <v>72175281</v>
      </c>
      <c r="AB306" s="85" t="s">
        <v>6507</v>
      </c>
      <c r="AC306" s="290" t="s">
        <v>196</v>
      </c>
      <c r="AD306" s="290" t="s">
        <v>196</v>
      </c>
      <c r="AE306" s="236"/>
      <c r="AF306" s="85" t="s">
        <v>7586</v>
      </c>
      <c r="AG306" s="290" t="s">
        <v>192</v>
      </c>
      <c r="AH306" s="290" t="s">
        <v>192</v>
      </c>
    </row>
    <row r="307" spans="1:34" s="297" customFormat="1" ht="15" customHeight="1" x14ac:dyDescent="0.25">
      <c r="A307" s="289">
        <v>891780111</v>
      </c>
      <c r="B307" s="289" t="s">
        <v>54</v>
      </c>
      <c r="C307" s="290" t="s">
        <v>56</v>
      </c>
      <c r="D307" s="289" t="s">
        <v>60</v>
      </c>
      <c r="E307" s="290" t="s">
        <v>7587</v>
      </c>
      <c r="F307" s="289" t="s">
        <v>61</v>
      </c>
      <c r="G307" s="85" t="s">
        <v>63</v>
      </c>
      <c r="H307" s="85" t="s">
        <v>73</v>
      </c>
      <c r="I307" s="237">
        <v>9313000</v>
      </c>
      <c r="J307" s="290"/>
      <c r="K307" s="291"/>
      <c r="L307" s="291"/>
      <c r="M307" s="292">
        <f t="shared" si="12"/>
        <v>9313000</v>
      </c>
      <c r="N307" s="85">
        <v>1192723895</v>
      </c>
      <c r="O307" s="85" t="s">
        <v>7588</v>
      </c>
      <c r="P307" s="85" t="s">
        <v>7589</v>
      </c>
      <c r="Q307" s="293">
        <v>44960</v>
      </c>
      <c r="R307" s="293">
        <v>44960</v>
      </c>
      <c r="S307" s="293">
        <v>45084</v>
      </c>
      <c r="T307" s="293"/>
      <c r="U307" s="293"/>
      <c r="V307" s="293"/>
      <c r="W307" s="294"/>
      <c r="X307" s="237">
        <v>6600000</v>
      </c>
      <c r="Y307" s="295">
        <f t="shared" si="13"/>
        <v>2713000</v>
      </c>
      <c r="Z307" s="296">
        <f t="shared" si="14"/>
        <v>0.70868678191774936</v>
      </c>
      <c r="AA307" s="85">
        <v>72175281</v>
      </c>
      <c r="AB307" s="85" t="s">
        <v>6507</v>
      </c>
      <c r="AC307" s="290" t="s">
        <v>196</v>
      </c>
      <c r="AD307" s="290" t="s">
        <v>196</v>
      </c>
      <c r="AE307" s="236"/>
      <c r="AF307" s="85" t="s">
        <v>7590</v>
      </c>
      <c r="AG307" s="290" t="s">
        <v>192</v>
      </c>
      <c r="AH307" s="290" t="s">
        <v>192</v>
      </c>
    </row>
    <row r="308" spans="1:34" s="297" customFormat="1" ht="15" customHeight="1" x14ac:dyDescent="0.25">
      <c r="A308" s="289">
        <v>891780111</v>
      </c>
      <c r="B308" s="289" t="s">
        <v>54</v>
      </c>
      <c r="C308" s="290" t="s">
        <v>56</v>
      </c>
      <c r="D308" s="289" t="s">
        <v>60</v>
      </c>
      <c r="E308" s="290" t="s">
        <v>7591</v>
      </c>
      <c r="F308" s="289" t="s">
        <v>61</v>
      </c>
      <c r="G308" s="85" t="s">
        <v>63</v>
      </c>
      <c r="H308" s="85" t="s">
        <v>73</v>
      </c>
      <c r="I308" s="237">
        <v>8043000</v>
      </c>
      <c r="J308" s="290">
        <v>1</v>
      </c>
      <c r="K308" s="291">
        <v>1457000</v>
      </c>
      <c r="L308" s="291"/>
      <c r="M308" s="292">
        <f t="shared" si="12"/>
        <v>9500000</v>
      </c>
      <c r="N308" s="85">
        <v>9738364</v>
      </c>
      <c r="O308" s="85" t="s">
        <v>7592</v>
      </c>
      <c r="P308" s="85" t="s">
        <v>7593</v>
      </c>
      <c r="Q308" s="293">
        <v>44960</v>
      </c>
      <c r="R308" s="293">
        <v>44960</v>
      </c>
      <c r="S308" s="293">
        <v>45084</v>
      </c>
      <c r="T308" s="293"/>
      <c r="U308" s="293"/>
      <c r="V308" s="293"/>
      <c r="W308" s="294">
        <v>45107</v>
      </c>
      <c r="X308" s="237">
        <v>9500000</v>
      </c>
      <c r="Y308" s="295">
        <f t="shared" si="13"/>
        <v>0</v>
      </c>
      <c r="Z308" s="296">
        <f t="shared" si="14"/>
        <v>1</v>
      </c>
      <c r="AA308" s="85">
        <v>7601831</v>
      </c>
      <c r="AB308" s="85" t="s">
        <v>7383</v>
      </c>
      <c r="AC308" s="290" t="s">
        <v>196</v>
      </c>
      <c r="AD308" s="290" t="s">
        <v>196</v>
      </c>
      <c r="AE308" s="236"/>
      <c r="AF308" s="85" t="s">
        <v>7594</v>
      </c>
      <c r="AG308" s="290" t="s">
        <v>192</v>
      </c>
      <c r="AH308" s="290" t="s">
        <v>192</v>
      </c>
    </row>
    <row r="309" spans="1:34" s="297" customFormat="1" ht="15" customHeight="1" x14ac:dyDescent="0.25">
      <c r="A309" s="289">
        <v>891780111</v>
      </c>
      <c r="B309" s="289" t="s">
        <v>54</v>
      </c>
      <c r="C309" s="290" t="s">
        <v>56</v>
      </c>
      <c r="D309" s="289" t="s">
        <v>60</v>
      </c>
      <c r="E309" s="290" t="s">
        <v>7595</v>
      </c>
      <c r="F309" s="289" t="s">
        <v>61</v>
      </c>
      <c r="G309" s="85" t="s">
        <v>63</v>
      </c>
      <c r="H309" s="85" t="s">
        <v>73</v>
      </c>
      <c r="I309" s="237">
        <v>11250000</v>
      </c>
      <c r="J309" s="290">
        <v>1</v>
      </c>
      <c r="K309" s="291">
        <v>1917000</v>
      </c>
      <c r="L309" s="291"/>
      <c r="M309" s="292">
        <f t="shared" si="12"/>
        <v>13167000</v>
      </c>
      <c r="N309" s="85">
        <v>1082996963</v>
      </c>
      <c r="O309" s="85" t="s">
        <v>7596</v>
      </c>
      <c r="P309" s="85" t="s">
        <v>7597</v>
      </c>
      <c r="Q309" s="293">
        <v>44960</v>
      </c>
      <c r="R309" s="293">
        <v>44960</v>
      </c>
      <c r="S309" s="293">
        <v>45084</v>
      </c>
      <c r="T309" s="293"/>
      <c r="U309" s="293"/>
      <c r="V309" s="293"/>
      <c r="W309" s="294">
        <v>45107</v>
      </c>
      <c r="X309" s="237">
        <v>13167000</v>
      </c>
      <c r="Y309" s="295">
        <f t="shared" si="13"/>
        <v>0</v>
      </c>
      <c r="Z309" s="296">
        <f t="shared" si="14"/>
        <v>1</v>
      </c>
      <c r="AA309" s="85">
        <v>30766322</v>
      </c>
      <c r="AB309" s="85" t="s">
        <v>7598</v>
      </c>
      <c r="AC309" s="290" t="s">
        <v>196</v>
      </c>
      <c r="AD309" s="290" t="s">
        <v>196</v>
      </c>
      <c r="AE309" s="236"/>
      <c r="AF309" s="85" t="s">
        <v>7599</v>
      </c>
      <c r="AG309" s="290" t="s">
        <v>192</v>
      </c>
      <c r="AH309" s="290" t="s">
        <v>192</v>
      </c>
    </row>
    <row r="310" spans="1:34" s="297" customFormat="1" ht="15" customHeight="1" x14ac:dyDescent="0.25">
      <c r="A310" s="289">
        <v>891780111</v>
      </c>
      <c r="B310" s="289" t="s">
        <v>54</v>
      </c>
      <c r="C310" s="290" t="s">
        <v>56</v>
      </c>
      <c r="D310" s="289" t="s">
        <v>60</v>
      </c>
      <c r="E310" s="290" t="s">
        <v>7600</v>
      </c>
      <c r="F310" s="289" t="s">
        <v>61</v>
      </c>
      <c r="G310" s="85" t="s">
        <v>63</v>
      </c>
      <c r="H310" s="85" t="s">
        <v>73</v>
      </c>
      <c r="I310" s="237">
        <v>9313000</v>
      </c>
      <c r="J310" s="290"/>
      <c r="K310" s="291"/>
      <c r="L310" s="291"/>
      <c r="M310" s="292">
        <f t="shared" si="12"/>
        <v>9313000</v>
      </c>
      <c r="N310" s="85">
        <v>36667921</v>
      </c>
      <c r="O310" s="85" t="s">
        <v>7601</v>
      </c>
      <c r="P310" s="85" t="s">
        <v>7602</v>
      </c>
      <c r="Q310" s="293">
        <v>44960</v>
      </c>
      <c r="R310" s="293">
        <v>44960</v>
      </c>
      <c r="S310" s="293">
        <v>45084</v>
      </c>
      <c r="T310" s="293"/>
      <c r="U310" s="293"/>
      <c r="V310" s="293"/>
      <c r="W310" s="294"/>
      <c r="X310" s="237">
        <v>9313000</v>
      </c>
      <c r="Y310" s="295">
        <f t="shared" si="13"/>
        <v>0</v>
      </c>
      <c r="Z310" s="296">
        <f t="shared" si="14"/>
        <v>1</v>
      </c>
      <c r="AA310" s="85">
        <v>36557666</v>
      </c>
      <c r="AB310" s="85" t="s">
        <v>6916</v>
      </c>
      <c r="AC310" s="290" t="s">
        <v>196</v>
      </c>
      <c r="AD310" s="290" t="s">
        <v>196</v>
      </c>
      <c r="AE310" s="236"/>
      <c r="AF310" s="85" t="s">
        <v>7603</v>
      </c>
      <c r="AG310" s="290" t="s">
        <v>192</v>
      </c>
      <c r="AH310" s="290" t="s">
        <v>192</v>
      </c>
    </row>
    <row r="311" spans="1:34" s="297" customFormat="1" ht="15" customHeight="1" x14ac:dyDescent="0.25">
      <c r="A311" s="289">
        <v>891780111</v>
      </c>
      <c r="B311" s="289" t="s">
        <v>54</v>
      </c>
      <c r="C311" s="290" t="s">
        <v>56</v>
      </c>
      <c r="D311" s="289" t="s">
        <v>60</v>
      </c>
      <c r="E311" s="290" t="s">
        <v>7604</v>
      </c>
      <c r="F311" s="289" t="s">
        <v>61</v>
      </c>
      <c r="G311" s="85" t="s">
        <v>63</v>
      </c>
      <c r="H311" s="85" t="s">
        <v>73</v>
      </c>
      <c r="I311" s="237">
        <v>9313000</v>
      </c>
      <c r="J311" s="290"/>
      <c r="K311" s="291"/>
      <c r="L311" s="291"/>
      <c r="M311" s="292">
        <f t="shared" si="12"/>
        <v>9313000</v>
      </c>
      <c r="N311" s="85">
        <v>1083042479</v>
      </c>
      <c r="O311" s="85" t="s">
        <v>7605</v>
      </c>
      <c r="P311" s="85" t="s">
        <v>7606</v>
      </c>
      <c r="Q311" s="293">
        <v>44963</v>
      </c>
      <c r="R311" s="293">
        <v>44963</v>
      </c>
      <c r="S311" s="293">
        <v>45084</v>
      </c>
      <c r="T311" s="293"/>
      <c r="U311" s="293"/>
      <c r="V311" s="293"/>
      <c r="W311" s="294"/>
      <c r="X311" s="237">
        <v>6600000</v>
      </c>
      <c r="Y311" s="295">
        <f t="shared" si="13"/>
        <v>2713000</v>
      </c>
      <c r="Z311" s="296">
        <f t="shared" si="14"/>
        <v>0.70868678191774936</v>
      </c>
      <c r="AA311" s="85">
        <v>36557666</v>
      </c>
      <c r="AB311" s="85" t="s">
        <v>6916</v>
      </c>
      <c r="AC311" s="290" t="s">
        <v>196</v>
      </c>
      <c r="AD311" s="290" t="s">
        <v>196</v>
      </c>
      <c r="AE311" s="236"/>
      <c r="AF311" s="85" t="s">
        <v>7607</v>
      </c>
      <c r="AG311" s="290" t="s">
        <v>192</v>
      </c>
      <c r="AH311" s="290" t="s">
        <v>192</v>
      </c>
    </row>
    <row r="312" spans="1:34" s="297" customFormat="1" ht="15" customHeight="1" x14ac:dyDescent="0.25">
      <c r="A312" s="289">
        <v>891780111</v>
      </c>
      <c r="B312" s="289" t="s">
        <v>54</v>
      </c>
      <c r="C312" s="290" t="s">
        <v>56</v>
      </c>
      <c r="D312" s="289" t="s">
        <v>60</v>
      </c>
      <c r="E312" s="290" t="s">
        <v>7608</v>
      </c>
      <c r="F312" s="289" t="s">
        <v>61</v>
      </c>
      <c r="G312" s="85" t="s">
        <v>63</v>
      </c>
      <c r="H312" s="85" t="s">
        <v>73</v>
      </c>
      <c r="I312" s="237">
        <v>14393000</v>
      </c>
      <c r="J312" s="290">
        <v>1</v>
      </c>
      <c r="K312" s="291">
        <v>2607000</v>
      </c>
      <c r="L312" s="291"/>
      <c r="M312" s="292">
        <f t="shared" si="12"/>
        <v>17000000</v>
      </c>
      <c r="N312" s="85">
        <v>57434436</v>
      </c>
      <c r="O312" s="85" t="s">
        <v>7609</v>
      </c>
      <c r="P312" s="85" t="s">
        <v>7610</v>
      </c>
      <c r="Q312" s="293">
        <v>44963</v>
      </c>
      <c r="R312" s="293">
        <v>44963</v>
      </c>
      <c r="S312" s="293">
        <v>45084</v>
      </c>
      <c r="T312" s="293"/>
      <c r="U312" s="293"/>
      <c r="V312" s="293"/>
      <c r="W312" s="294">
        <v>45107</v>
      </c>
      <c r="X312" s="237">
        <v>17000000</v>
      </c>
      <c r="Y312" s="295">
        <f t="shared" si="13"/>
        <v>0</v>
      </c>
      <c r="Z312" s="296">
        <f t="shared" si="14"/>
        <v>1</v>
      </c>
      <c r="AA312" s="85">
        <v>12621405</v>
      </c>
      <c r="AB312" s="85" t="s">
        <v>6396</v>
      </c>
      <c r="AC312" s="290" t="s">
        <v>196</v>
      </c>
      <c r="AD312" s="290" t="s">
        <v>196</v>
      </c>
      <c r="AE312" s="236"/>
      <c r="AF312" s="85" t="s">
        <v>7611</v>
      </c>
      <c r="AG312" s="290" t="s">
        <v>192</v>
      </c>
      <c r="AH312" s="290" t="s">
        <v>192</v>
      </c>
    </row>
    <row r="313" spans="1:34" s="297" customFormat="1" ht="15" customHeight="1" x14ac:dyDescent="0.25">
      <c r="A313" s="289">
        <v>891780111</v>
      </c>
      <c r="B313" s="289" t="s">
        <v>54</v>
      </c>
      <c r="C313" s="290" t="s">
        <v>56</v>
      </c>
      <c r="D313" s="289" t="s">
        <v>60</v>
      </c>
      <c r="E313" s="290" t="s">
        <v>7612</v>
      </c>
      <c r="F313" s="289" t="s">
        <v>61</v>
      </c>
      <c r="G313" s="85" t="s">
        <v>63</v>
      </c>
      <c r="H313" s="85" t="s">
        <v>73</v>
      </c>
      <c r="I313" s="237">
        <v>9313000</v>
      </c>
      <c r="J313" s="290">
        <v>1</v>
      </c>
      <c r="K313" s="291">
        <v>1687000</v>
      </c>
      <c r="L313" s="291"/>
      <c r="M313" s="292">
        <f t="shared" si="12"/>
        <v>11000000</v>
      </c>
      <c r="N313" s="85">
        <v>1083554638</v>
      </c>
      <c r="O313" s="85" t="s">
        <v>7613</v>
      </c>
      <c r="P313" s="85" t="s">
        <v>7614</v>
      </c>
      <c r="Q313" s="293">
        <v>44963</v>
      </c>
      <c r="R313" s="293">
        <v>44963</v>
      </c>
      <c r="S313" s="293">
        <v>45084</v>
      </c>
      <c r="T313" s="293"/>
      <c r="U313" s="293"/>
      <c r="V313" s="293"/>
      <c r="W313" s="294">
        <v>45107</v>
      </c>
      <c r="X313" s="237">
        <v>11000000</v>
      </c>
      <c r="Y313" s="295">
        <f t="shared" si="13"/>
        <v>0</v>
      </c>
      <c r="Z313" s="296">
        <f t="shared" si="14"/>
        <v>1</v>
      </c>
      <c r="AA313" s="85">
        <v>85468846</v>
      </c>
      <c r="AB313" s="85" t="s">
        <v>7615</v>
      </c>
      <c r="AC313" s="290" t="s">
        <v>196</v>
      </c>
      <c r="AD313" s="290" t="s">
        <v>196</v>
      </c>
      <c r="AE313" s="236"/>
      <c r="AF313" s="85" t="s">
        <v>7616</v>
      </c>
      <c r="AG313" s="290" t="s">
        <v>192</v>
      </c>
      <c r="AH313" s="290" t="s">
        <v>192</v>
      </c>
    </row>
    <row r="314" spans="1:34" s="297" customFormat="1" ht="15" customHeight="1" x14ac:dyDescent="0.25">
      <c r="A314" s="289">
        <v>891780111</v>
      </c>
      <c r="B314" s="289" t="s">
        <v>54</v>
      </c>
      <c r="C314" s="290" t="s">
        <v>56</v>
      </c>
      <c r="D314" s="289" t="s">
        <v>60</v>
      </c>
      <c r="E314" s="290" t="s">
        <v>7617</v>
      </c>
      <c r="F314" s="289" t="s">
        <v>61</v>
      </c>
      <c r="G314" s="85" t="s">
        <v>63</v>
      </c>
      <c r="H314" s="85" t="s">
        <v>73</v>
      </c>
      <c r="I314" s="237">
        <v>11853000</v>
      </c>
      <c r="J314" s="290"/>
      <c r="K314" s="291"/>
      <c r="L314" s="291"/>
      <c r="M314" s="292">
        <f t="shared" si="12"/>
        <v>11853000</v>
      </c>
      <c r="N314" s="85">
        <v>1193225456</v>
      </c>
      <c r="O314" s="85" t="s">
        <v>7618</v>
      </c>
      <c r="P314" s="85" t="s">
        <v>7619</v>
      </c>
      <c r="Q314" s="293">
        <v>44963</v>
      </c>
      <c r="R314" s="293">
        <v>44963</v>
      </c>
      <c r="S314" s="293">
        <v>45084</v>
      </c>
      <c r="T314" s="293"/>
      <c r="U314" s="293"/>
      <c r="V314" s="293"/>
      <c r="W314" s="294"/>
      <c r="X314" s="237">
        <v>11200000</v>
      </c>
      <c r="Y314" s="295">
        <f t="shared" si="13"/>
        <v>653000</v>
      </c>
      <c r="Z314" s="296">
        <f t="shared" si="14"/>
        <v>0.94490846199274448</v>
      </c>
      <c r="AA314" s="85">
        <v>36557666</v>
      </c>
      <c r="AB314" s="85" t="s">
        <v>6916</v>
      </c>
      <c r="AC314" s="290" t="s">
        <v>196</v>
      </c>
      <c r="AD314" s="290" t="s">
        <v>196</v>
      </c>
      <c r="AE314" s="236"/>
      <c r="AF314" s="85" t="s">
        <v>7620</v>
      </c>
      <c r="AG314" s="290" t="s">
        <v>192</v>
      </c>
      <c r="AH314" s="290" t="s">
        <v>192</v>
      </c>
    </row>
    <row r="315" spans="1:34" s="297" customFormat="1" ht="15" customHeight="1" x14ac:dyDescent="0.25">
      <c r="A315" s="289">
        <v>891780111</v>
      </c>
      <c r="B315" s="289" t="s">
        <v>54</v>
      </c>
      <c r="C315" s="290" t="s">
        <v>56</v>
      </c>
      <c r="D315" s="289" t="s">
        <v>60</v>
      </c>
      <c r="E315" s="290" t="s">
        <v>7621</v>
      </c>
      <c r="F315" s="289" t="s">
        <v>61</v>
      </c>
      <c r="G315" s="85" t="s">
        <v>63</v>
      </c>
      <c r="H315" s="85" t="s">
        <v>73</v>
      </c>
      <c r="I315" s="237">
        <v>11853000</v>
      </c>
      <c r="J315" s="290"/>
      <c r="K315" s="291"/>
      <c r="L315" s="291"/>
      <c r="M315" s="292">
        <f t="shared" si="12"/>
        <v>11853000</v>
      </c>
      <c r="N315" s="85">
        <v>7601673</v>
      </c>
      <c r="O315" s="85" t="s">
        <v>7622</v>
      </c>
      <c r="P315" s="85" t="s">
        <v>7623</v>
      </c>
      <c r="Q315" s="293">
        <v>44963</v>
      </c>
      <c r="R315" s="293">
        <v>44963</v>
      </c>
      <c r="S315" s="293">
        <v>45084</v>
      </c>
      <c r="T315" s="293"/>
      <c r="U315" s="293"/>
      <c r="V315" s="293"/>
      <c r="W315" s="294"/>
      <c r="X315" s="237">
        <v>11853000</v>
      </c>
      <c r="Y315" s="295">
        <f t="shared" si="13"/>
        <v>0</v>
      </c>
      <c r="Z315" s="296">
        <f t="shared" si="14"/>
        <v>1</v>
      </c>
      <c r="AA315" s="85">
        <v>85468846</v>
      </c>
      <c r="AB315" s="85" t="s">
        <v>7615</v>
      </c>
      <c r="AC315" s="290" t="s">
        <v>196</v>
      </c>
      <c r="AD315" s="290" t="s">
        <v>196</v>
      </c>
      <c r="AE315" s="236"/>
      <c r="AF315" s="85" t="s">
        <v>7624</v>
      </c>
      <c r="AG315" s="290" t="s">
        <v>192</v>
      </c>
      <c r="AH315" s="290" t="s">
        <v>192</v>
      </c>
    </row>
    <row r="316" spans="1:34" s="297" customFormat="1" ht="15" customHeight="1" x14ac:dyDescent="0.25">
      <c r="A316" s="289">
        <v>891780111</v>
      </c>
      <c r="B316" s="289" t="s">
        <v>54</v>
      </c>
      <c r="C316" s="290" t="s">
        <v>56</v>
      </c>
      <c r="D316" s="289" t="s">
        <v>60</v>
      </c>
      <c r="E316" s="290" t="s">
        <v>7625</v>
      </c>
      <c r="F316" s="289" t="s">
        <v>61</v>
      </c>
      <c r="G316" s="85" t="s">
        <v>63</v>
      </c>
      <c r="H316" s="85" t="s">
        <v>73</v>
      </c>
      <c r="I316" s="237">
        <v>13123000</v>
      </c>
      <c r="J316" s="290"/>
      <c r="K316" s="291"/>
      <c r="L316" s="291"/>
      <c r="M316" s="292">
        <f t="shared" si="12"/>
        <v>13123000</v>
      </c>
      <c r="N316" s="85">
        <v>3743095</v>
      </c>
      <c r="O316" s="85" t="s">
        <v>7626</v>
      </c>
      <c r="P316" s="85" t="s">
        <v>7627</v>
      </c>
      <c r="Q316" s="293">
        <v>44963</v>
      </c>
      <c r="R316" s="293">
        <v>44963</v>
      </c>
      <c r="S316" s="293">
        <v>45084</v>
      </c>
      <c r="T316" s="293"/>
      <c r="U316" s="293"/>
      <c r="V316" s="293"/>
      <c r="W316" s="294"/>
      <c r="X316" s="237">
        <v>10023000</v>
      </c>
      <c r="Y316" s="295">
        <f t="shared" si="13"/>
        <v>3100000</v>
      </c>
      <c r="Z316" s="296">
        <f t="shared" si="14"/>
        <v>0.76377352739465065</v>
      </c>
      <c r="AA316" s="85">
        <v>85468846</v>
      </c>
      <c r="AB316" s="85" t="s">
        <v>7615</v>
      </c>
      <c r="AC316" s="290" t="s">
        <v>196</v>
      </c>
      <c r="AD316" s="290" t="s">
        <v>196</v>
      </c>
      <c r="AE316" s="236"/>
      <c r="AF316" s="85" t="s">
        <v>7628</v>
      </c>
      <c r="AG316" s="290" t="s">
        <v>192</v>
      </c>
      <c r="AH316" s="290" t="s">
        <v>192</v>
      </c>
    </row>
    <row r="317" spans="1:34" s="297" customFormat="1" ht="15" customHeight="1" x14ac:dyDescent="0.25">
      <c r="A317" s="289">
        <v>891780111</v>
      </c>
      <c r="B317" s="289" t="s">
        <v>54</v>
      </c>
      <c r="C317" s="290" t="s">
        <v>56</v>
      </c>
      <c r="D317" s="289" t="s">
        <v>60</v>
      </c>
      <c r="E317" s="290" t="s">
        <v>7629</v>
      </c>
      <c r="F317" s="289" t="s">
        <v>61</v>
      </c>
      <c r="G317" s="85" t="s">
        <v>63</v>
      </c>
      <c r="H317" s="85" t="s">
        <v>73</v>
      </c>
      <c r="I317" s="237">
        <v>8613000</v>
      </c>
      <c r="J317" s="290">
        <v>1</v>
      </c>
      <c r="K317" s="291">
        <v>887000</v>
      </c>
      <c r="L317" s="291"/>
      <c r="M317" s="292">
        <f t="shared" si="12"/>
        <v>9500000</v>
      </c>
      <c r="N317" s="85">
        <v>1082991395</v>
      </c>
      <c r="O317" s="85" t="s">
        <v>7630</v>
      </c>
      <c r="P317" s="85" t="s">
        <v>7631</v>
      </c>
      <c r="Q317" s="293">
        <v>44963</v>
      </c>
      <c r="R317" s="293">
        <v>44963</v>
      </c>
      <c r="S317" s="293">
        <v>45093</v>
      </c>
      <c r="T317" s="293"/>
      <c r="U317" s="293"/>
      <c r="V317" s="293"/>
      <c r="W317" s="294">
        <v>45107</v>
      </c>
      <c r="X317" s="237">
        <v>9500000</v>
      </c>
      <c r="Y317" s="295">
        <f t="shared" si="13"/>
        <v>0</v>
      </c>
      <c r="Z317" s="296">
        <f t="shared" si="14"/>
        <v>1</v>
      </c>
      <c r="AA317" s="85">
        <v>85459497</v>
      </c>
      <c r="AB317" s="85" t="s">
        <v>4837</v>
      </c>
      <c r="AC317" s="290" t="s">
        <v>196</v>
      </c>
      <c r="AD317" s="290" t="s">
        <v>196</v>
      </c>
      <c r="AE317" s="236"/>
      <c r="AF317" s="85" t="s">
        <v>7632</v>
      </c>
      <c r="AG317" s="290" t="s">
        <v>192</v>
      </c>
      <c r="AH317" s="290" t="s">
        <v>192</v>
      </c>
    </row>
    <row r="318" spans="1:34" s="297" customFormat="1" ht="15" customHeight="1" x14ac:dyDescent="0.25">
      <c r="A318" s="289">
        <v>891780111</v>
      </c>
      <c r="B318" s="289" t="s">
        <v>54</v>
      </c>
      <c r="C318" s="290" t="s">
        <v>56</v>
      </c>
      <c r="D318" s="289" t="s">
        <v>60</v>
      </c>
      <c r="E318" s="290" t="s">
        <v>7633</v>
      </c>
      <c r="F318" s="289" t="s">
        <v>61</v>
      </c>
      <c r="G318" s="85" t="s">
        <v>63</v>
      </c>
      <c r="H318" s="85" t="s">
        <v>73</v>
      </c>
      <c r="I318" s="237">
        <v>8613000</v>
      </c>
      <c r="J318" s="290">
        <v>1</v>
      </c>
      <c r="K318" s="291">
        <v>887000</v>
      </c>
      <c r="L318" s="291"/>
      <c r="M318" s="292">
        <f t="shared" si="12"/>
        <v>9500000</v>
      </c>
      <c r="N318" s="85">
        <v>1083030981</v>
      </c>
      <c r="O318" s="85" t="s">
        <v>7634</v>
      </c>
      <c r="P318" s="85" t="s">
        <v>7573</v>
      </c>
      <c r="Q318" s="293">
        <v>44963</v>
      </c>
      <c r="R318" s="293">
        <v>44963</v>
      </c>
      <c r="S318" s="293">
        <v>45093</v>
      </c>
      <c r="T318" s="293"/>
      <c r="U318" s="293"/>
      <c r="V318" s="293"/>
      <c r="W318" s="294">
        <v>45107</v>
      </c>
      <c r="X318" s="237">
        <v>9500000</v>
      </c>
      <c r="Y318" s="295">
        <f t="shared" si="13"/>
        <v>0</v>
      </c>
      <c r="Z318" s="296">
        <f t="shared" si="14"/>
        <v>1</v>
      </c>
      <c r="AA318" s="85">
        <v>85459497</v>
      </c>
      <c r="AB318" s="85" t="s">
        <v>4837</v>
      </c>
      <c r="AC318" s="290" t="s">
        <v>196</v>
      </c>
      <c r="AD318" s="290" t="s">
        <v>196</v>
      </c>
      <c r="AE318" s="236"/>
      <c r="AF318" s="85" t="s">
        <v>7635</v>
      </c>
      <c r="AG318" s="290" t="s">
        <v>192</v>
      </c>
      <c r="AH318" s="290" t="s">
        <v>192</v>
      </c>
    </row>
    <row r="319" spans="1:34" s="297" customFormat="1" ht="15" customHeight="1" x14ac:dyDescent="0.25">
      <c r="A319" s="289">
        <v>891780111</v>
      </c>
      <c r="B319" s="289" t="s">
        <v>54</v>
      </c>
      <c r="C319" s="290" t="s">
        <v>56</v>
      </c>
      <c r="D319" s="289" t="s">
        <v>60</v>
      </c>
      <c r="E319" s="290" t="s">
        <v>7636</v>
      </c>
      <c r="F319" s="289" t="s">
        <v>61</v>
      </c>
      <c r="G319" s="85" t="s">
        <v>63</v>
      </c>
      <c r="H319" s="85" t="s">
        <v>73</v>
      </c>
      <c r="I319" s="237">
        <v>9313000</v>
      </c>
      <c r="J319" s="290"/>
      <c r="K319" s="291"/>
      <c r="L319" s="291"/>
      <c r="M319" s="292">
        <f t="shared" si="12"/>
        <v>9313000</v>
      </c>
      <c r="N319" s="85">
        <v>36694724</v>
      </c>
      <c r="O319" s="85" t="s">
        <v>7637</v>
      </c>
      <c r="P319" s="85" t="s">
        <v>7638</v>
      </c>
      <c r="Q319" s="293">
        <v>44963</v>
      </c>
      <c r="R319" s="293">
        <v>44963</v>
      </c>
      <c r="S319" s="293">
        <v>45084</v>
      </c>
      <c r="T319" s="293"/>
      <c r="U319" s="293"/>
      <c r="V319" s="293"/>
      <c r="W319" s="294"/>
      <c r="X319" s="237">
        <v>9313000</v>
      </c>
      <c r="Y319" s="295">
        <f t="shared" si="13"/>
        <v>0</v>
      </c>
      <c r="Z319" s="296">
        <f t="shared" si="14"/>
        <v>1</v>
      </c>
      <c r="AA319" s="85">
        <v>85468846</v>
      </c>
      <c r="AB319" s="85" t="s">
        <v>7615</v>
      </c>
      <c r="AC319" s="290" t="s">
        <v>196</v>
      </c>
      <c r="AD319" s="290" t="s">
        <v>196</v>
      </c>
      <c r="AE319" s="236"/>
      <c r="AF319" s="85" t="s">
        <v>7639</v>
      </c>
      <c r="AG319" s="290" t="s">
        <v>192</v>
      </c>
      <c r="AH319" s="290" t="s">
        <v>192</v>
      </c>
    </row>
    <row r="320" spans="1:34" s="297" customFormat="1" ht="15" customHeight="1" x14ac:dyDescent="0.25">
      <c r="A320" s="289">
        <v>891780111</v>
      </c>
      <c r="B320" s="289" t="s">
        <v>54</v>
      </c>
      <c r="C320" s="290" t="s">
        <v>56</v>
      </c>
      <c r="D320" s="289" t="s">
        <v>60</v>
      </c>
      <c r="E320" s="290" t="s">
        <v>7640</v>
      </c>
      <c r="F320" s="289" t="s">
        <v>61</v>
      </c>
      <c r="G320" s="85" t="s">
        <v>63</v>
      </c>
      <c r="H320" s="85" t="s">
        <v>73</v>
      </c>
      <c r="I320" s="237">
        <v>8043000</v>
      </c>
      <c r="J320" s="290"/>
      <c r="K320" s="291"/>
      <c r="L320" s="291"/>
      <c r="M320" s="292">
        <f t="shared" si="12"/>
        <v>8043000</v>
      </c>
      <c r="N320" s="85">
        <v>1083014325</v>
      </c>
      <c r="O320" s="85" t="s">
        <v>7641</v>
      </c>
      <c r="P320" s="85" t="s">
        <v>7642</v>
      </c>
      <c r="Q320" s="293">
        <v>44963</v>
      </c>
      <c r="R320" s="293">
        <v>44963</v>
      </c>
      <c r="S320" s="293">
        <v>45084</v>
      </c>
      <c r="T320" s="293"/>
      <c r="U320" s="293"/>
      <c r="V320" s="293"/>
      <c r="W320" s="294"/>
      <c r="X320" s="237">
        <v>8043000</v>
      </c>
      <c r="Y320" s="295">
        <f t="shared" si="13"/>
        <v>0</v>
      </c>
      <c r="Z320" s="296">
        <f t="shared" si="14"/>
        <v>1</v>
      </c>
      <c r="AA320" s="85">
        <v>55301715</v>
      </c>
      <c r="AB320" s="85" t="s">
        <v>7577</v>
      </c>
      <c r="AC320" s="290" t="s">
        <v>196</v>
      </c>
      <c r="AD320" s="290" t="s">
        <v>196</v>
      </c>
      <c r="AE320" s="236"/>
      <c r="AF320" s="85" t="s">
        <v>7643</v>
      </c>
      <c r="AG320" s="290" t="s">
        <v>192</v>
      </c>
      <c r="AH320" s="290" t="s">
        <v>192</v>
      </c>
    </row>
    <row r="321" spans="1:34" s="297" customFormat="1" ht="15" customHeight="1" x14ac:dyDescent="0.25">
      <c r="A321" s="289">
        <v>891780111</v>
      </c>
      <c r="B321" s="289" t="s">
        <v>54</v>
      </c>
      <c r="C321" s="290" t="s">
        <v>56</v>
      </c>
      <c r="D321" s="289" t="s">
        <v>60</v>
      </c>
      <c r="E321" s="290" t="s">
        <v>7644</v>
      </c>
      <c r="F321" s="289" t="s">
        <v>61</v>
      </c>
      <c r="G321" s="85" t="s">
        <v>63</v>
      </c>
      <c r="H321" s="85" t="s">
        <v>73</v>
      </c>
      <c r="I321" s="237">
        <v>8043000</v>
      </c>
      <c r="J321" s="290"/>
      <c r="K321" s="291"/>
      <c r="L321" s="291"/>
      <c r="M321" s="292">
        <f t="shared" si="12"/>
        <v>8043000</v>
      </c>
      <c r="N321" s="85">
        <v>1083014226</v>
      </c>
      <c r="O321" s="85" t="s">
        <v>7645</v>
      </c>
      <c r="P321" s="85" t="s">
        <v>7642</v>
      </c>
      <c r="Q321" s="293">
        <v>44963</v>
      </c>
      <c r="R321" s="293">
        <v>44963</v>
      </c>
      <c r="S321" s="293">
        <v>45084</v>
      </c>
      <c r="T321" s="293"/>
      <c r="U321" s="293"/>
      <c r="V321" s="293"/>
      <c r="W321" s="294"/>
      <c r="X321" s="237">
        <v>8043000</v>
      </c>
      <c r="Y321" s="295">
        <f t="shared" si="13"/>
        <v>0</v>
      </c>
      <c r="Z321" s="296">
        <f t="shared" si="14"/>
        <v>1</v>
      </c>
      <c r="AA321" s="85">
        <v>55301715</v>
      </c>
      <c r="AB321" s="85" t="s">
        <v>7577</v>
      </c>
      <c r="AC321" s="290" t="s">
        <v>196</v>
      </c>
      <c r="AD321" s="290" t="s">
        <v>196</v>
      </c>
      <c r="AE321" s="236"/>
      <c r="AF321" s="85" t="s">
        <v>7646</v>
      </c>
      <c r="AG321" s="290" t="s">
        <v>192</v>
      </c>
      <c r="AH321" s="290" t="s">
        <v>192</v>
      </c>
    </row>
    <row r="322" spans="1:34" s="297" customFormat="1" ht="15" customHeight="1" x14ac:dyDescent="0.25">
      <c r="A322" s="289">
        <v>891780111</v>
      </c>
      <c r="B322" s="289" t="s">
        <v>54</v>
      </c>
      <c r="C322" s="290" t="s">
        <v>57</v>
      </c>
      <c r="D322" s="289" t="s">
        <v>60</v>
      </c>
      <c r="E322" s="290" t="s">
        <v>7647</v>
      </c>
      <c r="F322" s="289" t="s">
        <v>61</v>
      </c>
      <c r="G322" s="85" t="s">
        <v>63</v>
      </c>
      <c r="H322" s="85" t="s">
        <v>73</v>
      </c>
      <c r="I322" s="237">
        <v>8890000</v>
      </c>
      <c r="J322" s="290">
        <v>1</v>
      </c>
      <c r="K322" s="291">
        <v>1610000</v>
      </c>
      <c r="L322" s="291"/>
      <c r="M322" s="292">
        <f t="shared" si="12"/>
        <v>10500000</v>
      </c>
      <c r="N322" s="85">
        <v>57466769</v>
      </c>
      <c r="O322" s="85" t="s">
        <v>6460</v>
      </c>
      <c r="P322" s="85" t="s">
        <v>7648</v>
      </c>
      <c r="Q322" s="293">
        <v>44963</v>
      </c>
      <c r="R322" s="293">
        <v>44963</v>
      </c>
      <c r="S322" s="293">
        <v>45084</v>
      </c>
      <c r="T322" s="293"/>
      <c r="U322" s="293"/>
      <c r="V322" s="293">
        <v>45107</v>
      </c>
      <c r="W322" s="294"/>
      <c r="X322" s="237">
        <v>8400000</v>
      </c>
      <c r="Y322" s="295">
        <f t="shared" si="13"/>
        <v>2100000</v>
      </c>
      <c r="Z322" s="296">
        <f t="shared" si="14"/>
        <v>0.8</v>
      </c>
      <c r="AA322" s="85">
        <v>36726018</v>
      </c>
      <c r="AB322" s="85" t="s">
        <v>7466</v>
      </c>
      <c r="AC322" s="290" t="s">
        <v>196</v>
      </c>
      <c r="AD322" s="290" t="s">
        <v>196</v>
      </c>
      <c r="AE322" s="236"/>
      <c r="AF322" s="85" t="s">
        <v>7649</v>
      </c>
      <c r="AG322" s="290" t="s">
        <v>192</v>
      </c>
      <c r="AH322" s="290" t="s">
        <v>192</v>
      </c>
    </row>
    <row r="323" spans="1:34" s="297" customFormat="1" ht="15" customHeight="1" x14ac:dyDescent="0.25">
      <c r="A323" s="289">
        <v>891780111</v>
      </c>
      <c r="B323" s="289" t="s">
        <v>54</v>
      </c>
      <c r="C323" s="290" t="s">
        <v>56</v>
      </c>
      <c r="D323" s="289" t="s">
        <v>60</v>
      </c>
      <c r="E323" s="290" t="s">
        <v>7650</v>
      </c>
      <c r="F323" s="289" t="s">
        <v>61</v>
      </c>
      <c r="G323" s="85" t="s">
        <v>63</v>
      </c>
      <c r="H323" s="85" t="s">
        <v>73</v>
      </c>
      <c r="I323" s="237">
        <v>8043000</v>
      </c>
      <c r="J323" s="290">
        <v>1</v>
      </c>
      <c r="K323" s="291">
        <v>1457000</v>
      </c>
      <c r="L323" s="291"/>
      <c r="M323" s="292">
        <f t="shared" si="12"/>
        <v>9500000</v>
      </c>
      <c r="N323" s="85">
        <v>85155288</v>
      </c>
      <c r="O323" s="85" t="s">
        <v>7651</v>
      </c>
      <c r="P323" s="85" t="s">
        <v>7652</v>
      </c>
      <c r="Q323" s="293">
        <v>44963</v>
      </c>
      <c r="R323" s="293">
        <v>44963</v>
      </c>
      <c r="S323" s="293">
        <v>45084</v>
      </c>
      <c r="T323" s="293"/>
      <c r="U323" s="293"/>
      <c r="V323" s="293">
        <v>45107</v>
      </c>
      <c r="W323" s="294"/>
      <c r="X323" s="237">
        <v>9500000</v>
      </c>
      <c r="Y323" s="295">
        <f t="shared" si="13"/>
        <v>0</v>
      </c>
      <c r="Z323" s="296">
        <f t="shared" si="14"/>
        <v>1</v>
      </c>
      <c r="AA323" s="85">
        <v>7633817</v>
      </c>
      <c r="AB323" s="85" t="s">
        <v>5425</v>
      </c>
      <c r="AC323" s="290" t="s">
        <v>196</v>
      </c>
      <c r="AD323" s="290" t="s">
        <v>196</v>
      </c>
      <c r="AE323" s="236"/>
      <c r="AF323" s="85" t="s">
        <v>7653</v>
      </c>
      <c r="AG323" s="290" t="s">
        <v>192</v>
      </c>
      <c r="AH323" s="290" t="s">
        <v>192</v>
      </c>
    </row>
    <row r="324" spans="1:34" s="297" customFormat="1" ht="15" customHeight="1" x14ac:dyDescent="0.25">
      <c r="A324" s="289">
        <v>891780111</v>
      </c>
      <c r="B324" s="289" t="s">
        <v>54</v>
      </c>
      <c r="C324" s="290" t="s">
        <v>56</v>
      </c>
      <c r="D324" s="289" t="s">
        <v>60</v>
      </c>
      <c r="E324" s="290" t="s">
        <v>7654</v>
      </c>
      <c r="F324" s="289" t="s">
        <v>61</v>
      </c>
      <c r="G324" s="85" t="s">
        <v>63</v>
      </c>
      <c r="H324" s="85" t="s">
        <v>73</v>
      </c>
      <c r="I324" s="237">
        <v>8043000</v>
      </c>
      <c r="J324" s="290">
        <v>1</v>
      </c>
      <c r="K324" s="291"/>
      <c r="L324" s="291">
        <v>3419667</v>
      </c>
      <c r="M324" s="292">
        <f t="shared" si="12"/>
        <v>4623333</v>
      </c>
      <c r="N324" s="85">
        <v>1082969436</v>
      </c>
      <c r="O324" s="85" t="s">
        <v>7655</v>
      </c>
      <c r="P324" s="85" t="s">
        <v>7656</v>
      </c>
      <c r="Q324" s="293">
        <v>44963</v>
      </c>
      <c r="R324" s="293">
        <v>44963</v>
      </c>
      <c r="S324" s="293">
        <v>45084</v>
      </c>
      <c r="T324" s="293"/>
      <c r="U324" s="293"/>
      <c r="V324" s="293"/>
      <c r="W324" s="294">
        <v>45029</v>
      </c>
      <c r="X324" s="237">
        <v>3800000</v>
      </c>
      <c r="Y324" s="295">
        <f t="shared" si="13"/>
        <v>823333</v>
      </c>
      <c r="Z324" s="296">
        <f t="shared" si="14"/>
        <v>0.82191786747785633</v>
      </c>
      <c r="AA324" s="85">
        <v>36564011</v>
      </c>
      <c r="AB324" s="85" t="s">
        <v>6121</v>
      </c>
      <c r="AC324" s="290" t="s">
        <v>196</v>
      </c>
      <c r="AD324" s="290" t="s">
        <v>196</v>
      </c>
      <c r="AE324" s="236"/>
      <c r="AF324" s="85" t="s">
        <v>7657</v>
      </c>
      <c r="AG324" s="290" t="s">
        <v>192</v>
      </c>
      <c r="AH324" s="290" t="s">
        <v>192</v>
      </c>
    </row>
    <row r="325" spans="1:34" s="297" customFormat="1" ht="15" customHeight="1" x14ac:dyDescent="0.25">
      <c r="A325" s="289">
        <v>891780111</v>
      </c>
      <c r="B325" s="289" t="s">
        <v>54</v>
      </c>
      <c r="C325" s="290" t="s">
        <v>56</v>
      </c>
      <c r="D325" s="289" t="s">
        <v>60</v>
      </c>
      <c r="E325" s="290" t="s">
        <v>7658</v>
      </c>
      <c r="F325" s="289" t="s">
        <v>61</v>
      </c>
      <c r="G325" s="85" t="s">
        <v>63</v>
      </c>
      <c r="H325" s="85" t="s">
        <v>73</v>
      </c>
      <c r="I325" s="237">
        <v>19200000</v>
      </c>
      <c r="J325" s="290">
        <v>1</v>
      </c>
      <c r="K325" s="291">
        <v>1866999.9999999998</v>
      </c>
      <c r="L325" s="291"/>
      <c r="M325" s="292">
        <f t="shared" ref="M325:M388" si="15">I325+K325-L325</f>
        <v>21067000</v>
      </c>
      <c r="N325" s="85">
        <v>1024505118</v>
      </c>
      <c r="O325" s="85" t="s">
        <v>7659</v>
      </c>
      <c r="P325" s="85" t="s">
        <v>7660</v>
      </c>
      <c r="Q325" s="293">
        <v>44963</v>
      </c>
      <c r="R325" s="293">
        <v>44963</v>
      </c>
      <c r="S325" s="293">
        <v>45093</v>
      </c>
      <c r="T325" s="293"/>
      <c r="U325" s="293"/>
      <c r="V325" s="293"/>
      <c r="W325" s="294">
        <v>45107</v>
      </c>
      <c r="X325" s="237">
        <v>21067000</v>
      </c>
      <c r="Y325" s="295">
        <f t="shared" ref="Y325:Y388" si="16">M325-X325</f>
        <v>0</v>
      </c>
      <c r="Z325" s="296">
        <f t="shared" ref="Z325:Z388" si="17">+(X325/M325)</f>
        <v>1</v>
      </c>
      <c r="AA325" s="85">
        <v>7633817</v>
      </c>
      <c r="AB325" s="85" t="s">
        <v>5425</v>
      </c>
      <c r="AC325" s="290" t="s">
        <v>196</v>
      </c>
      <c r="AD325" s="290" t="s">
        <v>196</v>
      </c>
      <c r="AE325" s="236"/>
      <c r="AF325" s="85" t="s">
        <v>7661</v>
      </c>
      <c r="AG325" s="290" t="s">
        <v>192</v>
      </c>
      <c r="AH325" s="290" t="s">
        <v>192</v>
      </c>
    </row>
    <row r="326" spans="1:34" s="297" customFormat="1" ht="15" customHeight="1" x14ac:dyDescent="0.25">
      <c r="A326" s="289">
        <v>891780111</v>
      </c>
      <c r="B326" s="289" t="s">
        <v>54</v>
      </c>
      <c r="C326" s="290" t="s">
        <v>56</v>
      </c>
      <c r="D326" s="289" t="s">
        <v>60</v>
      </c>
      <c r="E326" s="290" t="s">
        <v>7662</v>
      </c>
      <c r="F326" s="289" t="s">
        <v>61</v>
      </c>
      <c r="G326" s="85" t="s">
        <v>63</v>
      </c>
      <c r="H326" s="85" t="s">
        <v>73</v>
      </c>
      <c r="I326" s="237">
        <v>13123000</v>
      </c>
      <c r="J326" s="290">
        <v>1</v>
      </c>
      <c r="K326" s="291">
        <v>2377000</v>
      </c>
      <c r="L326" s="291"/>
      <c r="M326" s="292">
        <f t="shared" si="15"/>
        <v>15500000</v>
      </c>
      <c r="N326" s="85">
        <v>1083455954</v>
      </c>
      <c r="O326" s="85" t="s">
        <v>7663</v>
      </c>
      <c r="P326" s="85" t="s">
        <v>7664</v>
      </c>
      <c r="Q326" s="293">
        <v>44963</v>
      </c>
      <c r="R326" s="293">
        <v>44963</v>
      </c>
      <c r="S326" s="293">
        <v>45084</v>
      </c>
      <c r="T326" s="293"/>
      <c r="U326" s="293"/>
      <c r="V326" s="293"/>
      <c r="W326" s="294">
        <v>45107</v>
      </c>
      <c r="X326" s="237">
        <v>15500000</v>
      </c>
      <c r="Y326" s="295">
        <f t="shared" si="16"/>
        <v>0</v>
      </c>
      <c r="Z326" s="296">
        <f t="shared" si="17"/>
        <v>1</v>
      </c>
      <c r="AA326" s="85">
        <v>85449357</v>
      </c>
      <c r="AB326" s="85" t="s">
        <v>6553</v>
      </c>
      <c r="AC326" s="290" t="s">
        <v>196</v>
      </c>
      <c r="AD326" s="290" t="s">
        <v>196</v>
      </c>
      <c r="AE326" s="236"/>
      <c r="AF326" s="85" t="s">
        <v>7665</v>
      </c>
      <c r="AG326" s="290" t="s">
        <v>192</v>
      </c>
      <c r="AH326" s="290" t="s">
        <v>192</v>
      </c>
    </row>
    <row r="327" spans="1:34" s="297" customFormat="1" ht="15" customHeight="1" x14ac:dyDescent="0.25">
      <c r="A327" s="289">
        <v>891780111</v>
      </c>
      <c r="B327" s="289" t="s">
        <v>54</v>
      </c>
      <c r="C327" s="290" t="s">
        <v>56</v>
      </c>
      <c r="D327" s="289" t="s">
        <v>60</v>
      </c>
      <c r="E327" s="290" t="s">
        <v>7666</v>
      </c>
      <c r="F327" s="289" t="s">
        <v>61</v>
      </c>
      <c r="G327" s="85" t="s">
        <v>63</v>
      </c>
      <c r="H327" s="85" t="s">
        <v>73</v>
      </c>
      <c r="I327" s="237">
        <v>9313000</v>
      </c>
      <c r="J327" s="290"/>
      <c r="K327" s="291"/>
      <c r="L327" s="291"/>
      <c r="M327" s="292">
        <f t="shared" si="15"/>
        <v>9313000</v>
      </c>
      <c r="N327" s="85">
        <v>85464881</v>
      </c>
      <c r="O327" s="85" t="s">
        <v>7667</v>
      </c>
      <c r="P327" s="85" t="s">
        <v>7668</v>
      </c>
      <c r="Q327" s="293">
        <v>44963</v>
      </c>
      <c r="R327" s="293">
        <v>44963</v>
      </c>
      <c r="S327" s="293">
        <v>45084</v>
      </c>
      <c r="T327" s="293"/>
      <c r="U327" s="293"/>
      <c r="V327" s="293"/>
      <c r="W327" s="294"/>
      <c r="X327" s="237">
        <v>7113000</v>
      </c>
      <c r="Y327" s="295">
        <f t="shared" si="16"/>
        <v>2200000</v>
      </c>
      <c r="Z327" s="296">
        <f t="shared" si="17"/>
        <v>0.76377107269408351</v>
      </c>
      <c r="AA327" s="85">
        <v>85152695</v>
      </c>
      <c r="AB327" s="85" t="s">
        <v>6984</v>
      </c>
      <c r="AC327" s="290" t="s">
        <v>196</v>
      </c>
      <c r="AD327" s="290" t="s">
        <v>196</v>
      </c>
      <c r="AE327" s="236"/>
      <c r="AF327" s="85" t="s">
        <v>7669</v>
      </c>
      <c r="AG327" s="290" t="s">
        <v>192</v>
      </c>
      <c r="AH327" s="290" t="s">
        <v>192</v>
      </c>
    </row>
    <row r="328" spans="1:34" s="297" customFormat="1" ht="15" customHeight="1" x14ac:dyDescent="0.25">
      <c r="A328" s="289">
        <v>891780111</v>
      </c>
      <c r="B328" s="289" t="s">
        <v>54</v>
      </c>
      <c r="C328" s="290" t="s">
        <v>56</v>
      </c>
      <c r="D328" s="289" t="s">
        <v>60</v>
      </c>
      <c r="E328" s="290" t="s">
        <v>7670</v>
      </c>
      <c r="F328" s="289" t="s">
        <v>61</v>
      </c>
      <c r="G328" s="85" t="s">
        <v>63</v>
      </c>
      <c r="H328" s="85" t="s">
        <v>73</v>
      </c>
      <c r="I328" s="237">
        <v>8043000</v>
      </c>
      <c r="J328" s="290">
        <v>1</v>
      </c>
      <c r="K328" s="291">
        <v>1457000</v>
      </c>
      <c r="L328" s="291"/>
      <c r="M328" s="292">
        <f t="shared" si="15"/>
        <v>9500000</v>
      </c>
      <c r="N328" s="85">
        <v>36667533</v>
      </c>
      <c r="O328" s="85" t="s">
        <v>7671</v>
      </c>
      <c r="P328" s="85" t="s">
        <v>7672</v>
      </c>
      <c r="Q328" s="293">
        <v>44963</v>
      </c>
      <c r="R328" s="293">
        <v>44963</v>
      </c>
      <c r="S328" s="293">
        <v>45084</v>
      </c>
      <c r="T328" s="293"/>
      <c r="U328" s="293"/>
      <c r="V328" s="293"/>
      <c r="W328" s="294">
        <v>45107</v>
      </c>
      <c r="X328" s="237">
        <v>9500000</v>
      </c>
      <c r="Y328" s="295">
        <f t="shared" si="16"/>
        <v>0</v>
      </c>
      <c r="Z328" s="296">
        <f t="shared" si="17"/>
        <v>1</v>
      </c>
      <c r="AA328" s="85">
        <v>7633817</v>
      </c>
      <c r="AB328" s="85" t="s">
        <v>5425</v>
      </c>
      <c r="AC328" s="290" t="s">
        <v>196</v>
      </c>
      <c r="AD328" s="290" t="s">
        <v>196</v>
      </c>
      <c r="AE328" s="236"/>
      <c r="AF328" s="85" t="s">
        <v>7673</v>
      </c>
      <c r="AG328" s="290" t="s">
        <v>192</v>
      </c>
      <c r="AH328" s="290" t="s">
        <v>192</v>
      </c>
    </row>
    <row r="329" spans="1:34" s="297" customFormat="1" ht="15" customHeight="1" x14ac:dyDescent="0.25">
      <c r="A329" s="289">
        <v>891780111</v>
      </c>
      <c r="B329" s="289" t="s">
        <v>54</v>
      </c>
      <c r="C329" s="290" t="s">
        <v>56</v>
      </c>
      <c r="D329" s="289" t="s">
        <v>60</v>
      </c>
      <c r="E329" s="290" t="s">
        <v>7674</v>
      </c>
      <c r="F329" s="289" t="s">
        <v>61</v>
      </c>
      <c r="G329" s="85" t="s">
        <v>63</v>
      </c>
      <c r="H329" s="85" t="s">
        <v>73</v>
      </c>
      <c r="I329" s="237">
        <v>8043000</v>
      </c>
      <c r="J329" s="290">
        <v>1</v>
      </c>
      <c r="K329" s="291">
        <v>1457000</v>
      </c>
      <c r="L329" s="291"/>
      <c r="M329" s="292">
        <f t="shared" si="15"/>
        <v>9500000</v>
      </c>
      <c r="N329" s="85">
        <v>39069270</v>
      </c>
      <c r="O329" s="85" t="s">
        <v>7675</v>
      </c>
      <c r="P329" s="85" t="s">
        <v>7676</v>
      </c>
      <c r="Q329" s="293">
        <v>44963</v>
      </c>
      <c r="R329" s="293">
        <v>44963</v>
      </c>
      <c r="S329" s="293">
        <v>45084</v>
      </c>
      <c r="T329" s="293"/>
      <c r="U329" s="293"/>
      <c r="V329" s="293"/>
      <c r="W329" s="294">
        <v>45107</v>
      </c>
      <c r="X329" s="237">
        <v>9500000</v>
      </c>
      <c r="Y329" s="295">
        <f t="shared" si="16"/>
        <v>0</v>
      </c>
      <c r="Z329" s="296">
        <f t="shared" si="17"/>
        <v>1</v>
      </c>
      <c r="AA329" s="85">
        <v>57297693</v>
      </c>
      <c r="AB329" s="85" t="s">
        <v>5446</v>
      </c>
      <c r="AC329" s="290" t="s">
        <v>196</v>
      </c>
      <c r="AD329" s="290" t="s">
        <v>196</v>
      </c>
      <c r="AE329" s="236"/>
      <c r="AF329" s="85" t="s">
        <v>7677</v>
      </c>
      <c r="AG329" s="290" t="s">
        <v>192</v>
      </c>
      <c r="AH329" s="290" t="s">
        <v>192</v>
      </c>
    </row>
    <row r="330" spans="1:34" s="297" customFormat="1" ht="15" customHeight="1" x14ac:dyDescent="0.25">
      <c r="A330" s="289">
        <v>891780111</v>
      </c>
      <c r="B330" s="289" t="s">
        <v>54</v>
      </c>
      <c r="C330" s="290" t="s">
        <v>56</v>
      </c>
      <c r="D330" s="289" t="s">
        <v>60</v>
      </c>
      <c r="E330" s="290" t="s">
        <v>7678</v>
      </c>
      <c r="F330" s="289" t="s">
        <v>61</v>
      </c>
      <c r="G330" s="85" t="s">
        <v>63</v>
      </c>
      <c r="H330" s="85" t="s">
        <v>73</v>
      </c>
      <c r="I330" s="237">
        <v>8043000</v>
      </c>
      <c r="J330" s="290"/>
      <c r="K330" s="291"/>
      <c r="L330" s="291"/>
      <c r="M330" s="292">
        <f t="shared" si="15"/>
        <v>8043000</v>
      </c>
      <c r="N330" s="85">
        <v>1083035122</v>
      </c>
      <c r="O330" s="85" t="s">
        <v>7679</v>
      </c>
      <c r="P330" s="85" t="s">
        <v>7680</v>
      </c>
      <c r="Q330" s="293">
        <v>44963</v>
      </c>
      <c r="R330" s="293">
        <v>44963</v>
      </c>
      <c r="S330" s="293">
        <v>45084</v>
      </c>
      <c r="T330" s="293"/>
      <c r="U330" s="293"/>
      <c r="V330" s="293"/>
      <c r="W330" s="294"/>
      <c r="X330" s="237">
        <v>8043000</v>
      </c>
      <c r="Y330" s="295">
        <f t="shared" si="16"/>
        <v>0</v>
      </c>
      <c r="Z330" s="296">
        <f t="shared" si="17"/>
        <v>1</v>
      </c>
      <c r="AA330" s="85">
        <v>85475141</v>
      </c>
      <c r="AB330" s="85" t="s">
        <v>7681</v>
      </c>
      <c r="AC330" s="290" t="s">
        <v>196</v>
      </c>
      <c r="AD330" s="290" t="s">
        <v>196</v>
      </c>
      <c r="AE330" s="236"/>
      <c r="AF330" s="85" t="s">
        <v>7682</v>
      </c>
      <c r="AG330" s="290" t="s">
        <v>192</v>
      </c>
      <c r="AH330" s="290" t="s">
        <v>192</v>
      </c>
    </row>
    <row r="331" spans="1:34" s="297" customFormat="1" ht="15" customHeight="1" x14ac:dyDescent="0.25">
      <c r="A331" s="289">
        <v>891780111</v>
      </c>
      <c r="B331" s="289" t="s">
        <v>54</v>
      </c>
      <c r="C331" s="290" t="s">
        <v>56</v>
      </c>
      <c r="D331" s="289" t="s">
        <v>60</v>
      </c>
      <c r="E331" s="290" t="s">
        <v>7683</v>
      </c>
      <c r="F331" s="289" t="s">
        <v>61</v>
      </c>
      <c r="G331" s="85" t="s">
        <v>63</v>
      </c>
      <c r="H331" s="85" t="s">
        <v>73</v>
      </c>
      <c r="I331" s="237">
        <v>13123000</v>
      </c>
      <c r="J331" s="290">
        <v>1</v>
      </c>
      <c r="K331" s="291">
        <v>2377000</v>
      </c>
      <c r="L331" s="291"/>
      <c r="M331" s="292">
        <f t="shared" si="15"/>
        <v>15500000</v>
      </c>
      <c r="N331" s="85">
        <v>85449890</v>
      </c>
      <c r="O331" s="85" t="s">
        <v>7684</v>
      </c>
      <c r="P331" s="85" t="s">
        <v>7685</v>
      </c>
      <c r="Q331" s="293">
        <v>44963</v>
      </c>
      <c r="R331" s="293">
        <v>44963</v>
      </c>
      <c r="S331" s="293">
        <v>45084</v>
      </c>
      <c r="T331" s="293"/>
      <c r="U331" s="293"/>
      <c r="V331" s="293"/>
      <c r="W331" s="294">
        <v>45107</v>
      </c>
      <c r="X331" s="237">
        <v>15500000</v>
      </c>
      <c r="Y331" s="295">
        <f t="shared" si="16"/>
        <v>0</v>
      </c>
      <c r="Z331" s="296">
        <f t="shared" si="17"/>
        <v>1</v>
      </c>
      <c r="AA331" s="85">
        <v>85471791</v>
      </c>
      <c r="AB331" s="85" t="s">
        <v>7172</v>
      </c>
      <c r="AC331" s="290" t="s">
        <v>196</v>
      </c>
      <c r="AD331" s="290" t="s">
        <v>196</v>
      </c>
      <c r="AE331" s="236"/>
      <c r="AF331" s="85" t="s">
        <v>7686</v>
      </c>
      <c r="AG331" s="290" t="s">
        <v>192</v>
      </c>
      <c r="AH331" s="290" t="s">
        <v>192</v>
      </c>
    </row>
    <row r="332" spans="1:34" s="297" customFormat="1" ht="15" customHeight="1" x14ac:dyDescent="0.25">
      <c r="A332" s="289">
        <v>891780111</v>
      </c>
      <c r="B332" s="289" t="s">
        <v>54</v>
      </c>
      <c r="C332" s="290" t="s">
        <v>56</v>
      </c>
      <c r="D332" s="289" t="s">
        <v>60</v>
      </c>
      <c r="E332" s="290" t="s">
        <v>7687</v>
      </c>
      <c r="F332" s="289" t="s">
        <v>61</v>
      </c>
      <c r="G332" s="85" t="s">
        <v>63</v>
      </c>
      <c r="H332" s="85" t="s">
        <v>73</v>
      </c>
      <c r="I332" s="237">
        <v>8043000</v>
      </c>
      <c r="J332" s="290"/>
      <c r="K332" s="291"/>
      <c r="L332" s="291"/>
      <c r="M332" s="292">
        <f t="shared" si="15"/>
        <v>8043000</v>
      </c>
      <c r="N332" s="85">
        <v>1007934261</v>
      </c>
      <c r="O332" s="85" t="s">
        <v>7688</v>
      </c>
      <c r="P332" s="85" t="s">
        <v>7689</v>
      </c>
      <c r="Q332" s="293">
        <v>44963</v>
      </c>
      <c r="R332" s="293">
        <v>44963</v>
      </c>
      <c r="S332" s="293">
        <v>45084</v>
      </c>
      <c r="T332" s="293"/>
      <c r="U332" s="293"/>
      <c r="V332" s="293"/>
      <c r="W332" s="294"/>
      <c r="X332" s="237">
        <v>8043000</v>
      </c>
      <c r="Y332" s="295">
        <f t="shared" si="16"/>
        <v>0</v>
      </c>
      <c r="Z332" s="296">
        <f t="shared" si="17"/>
        <v>1</v>
      </c>
      <c r="AA332" s="85">
        <v>85475141</v>
      </c>
      <c r="AB332" s="85" t="s">
        <v>7681</v>
      </c>
      <c r="AC332" s="290" t="s">
        <v>196</v>
      </c>
      <c r="AD332" s="290" t="s">
        <v>196</v>
      </c>
      <c r="AE332" s="236"/>
      <c r="AF332" s="85" t="s">
        <v>7690</v>
      </c>
      <c r="AG332" s="290" t="s">
        <v>192</v>
      </c>
      <c r="AH332" s="290" t="s">
        <v>192</v>
      </c>
    </row>
    <row r="333" spans="1:34" s="297" customFormat="1" ht="15" customHeight="1" x14ac:dyDescent="0.25">
      <c r="A333" s="289">
        <v>891780111</v>
      </c>
      <c r="B333" s="289" t="s">
        <v>54</v>
      </c>
      <c r="C333" s="290" t="s">
        <v>56</v>
      </c>
      <c r="D333" s="289" t="s">
        <v>60</v>
      </c>
      <c r="E333" s="290" t="s">
        <v>7691</v>
      </c>
      <c r="F333" s="289" t="s">
        <v>61</v>
      </c>
      <c r="G333" s="85" t="s">
        <v>63</v>
      </c>
      <c r="H333" s="85" t="s">
        <v>73</v>
      </c>
      <c r="I333" s="237">
        <v>8613000</v>
      </c>
      <c r="J333" s="290">
        <v>1</v>
      </c>
      <c r="K333" s="291">
        <v>887000</v>
      </c>
      <c r="L333" s="291"/>
      <c r="M333" s="292">
        <f t="shared" si="15"/>
        <v>9500000</v>
      </c>
      <c r="N333" s="85">
        <v>1082944401</v>
      </c>
      <c r="O333" s="85" t="s">
        <v>7692</v>
      </c>
      <c r="P333" s="85" t="s">
        <v>7693</v>
      </c>
      <c r="Q333" s="293">
        <v>44963</v>
      </c>
      <c r="R333" s="293">
        <v>44963</v>
      </c>
      <c r="S333" s="293">
        <v>45093</v>
      </c>
      <c r="T333" s="293"/>
      <c r="U333" s="293"/>
      <c r="V333" s="293"/>
      <c r="W333" s="294">
        <v>45107</v>
      </c>
      <c r="X333" s="237">
        <v>7600000</v>
      </c>
      <c r="Y333" s="295">
        <f t="shared" si="16"/>
        <v>1900000</v>
      </c>
      <c r="Z333" s="296">
        <f t="shared" si="17"/>
        <v>0.8</v>
      </c>
      <c r="AA333" s="85">
        <v>85459497</v>
      </c>
      <c r="AB333" s="85" t="s">
        <v>4837</v>
      </c>
      <c r="AC333" s="290" t="s">
        <v>196</v>
      </c>
      <c r="AD333" s="290" t="s">
        <v>196</v>
      </c>
      <c r="AE333" s="236"/>
      <c r="AF333" s="85" t="s">
        <v>7694</v>
      </c>
      <c r="AG333" s="290" t="s">
        <v>192</v>
      </c>
      <c r="AH333" s="290" t="s">
        <v>192</v>
      </c>
    </row>
    <row r="334" spans="1:34" s="297" customFormat="1" ht="15" customHeight="1" x14ac:dyDescent="0.25">
      <c r="A334" s="289">
        <v>891780111</v>
      </c>
      <c r="B334" s="289" t="s">
        <v>54</v>
      </c>
      <c r="C334" s="290" t="s">
        <v>56</v>
      </c>
      <c r="D334" s="289" t="s">
        <v>60</v>
      </c>
      <c r="E334" s="290" t="s">
        <v>7695</v>
      </c>
      <c r="F334" s="289" t="s">
        <v>61</v>
      </c>
      <c r="G334" s="85" t="s">
        <v>63</v>
      </c>
      <c r="H334" s="85" t="s">
        <v>73</v>
      </c>
      <c r="I334" s="237">
        <v>11853000</v>
      </c>
      <c r="J334" s="290">
        <v>1</v>
      </c>
      <c r="K334" s="291">
        <v>2147000</v>
      </c>
      <c r="L334" s="291"/>
      <c r="M334" s="292">
        <f t="shared" si="15"/>
        <v>14000000</v>
      </c>
      <c r="N334" s="85">
        <v>1020757367</v>
      </c>
      <c r="O334" s="85" t="s">
        <v>7696</v>
      </c>
      <c r="P334" s="85" t="s">
        <v>7697</v>
      </c>
      <c r="Q334" s="293">
        <v>44963</v>
      </c>
      <c r="R334" s="293">
        <v>44963</v>
      </c>
      <c r="S334" s="293">
        <v>45084</v>
      </c>
      <c r="T334" s="293"/>
      <c r="U334" s="293"/>
      <c r="V334" s="293"/>
      <c r="W334" s="294">
        <v>45107</v>
      </c>
      <c r="X334" s="237">
        <v>14000000</v>
      </c>
      <c r="Y334" s="295">
        <f t="shared" si="16"/>
        <v>0</v>
      </c>
      <c r="Z334" s="296">
        <f t="shared" si="17"/>
        <v>1</v>
      </c>
      <c r="AA334" s="85">
        <v>7634027</v>
      </c>
      <c r="AB334" s="85" t="s">
        <v>7698</v>
      </c>
      <c r="AC334" s="290" t="s">
        <v>196</v>
      </c>
      <c r="AD334" s="290" t="s">
        <v>196</v>
      </c>
      <c r="AE334" s="236"/>
      <c r="AF334" s="85" t="s">
        <v>7699</v>
      </c>
      <c r="AG334" s="290" t="s">
        <v>192</v>
      </c>
      <c r="AH334" s="290" t="s">
        <v>192</v>
      </c>
    </row>
    <row r="335" spans="1:34" s="297" customFormat="1" ht="15" customHeight="1" x14ac:dyDescent="0.25">
      <c r="A335" s="289">
        <v>891780111</v>
      </c>
      <c r="B335" s="289" t="s">
        <v>54</v>
      </c>
      <c r="C335" s="290" t="s">
        <v>56</v>
      </c>
      <c r="D335" s="289" t="s">
        <v>60</v>
      </c>
      <c r="E335" s="290" t="s">
        <v>7700</v>
      </c>
      <c r="F335" s="289" t="s">
        <v>61</v>
      </c>
      <c r="G335" s="85" t="s">
        <v>63</v>
      </c>
      <c r="H335" s="85" t="s">
        <v>73</v>
      </c>
      <c r="I335" s="237">
        <v>15413000</v>
      </c>
      <c r="J335" s="290">
        <v>1</v>
      </c>
      <c r="K335" s="291"/>
      <c r="L335" s="291">
        <v>1813000</v>
      </c>
      <c r="M335" s="292">
        <f t="shared" si="15"/>
        <v>13600000</v>
      </c>
      <c r="N335" s="85">
        <v>1082923928</v>
      </c>
      <c r="O335" s="85" t="s">
        <v>7701</v>
      </c>
      <c r="P335" s="85" t="s">
        <v>7702</v>
      </c>
      <c r="Q335" s="293">
        <v>44963</v>
      </c>
      <c r="R335" s="293">
        <v>44963</v>
      </c>
      <c r="S335" s="293">
        <v>45093</v>
      </c>
      <c r="T335" s="293"/>
      <c r="U335" s="293"/>
      <c r="V335" s="293"/>
      <c r="W335" s="294">
        <v>45078</v>
      </c>
      <c r="X335" s="237">
        <v>13600000</v>
      </c>
      <c r="Y335" s="295">
        <f t="shared" si="16"/>
        <v>0</v>
      </c>
      <c r="Z335" s="296">
        <f t="shared" si="17"/>
        <v>1</v>
      </c>
      <c r="AA335" s="85">
        <v>26668285</v>
      </c>
      <c r="AB335" s="85" t="s">
        <v>5038</v>
      </c>
      <c r="AC335" s="290" t="s">
        <v>196</v>
      </c>
      <c r="AD335" s="290" t="s">
        <v>196</v>
      </c>
      <c r="AE335" s="236"/>
      <c r="AF335" s="85" t="s">
        <v>7703</v>
      </c>
      <c r="AG335" s="290" t="s">
        <v>192</v>
      </c>
      <c r="AH335" s="290" t="s">
        <v>192</v>
      </c>
    </row>
    <row r="336" spans="1:34" s="297" customFormat="1" ht="15" customHeight="1" x14ac:dyDescent="0.25">
      <c r="A336" s="289">
        <v>891780111</v>
      </c>
      <c r="B336" s="289" t="s">
        <v>54</v>
      </c>
      <c r="C336" s="290" t="s">
        <v>56</v>
      </c>
      <c r="D336" s="289" t="s">
        <v>60</v>
      </c>
      <c r="E336" s="290" t="s">
        <v>7704</v>
      </c>
      <c r="F336" s="289" t="s">
        <v>61</v>
      </c>
      <c r="G336" s="85" t="s">
        <v>63</v>
      </c>
      <c r="H336" s="85" t="s">
        <v>73</v>
      </c>
      <c r="I336" s="237">
        <v>10583000</v>
      </c>
      <c r="J336" s="290"/>
      <c r="K336" s="291"/>
      <c r="L336" s="291"/>
      <c r="M336" s="292">
        <f t="shared" si="15"/>
        <v>10583000</v>
      </c>
      <c r="N336" s="85">
        <v>57290640</v>
      </c>
      <c r="O336" s="85" t="s">
        <v>7705</v>
      </c>
      <c r="P336" s="85" t="s">
        <v>7706</v>
      </c>
      <c r="Q336" s="293">
        <v>44963</v>
      </c>
      <c r="R336" s="293">
        <v>44963</v>
      </c>
      <c r="S336" s="293">
        <v>45084</v>
      </c>
      <c r="T336" s="293"/>
      <c r="U336" s="293"/>
      <c r="V336" s="293"/>
      <c r="W336" s="294"/>
      <c r="X336" s="237">
        <v>10583000</v>
      </c>
      <c r="Y336" s="295">
        <f t="shared" si="16"/>
        <v>0</v>
      </c>
      <c r="Z336" s="296">
        <f t="shared" si="17"/>
        <v>1</v>
      </c>
      <c r="AA336" s="85">
        <v>57461216</v>
      </c>
      <c r="AB336" s="85" t="s">
        <v>6512</v>
      </c>
      <c r="AC336" s="290" t="s">
        <v>196</v>
      </c>
      <c r="AD336" s="290" t="s">
        <v>196</v>
      </c>
      <c r="AE336" s="236"/>
      <c r="AF336" s="85" t="s">
        <v>7707</v>
      </c>
      <c r="AG336" s="290" t="s">
        <v>192</v>
      </c>
      <c r="AH336" s="290" t="s">
        <v>192</v>
      </c>
    </row>
    <row r="337" spans="1:34" s="297" customFormat="1" ht="15" customHeight="1" x14ac:dyDescent="0.25">
      <c r="A337" s="289">
        <v>891780111</v>
      </c>
      <c r="B337" s="289" t="s">
        <v>54</v>
      </c>
      <c r="C337" s="290" t="s">
        <v>56</v>
      </c>
      <c r="D337" s="289" t="s">
        <v>60</v>
      </c>
      <c r="E337" s="290" t="s">
        <v>7708</v>
      </c>
      <c r="F337" s="289" t="s">
        <v>61</v>
      </c>
      <c r="G337" s="85" t="s">
        <v>63</v>
      </c>
      <c r="H337" s="85" t="s">
        <v>73</v>
      </c>
      <c r="I337" s="237">
        <v>11684000</v>
      </c>
      <c r="J337" s="290"/>
      <c r="K337" s="291"/>
      <c r="L337" s="291"/>
      <c r="M337" s="292">
        <f t="shared" si="15"/>
        <v>11684000</v>
      </c>
      <c r="N337" s="85">
        <v>79994976</v>
      </c>
      <c r="O337" s="85" t="s">
        <v>7709</v>
      </c>
      <c r="P337" s="85" t="s">
        <v>7710</v>
      </c>
      <c r="Q337" s="293">
        <v>44963</v>
      </c>
      <c r="R337" s="293">
        <v>44963</v>
      </c>
      <c r="S337" s="293">
        <v>45084</v>
      </c>
      <c r="T337" s="293"/>
      <c r="U337" s="293"/>
      <c r="V337" s="293"/>
      <c r="W337" s="294"/>
      <c r="X337" s="237">
        <v>11684000</v>
      </c>
      <c r="Y337" s="295">
        <f t="shared" si="16"/>
        <v>0</v>
      </c>
      <c r="Z337" s="296">
        <f t="shared" si="17"/>
        <v>1</v>
      </c>
      <c r="AA337" s="85">
        <v>57461216</v>
      </c>
      <c r="AB337" s="85" t="s">
        <v>6512</v>
      </c>
      <c r="AC337" s="290" t="s">
        <v>196</v>
      </c>
      <c r="AD337" s="290" t="s">
        <v>196</v>
      </c>
      <c r="AE337" s="236"/>
      <c r="AF337" s="85" t="s">
        <v>7711</v>
      </c>
      <c r="AG337" s="290" t="s">
        <v>192</v>
      </c>
      <c r="AH337" s="290" t="s">
        <v>192</v>
      </c>
    </row>
    <row r="338" spans="1:34" s="297" customFormat="1" ht="15" customHeight="1" x14ac:dyDescent="0.25">
      <c r="A338" s="289">
        <v>891780111</v>
      </c>
      <c r="B338" s="289" t="s">
        <v>54</v>
      </c>
      <c r="C338" s="290" t="s">
        <v>56</v>
      </c>
      <c r="D338" s="289" t="s">
        <v>60</v>
      </c>
      <c r="E338" s="290" t="s">
        <v>7712</v>
      </c>
      <c r="F338" s="289" t="s">
        <v>61</v>
      </c>
      <c r="G338" s="85" t="s">
        <v>63</v>
      </c>
      <c r="H338" s="85" t="s">
        <v>73</v>
      </c>
      <c r="I338" s="237">
        <v>11853000</v>
      </c>
      <c r="J338" s="290"/>
      <c r="K338" s="291"/>
      <c r="L338" s="291"/>
      <c r="M338" s="292">
        <f t="shared" si="15"/>
        <v>11853000</v>
      </c>
      <c r="N338" s="85">
        <v>1050461549</v>
      </c>
      <c r="O338" s="85" t="s">
        <v>7713</v>
      </c>
      <c r="P338" s="85" t="s">
        <v>7714</v>
      </c>
      <c r="Q338" s="293">
        <v>44963</v>
      </c>
      <c r="R338" s="293">
        <v>44963</v>
      </c>
      <c r="S338" s="293">
        <v>45084</v>
      </c>
      <c r="T338" s="293"/>
      <c r="U338" s="293"/>
      <c r="V338" s="293"/>
      <c r="W338" s="294"/>
      <c r="X338" s="237">
        <v>11853000</v>
      </c>
      <c r="Y338" s="295">
        <f t="shared" si="16"/>
        <v>0</v>
      </c>
      <c r="Z338" s="296">
        <f t="shared" si="17"/>
        <v>1</v>
      </c>
      <c r="AA338" s="85">
        <v>36557666</v>
      </c>
      <c r="AB338" s="85" t="s">
        <v>6916</v>
      </c>
      <c r="AC338" s="290" t="s">
        <v>196</v>
      </c>
      <c r="AD338" s="290" t="s">
        <v>196</v>
      </c>
      <c r="AE338" s="236"/>
      <c r="AF338" s="85" t="s">
        <v>7715</v>
      </c>
      <c r="AG338" s="290" t="s">
        <v>192</v>
      </c>
      <c r="AH338" s="290" t="s">
        <v>192</v>
      </c>
    </row>
    <row r="339" spans="1:34" s="297" customFormat="1" ht="15" customHeight="1" x14ac:dyDescent="0.25">
      <c r="A339" s="289">
        <v>891780111</v>
      </c>
      <c r="B339" s="289" t="s">
        <v>54</v>
      </c>
      <c r="C339" s="290" t="s">
        <v>56</v>
      </c>
      <c r="D339" s="289" t="s">
        <v>60</v>
      </c>
      <c r="E339" s="290" t="s">
        <v>7716</v>
      </c>
      <c r="F339" s="289" t="s">
        <v>61</v>
      </c>
      <c r="G339" s="85" t="s">
        <v>63</v>
      </c>
      <c r="H339" s="85" t="s">
        <v>73</v>
      </c>
      <c r="I339" s="237">
        <v>9313000</v>
      </c>
      <c r="J339" s="290"/>
      <c r="K339" s="291"/>
      <c r="L339" s="291"/>
      <c r="M339" s="292">
        <f t="shared" si="15"/>
        <v>9313000</v>
      </c>
      <c r="N339" s="85">
        <v>1082907201</v>
      </c>
      <c r="O339" s="85" t="s">
        <v>7717</v>
      </c>
      <c r="P339" s="85" t="s">
        <v>7718</v>
      </c>
      <c r="Q339" s="293">
        <v>44963</v>
      </c>
      <c r="R339" s="293">
        <v>44963</v>
      </c>
      <c r="S339" s="293">
        <v>45084</v>
      </c>
      <c r="T339" s="293"/>
      <c r="U339" s="293"/>
      <c r="V339" s="293"/>
      <c r="W339" s="294"/>
      <c r="X339" s="237">
        <v>9313000</v>
      </c>
      <c r="Y339" s="295">
        <f t="shared" si="16"/>
        <v>0</v>
      </c>
      <c r="Z339" s="296">
        <f t="shared" si="17"/>
        <v>1</v>
      </c>
      <c r="AA339" s="85">
        <v>85152695</v>
      </c>
      <c r="AB339" s="85" t="s">
        <v>6984</v>
      </c>
      <c r="AC339" s="290" t="s">
        <v>196</v>
      </c>
      <c r="AD339" s="290" t="s">
        <v>196</v>
      </c>
      <c r="AE339" s="236"/>
      <c r="AF339" s="85" t="s">
        <v>7719</v>
      </c>
      <c r="AG339" s="290" t="s">
        <v>192</v>
      </c>
      <c r="AH339" s="290" t="s">
        <v>192</v>
      </c>
    </row>
    <row r="340" spans="1:34" s="297" customFormat="1" ht="15" customHeight="1" x14ac:dyDescent="0.25">
      <c r="A340" s="289">
        <v>891780111</v>
      </c>
      <c r="B340" s="289" t="s">
        <v>54</v>
      </c>
      <c r="C340" s="290" t="s">
        <v>56</v>
      </c>
      <c r="D340" s="289" t="s">
        <v>60</v>
      </c>
      <c r="E340" s="290" t="s">
        <v>7720</v>
      </c>
      <c r="F340" s="289" t="s">
        <v>61</v>
      </c>
      <c r="G340" s="85" t="s">
        <v>63</v>
      </c>
      <c r="H340" s="85" t="s">
        <v>73</v>
      </c>
      <c r="I340" s="237">
        <v>11853000</v>
      </c>
      <c r="J340" s="290"/>
      <c r="K340" s="291"/>
      <c r="L340" s="291"/>
      <c r="M340" s="292">
        <f t="shared" si="15"/>
        <v>11853000</v>
      </c>
      <c r="N340" s="85">
        <v>1083038425</v>
      </c>
      <c r="O340" s="85" t="s">
        <v>7721</v>
      </c>
      <c r="P340" s="85" t="s">
        <v>7722</v>
      </c>
      <c r="Q340" s="293">
        <v>44963</v>
      </c>
      <c r="R340" s="293">
        <v>44963</v>
      </c>
      <c r="S340" s="293">
        <v>45084</v>
      </c>
      <c r="T340" s="293"/>
      <c r="U340" s="293"/>
      <c r="V340" s="293"/>
      <c r="W340" s="294"/>
      <c r="X340" s="237">
        <v>11853000</v>
      </c>
      <c r="Y340" s="295">
        <f t="shared" si="16"/>
        <v>0</v>
      </c>
      <c r="Z340" s="296">
        <f t="shared" si="17"/>
        <v>1</v>
      </c>
      <c r="AA340" s="85">
        <v>57297693</v>
      </c>
      <c r="AB340" s="85" t="s">
        <v>5446</v>
      </c>
      <c r="AC340" s="290" t="s">
        <v>196</v>
      </c>
      <c r="AD340" s="290" t="s">
        <v>196</v>
      </c>
      <c r="AE340" s="236"/>
      <c r="AF340" s="85" t="s">
        <v>7723</v>
      </c>
      <c r="AG340" s="290" t="s">
        <v>192</v>
      </c>
      <c r="AH340" s="290" t="s">
        <v>192</v>
      </c>
    </row>
    <row r="341" spans="1:34" s="297" customFormat="1" ht="15" customHeight="1" x14ac:dyDescent="0.25">
      <c r="A341" s="289">
        <v>891780111</v>
      </c>
      <c r="B341" s="289" t="s">
        <v>54</v>
      </c>
      <c r="C341" s="290" t="s">
        <v>56</v>
      </c>
      <c r="D341" s="289" t="s">
        <v>60</v>
      </c>
      <c r="E341" s="290" t="s">
        <v>7724</v>
      </c>
      <c r="F341" s="289" t="s">
        <v>61</v>
      </c>
      <c r="G341" s="85" t="s">
        <v>63</v>
      </c>
      <c r="H341" s="85" t="s">
        <v>73</v>
      </c>
      <c r="I341" s="237">
        <v>8613000</v>
      </c>
      <c r="J341" s="290"/>
      <c r="K341" s="291"/>
      <c r="L341" s="291"/>
      <c r="M341" s="292">
        <f t="shared" si="15"/>
        <v>8613000</v>
      </c>
      <c r="N341" s="85">
        <v>19612853</v>
      </c>
      <c r="O341" s="85" t="s">
        <v>7725</v>
      </c>
      <c r="P341" s="85" t="s">
        <v>7693</v>
      </c>
      <c r="Q341" s="293">
        <v>44963</v>
      </c>
      <c r="R341" s="293">
        <v>44963</v>
      </c>
      <c r="S341" s="293">
        <v>45093</v>
      </c>
      <c r="T341" s="293"/>
      <c r="U341" s="293"/>
      <c r="V341" s="293"/>
      <c r="W341" s="294"/>
      <c r="X341" s="237">
        <v>8613000</v>
      </c>
      <c r="Y341" s="295">
        <f t="shared" si="16"/>
        <v>0</v>
      </c>
      <c r="Z341" s="296">
        <f t="shared" si="17"/>
        <v>1</v>
      </c>
      <c r="AA341" s="85">
        <v>85459497</v>
      </c>
      <c r="AB341" s="85" t="s">
        <v>4837</v>
      </c>
      <c r="AC341" s="290" t="s">
        <v>196</v>
      </c>
      <c r="AD341" s="290" t="s">
        <v>196</v>
      </c>
      <c r="AE341" s="236"/>
      <c r="AF341" s="85" t="s">
        <v>7726</v>
      </c>
      <c r="AG341" s="290" t="s">
        <v>192</v>
      </c>
      <c r="AH341" s="290" t="s">
        <v>192</v>
      </c>
    </row>
    <row r="342" spans="1:34" s="297" customFormat="1" ht="15" customHeight="1" x14ac:dyDescent="0.25">
      <c r="A342" s="289">
        <v>891780111</v>
      </c>
      <c r="B342" s="289" t="s">
        <v>54</v>
      </c>
      <c r="C342" s="290" t="s">
        <v>56</v>
      </c>
      <c r="D342" s="289" t="s">
        <v>60</v>
      </c>
      <c r="E342" s="290" t="s">
        <v>7727</v>
      </c>
      <c r="F342" s="289" t="s">
        <v>61</v>
      </c>
      <c r="G342" s="85" t="s">
        <v>63</v>
      </c>
      <c r="H342" s="85" t="s">
        <v>73</v>
      </c>
      <c r="I342" s="237">
        <v>8043000</v>
      </c>
      <c r="J342" s="290"/>
      <c r="K342" s="291"/>
      <c r="L342" s="291"/>
      <c r="M342" s="292">
        <f t="shared" si="15"/>
        <v>8043000</v>
      </c>
      <c r="N342" s="85">
        <v>1083032026</v>
      </c>
      <c r="O342" s="85" t="s">
        <v>7728</v>
      </c>
      <c r="P342" s="85" t="s">
        <v>7729</v>
      </c>
      <c r="Q342" s="293">
        <v>44963</v>
      </c>
      <c r="R342" s="293">
        <v>44963</v>
      </c>
      <c r="S342" s="293">
        <v>45084</v>
      </c>
      <c r="T342" s="293"/>
      <c r="U342" s="293"/>
      <c r="V342" s="293"/>
      <c r="W342" s="294"/>
      <c r="X342" s="237">
        <v>8043000</v>
      </c>
      <c r="Y342" s="295">
        <f t="shared" si="16"/>
        <v>0</v>
      </c>
      <c r="Z342" s="296">
        <f t="shared" si="17"/>
        <v>1</v>
      </c>
      <c r="AA342" s="85">
        <v>85475141</v>
      </c>
      <c r="AB342" s="85" t="s">
        <v>7681</v>
      </c>
      <c r="AC342" s="290" t="s">
        <v>196</v>
      </c>
      <c r="AD342" s="290" t="s">
        <v>196</v>
      </c>
      <c r="AE342" s="236"/>
      <c r="AF342" s="85" t="s">
        <v>7730</v>
      </c>
      <c r="AG342" s="290" t="s">
        <v>192</v>
      </c>
      <c r="AH342" s="290" t="s">
        <v>192</v>
      </c>
    </row>
    <row r="343" spans="1:34" s="297" customFormat="1" ht="15" customHeight="1" x14ac:dyDescent="0.25">
      <c r="A343" s="289">
        <v>891780111</v>
      </c>
      <c r="B343" s="289" t="s">
        <v>54</v>
      </c>
      <c r="C343" s="290" t="s">
        <v>56</v>
      </c>
      <c r="D343" s="289" t="s">
        <v>60</v>
      </c>
      <c r="E343" s="290" t="s">
        <v>7731</v>
      </c>
      <c r="F343" s="289" t="s">
        <v>61</v>
      </c>
      <c r="G343" s="85" t="s">
        <v>63</v>
      </c>
      <c r="H343" s="85" t="s">
        <v>73</v>
      </c>
      <c r="I343" s="237">
        <v>9313000</v>
      </c>
      <c r="J343" s="290"/>
      <c r="K343" s="291"/>
      <c r="L343" s="291"/>
      <c r="M343" s="292">
        <f t="shared" si="15"/>
        <v>9313000</v>
      </c>
      <c r="N343" s="85">
        <v>1082930536</v>
      </c>
      <c r="O343" s="85" t="s">
        <v>7732</v>
      </c>
      <c r="P343" s="85" t="s">
        <v>7733</v>
      </c>
      <c r="Q343" s="293">
        <v>44963</v>
      </c>
      <c r="R343" s="293">
        <v>44963</v>
      </c>
      <c r="S343" s="293">
        <v>45084</v>
      </c>
      <c r="T343" s="293"/>
      <c r="U343" s="293"/>
      <c r="V343" s="293"/>
      <c r="W343" s="294"/>
      <c r="X343" s="237">
        <v>9313000</v>
      </c>
      <c r="Y343" s="295">
        <f t="shared" si="16"/>
        <v>0</v>
      </c>
      <c r="Z343" s="296">
        <f t="shared" si="17"/>
        <v>1</v>
      </c>
      <c r="AA343" s="85">
        <v>85468846</v>
      </c>
      <c r="AB343" s="85" t="s">
        <v>7615</v>
      </c>
      <c r="AC343" s="290" t="s">
        <v>196</v>
      </c>
      <c r="AD343" s="290" t="s">
        <v>196</v>
      </c>
      <c r="AE343" s="236"/>
      <c r="AF343" s="85" t="s">
        <v>7734</v>
      </c>
      <c r="AG343" s="290" t="s">
        <v>192</v>
      </c>
      <c r="AH343" s="290" t="s">
        <v>192</v>
      </c>
    </row>
    <row r="344" spans="1:34" s="297" customFormat="1" ht="15" customHeight="1" x14ac:dyDescent="0.25">
      <c r="A344" s="289">
        <v>891780111</v>
      </c>
      <c r="B344" s="289" t="s">
        <v>54</v>
      </c>
      <c r="C344" s="290" t="s">
        <v>56</v>
      </c>
      <c r="D344" s="289" t="s">
        <v>60</v>
      </c>
      <c r="E344" s="290" t="s">
        <v>7735</v>
      </c>
      <c r="F344" s="289" t="s">
        <v>61</v>
      </c>
      <c r="G344" s="85" t="s">
        <v>63</v>
      </c>
      <c r="H344" s="85" t="s">
        <v>73</v>
      </c>
      <c r="I344" s="237">
        <v>8043000</v>
      </c>
      <c r="J344" s="290">
        <v>1</v>
      </c>
      <c r="K344" s="291"/>
      <c r="L344" s="291">
        <v>4749667</v>
      </c>
      <c r="M344" s="292">
        <f t="shared" si="15"/>
        <v>3293333</v>
      </c>
      <c r="N344" s="85">
        <v>1082947816</v>
      </c>
      <c r="O344" s="85" t="s">
        <v>7736</v>
      </c>
      <c r="P344" s="85" t="s">
        <v>7737</v>
      </c>
      <c r="Q344" s="293">
        <v>44963</v>
      </c>
      <c r="R344" s="293">
        <v>44963</v>
      </c>
      <c r="S344" s="293">
        <v>45084</v>
      </c>
      <c r="T344" s="293"/>
      <c r="U344" s="293"/>
      <c r="V344" s="293"/>
      <c r="W344" s="294">
        <v>45007</v>
      </c>
      <c r="X344" s="237">
        <v>3293333</v>
      </c>
      <c r="Y344" s="295">
        <f t="shared" si="16"/>
        <v>0</v>
      </c>
      <c r="Z344" s="296">
        <f t="shared" si="17"/>
        <v>1</v>
      </c>
      <c r="AA344" s="85">
        <v>7633817</v>
      </c>
      <c r="AB344" s="85" t="s">
        <v>5425</v>
      </c>
      <c r="AC344" s="290" t="s">
        <v>196</v>
      </c>
      <c r="AD344" s="290" t="s">
        <v>196</v>
      </c>
      <c r="AE344" s="236"/>
      <c r="AF344" s="85" t="s">
        <v>7738</v>
      </c>
      <c r="AG344" s="290" t="s">
        <v>192</v>
      </c>
      <c r="AH344" s="290" t="s">
        <v>192</v>
      </c>
    </row>
    <row r="345" spans="1:34" s="297" customFormat="1" ht="15" customHeight="1" x14ac:dyDescent="0.25">
      <c r="A345" s="289">
        <v>891780111</v>
      </c>
      <c r="B345" s="289" t="s">
        <v>54</v>
      </c>
      <c r="C345" s="290" t="s">
        <v>56</v>
      </c>
      <c r="D345" s="289" t="s">
        <v>60</v>
      </c>
      <c r="E345" s="290" t="s">
        <v>7739</v>
      </c>
      <c r="F345" s="289" t="s">
        <v>61</v>
      </c>
      <c r="G345" s="85" t="s">
        <v>63</v>
      </c>
      <c r="H345" s="85" t="s">
        <v>73</v>
      </c>
      <c r="I345" s="237">
        <v>8043000</v>
      </c>
      <c r="J345" s="290">
        <v>1</v>
      </c>
      <c r="K345" s="291">
        <v>1457000</v>
      </c>
      <c r="L345" s="291"/>
      <c r="M345" s="292">
        <f t="shared" si="15"/>
        <v>9500000</v>
      </c>
      <c r="N345" s="85">
        <v>1082478213</v>
      </c>
      <c r="O345" s="85" t="s">
        <v>7740</v>
      </c>
      <c r="P345" s="85" t="s">
        <v>7741</v>
      </c>
      <c r="Q345" s="293">
        <v>44963</v>
      </c>
      <c r="R345" s="293">
        <v>44963</v>
      </c>
      <c r="S345" s="293">
        <v>45084</v>
      </c>
      <c r="T345" s="293"/>
      <c r="U345" s="293"/>
      <c r="V345" s="293"/>
      <c r="W345" s="294">
        <v>45107</v>
      </c>
      <c r="X345" s="237">
        <v>9500000</v>
      </c>
      <c r="Y345" s="295">
        <f t="shared" si="16"/>
        <v>0</v>
      </c>
      <c r="Z345" s="296">
        <f t="shared" si="17"/>
        <v>1</v>
      </c>
      <c r="AA345" s="85">
        <v>7633817</v>
      </c>
      <c r="AB345" s="85" t="s">
        <v>5425</v>
      </c>
      <c r="AC345" s="290" t="s">
        <v>196</v>
      </c>
      <c r="AD345" s="290" t="s">
        <v>196</v>
      </c>
      <c r="AE345" s="236"/>
      <c r="AF345" s="85" t="s">
        <v>7742</v>
      </c>
      <c r="AG345" s="290" t="s">
        <v>192</v>
      </c>
      <c r="AH345" s="290" t="s">
        <v>192</v>
      </c>
    </row>
    <row r="346" spans="1:34" s="297" customFormat="1" ht="15" customHeight="1" x14ac:dyDescent="0.25">
      <c r="A346" s="289">
        <v>891780111</v>
      </c>
      <c r="B346" s="289" t="s">
        <v>54</v>
      </c>
      <c r="C346" s="290" t="s">
        <v>59</v>
      </c>
      <c r="D346" s="289" t="s">
        <v>60</v>
      </c>
      <c r="E346" s="290" t="s">
        <v>7743</v>
      </c>
      <c r="F346" s="289" t="s">
        <v>61</v>
      </c>
      <c r="G346" s="85" t="s">
        <v>63</v>
      </c>
      <c r="H346" s="85" t="s">
        <v>73</v>
      </c>
      <c r="I346" s="237">
        <v>16500000</v>
      </c>
      <c r="J346" s="290"/>
      <c r="K346" s="291"/>
      <c r="L346" s="291"/>
      <c r="M346" s="292">
        <f t="shared" si="15"/>
        <v>16500000</v>
      </c>
      <c r="N346" s="85">
        <v>1082848824</v>
      </c>
      <c r="O346" s="85" t="s">
        <v>1474</v>
      </c>
      <c r="P346" s="85" t="s">
        <v>7744</v>
      </c>
      <c r="Q346" s="293">
        <v>44964</v>
      </c>
      <c r="R346" s="293">
        <v>44964</v>
      </c>
      <c r="S346" s="293">
        <v>45091</v>
      </c>
      <c r="T346" s="293"/>
      <c r="U346" s="293"/>
      <c r="V346" s="293"/>
      <c r="W346" s="294"/>
      <c r="X346" s="237">
        <v>16500000</v>
      </c>
      <c r="Y346" s="295">
        <f t="shared" si="16"/>
        <v>0</v>
      </c>
      <c r="Z346" s="296">
        <f t="shared" si="17"/>
        <v>1</v>
      </c>
      <c r="AA346" s="85">
        <v>8746547</v>
      </c>
      <c r="AB346" s="85" t="s">
        <v>7345</v>
      </c>
      <c r="AC346" s="290" t="s">
        <v>196</v>
      </c>
      <c r="AD346" s="290" t="s">
        <v>196</v>
      </c>
      <c r="AE346" s="236"/>
      <c r="AF346" s="85" t="s">
        <v>7745</v>
      </c>
      <c r="AG346" s="290" t="s">
        <v>192</v>
      </c>
      <c r="AH346" s="290" t="s">
        <v>192</v>
      </c>
    </row>
    <row r="347" spans="1:34" s="297" customFormat="1" ht="15" customHeight="1" x14ac:dyDescent="0.25">
      <c r="A347" s="289">
        <v>891780111</v>
      </c>
      <c r="B347" s="289" t="s">
        <v>54</v>
      </c>
      <c r="C347" s="290" t="s">
        <v>59</v>
      </c>
      <c r="D347" s="289" t="s">
        <v>60</v>
      </c>
      <c r="E347" s="290" t="s">
        <v>7746</v>
      </c>
      <c r="F347" s="289" t="s">
        <v>61</v>
      </c>
      <c r="G347" s="85" t="s">
        <v>63</v>
      </c>
      <c r="H347" s="85" t="s">
        <v>73</v>
      </c>
      <c r="I347" s="237">
        <v>14500000</v>
      </c>
      <c r="J347" s="290"/>
      <c r="K347" s="291"/>
      <c r="L347" s="291"/>
      <c r="M347" s="292">
        <f t="shared" si="15"/>
        <v>14500000</v>
      </c>
      <c r="N347" s="85">
        <v>1082981011</v>
      </c>
      <c r="O347" s="85" t="s">
        <v>7747</v>
      </c>
      <c r="P347" s="85" t="s">
        <v>7748</v>
      </c>
      <c r="Q347" s="293">
        <v>44964</v>
      </c>
      <c r="R347" s="293">
        <v>44964</v>
      </c>
      <c r="S347" s="293">
        <v>45107</v>
      </c>
      <c r="T347" s="293"/>
      <c r="U347" s="293"/>
      <c r="V347" s="293"/>
      <c r="W347" s="294"/>
      <c r="X347" s="237">
        <v>14500000</v>
      </c>
      <c r="Y347" s="295">
        <f t="shared" si="16"/>
        <v>0</v>
      </c>
      <c r="Z347" s="296">
        <f t="shared" si="17"/>
        <v>1</v>
      </c>
      <c r="AA347" s="85">
        <v>36722626</v>
      </c>
      <c r="AB347" s="85" t="s">
        <v>7184</v>
      </c>
      <c r="AC347" s="290" t="s">
        <v>196</v>
      </c>
      <c r="AD347" s="290" t="s">
        <v>196</v>
      </c>
      <c r="AE347" s="236"/>
      <c r="AF347" s="85" t="s">
        <v>7749</v>
      </c>
      <c r="AG347" s="290" t="s">
        <v>192</v>
      </c>
      <c r="AH347" s="290" t="s">
        <v>192</v>
      </c>
    </row>
    <row r="348" spans="1:34" s="297" customFormat="1" ht="15" customHeight="1" x14ac:dyDescent="0.25">
      <c r="A348" s="289">
        <v>891780111</v>
      </c>
      <c r="B348" s="289" t="s">
        <v>54</v>
      </c>
      <c r="C348" s="290" t="s">
        <v>59</v>
      </c>
      <c r="D348" s="289" t="s">
        <v>60</v>
      </c>
      <c r="E348" s="290" t="s">
        <v>7750</v>
      </c>
      <c r="F348" s="289" t="s">
        <v>61</v>
      </c>
      <c r="G348" s="85" t="s">
        <v>63</v>
      </c>
      <c r="H348" s="85" t="s">
        <v>73</v>
      </c>
      <c r="I348" s="237">
        <v>14500000</v>
      </c>
      <c r="J348" s="290"/>
      <c r="K348" s="291"/>
      <c r="L348" s="291"/>
      <c r="M348" s="292">
        <f t="shared" si="15"/>
        <v>14500000</v>
      </c>
      <c r="N348" s="85">
        <v>57464899</v>
      </c>
      <c r="O348" s="85" t="s">
        <v>7751</v>
      </c>
      <c r="P348" s="85" t="s">
        <v>7752</v>
      </c>
      <c r="Q348" s="293">
        <v>44964</v>
      </c>
      <c r="R348" s="293">
        <v>44964</v>
      </c>
      <c r="S348" s="293">
        <v>45107</v>
      </c>
      <c r="T348" s="293"/>
      <c r="U348" s="293"/>
      <c r="V348" s="293"/>
      <c r="W348" s="294"/>
      <c r="X348" s="237">
        <v>14500000</v>
      </c>
      <c r="Y348" s="295">
        <f t="shared" si="16"/>
        <v>0</v>
      </c>
      <c r="Z348" s="296">
        <f t="shared" si="17"/>
        <v>1</v>
      </c>
      <c r="AA348" s="85">
        <v>36722626</v>
      </c>
      <c r="AB348" s="85" t="s">
        <v>7184</v>
      </c>
      <c r="AC348" s="290" t="s">
        <v>196</v>
      </c>
      <c r="AD348" s="290" t="s">
        <v>196</v>
      </c>
      <c r="AE348" s="236"/>
      <c r="AF348" s="85" t="s">
        <v>7753</v>
      </c>
      <c r="AG348" s="290" t="s">
        <v>192</v>
      </c>
      <c r="AH348" s="290" t="s">
        <v>192</v>
      </c>
    </row>
    <row r="349" spans="1:34" s="297" customFormat="1" ht="15" customHeight="1" x14ac:dyDescent="0.25">
      <c r="A349" s="289">
        <v>891780111</v>
      </c>
      <c r="B349" s="289" t="s">
        <v>54</v>
      </c>
      <c r="C349" s="290" t="s">
        <v>56</v>
      </c>
      <c r="D349" s="289" t="s">
        <v>60</v>
      </c>
      <c r="E349" s="290" t="s">
        <v>7754</v>
      </c>
      <c r="F349" s="289" t="s">
        <v>61</v>
      </c>
      <c r="G349" s="85" t="s">
        <v>63</v>
      </c>
      <c r="H349" s="85" t="s">
        <v>73</v>
      </c>
      <c r="I349" s="237">
        <v>11853000</v>
      </c>
      <c r="J349" s="290">
        <v>1</v>
      </c>
      <c r="K349" s="291">
        <v>2147000</v>
      </c>
      <c r="L349" s="291"/>
      <c r="M349" s="292">
        <f t="shared" si="15"/>
        <v>14000000</v>
      </c>
      <c r="N349" s="85">
        <v>1020736975</v>
      </c>
      <c r="O349" s="85" t="s">
        <v>7755</v>
      </c>
      <c r="P349" s="85" t="s">
        <v>7756</v>
      </c>
      <c r="Q349" s="293">
        <v>44964</v>
      </c>
      <c r="R349" s="293">
        <v>44964</v>
      </c>
      <c r="S349" s="293">
        <v>45084</v>
      </c>
      <c r="T349" s="293"/>
      <c r="U349" s="293"/>
      <c r="V349" s="293"/>
      <c r="W349" s="294">
        <v>45107</v>
      </c>
      <c r="X349" s="237">
        <v>14000000</v>
      </c>
      <c r="Y349" s="295">
        <f t="shared" si="16"/>
        <v>0</v>
      </c>
      <c r="Z349" s="296">
        <f t="shared" si="17"/>
        <v>1</v>
      </c>
      <c r="AA349" s="85">
        <v>72175281</v>
      </c>
      <c r="AB349" s="85" t="s">
        <v>6507</v>
      </c>
      <c r="AC349" s="290" t="s">
        <v>196</v>
      </c>
      <c r="AD349" s="290" t="s">
        <v>196</v>
      </c>
      <c r="AE349" s="236"/>
      <c r="AF349" s="85" t="s">
        <v>7757</v>
      </c>
      <c r="AG349" s="290" t="s">
        <v>192</v>
      </c>
      <c r="AH349" s="290" t="s">
        <v>192</v>
      </c>
    </row>
    <row r="350" spans="1:34" s="297" customFormat="1" ht="15" customHeight="1" x14ac:dyDescent="0.25">
      <c r="A350" s="289">
        <v>891780111</v>
      </c>
      <c r="B350" s="289" t="s">
        <v>54</v>
      </c>
      <c r="C350" s="290" t="s">
        <v>56</v>
      </c>
      <c r="D350" s="289" t="s">
        <v>60</v>
      </c>
      <c r="E350" s="290" t="s">
        <v>7758</v>
      </c>
      <c r="F350" s="289" t="s">
        <v>61</v>
      </c>
      <c r="G350" s="85" t="s">
        <v>63</v>
      </c>
      <c r="H350" s="85" t="s">
        <v>73</v>
      </c>
      <c r="I350" s="237">
        <v>9313000</v>
      </c>
      <c r="J350" s="290"/>
      <c r="K350" s="291"/>
      <c r="L350" s="291"/>
      <c r="M350" s="292">
        <f t="shared" si="15"/>
        <v>9313000</v>
      </c>
      <c r="N350" s="85">
        <v>1007642968</v>
      </c>
      <c r="O350" s="85" t="s">
        <v>7759</v>
      </c>
      <c r="P350" s="85" t="s">
        <v>7760</v>
      </c>
      <c r="Q350" s="293">
        <v>44964</v>
      </c>
      <c r="R350" s="293">
        <v>44964</v>
      </c>
      <c r="S350" s="293">
        <v>45084</v>
      </c>
      <c r="T350" s="293"/>
      <c r="U350" s="293"/>
      <c r="V350" s="293"/>
      <c r="W350" s="294"/>
      <c r="X350" s="237">
        <v>9313000</v>
      </c>
      <c r="Y350" s="295">
        <f t="shared" si="16"/>
        <v>0</v>
      </c>
      <c r="Z350" s="296">
        <f t="shared" si="17"/>
        <v>1</v>
      </c>
      <c r="AA350" s="85">
        <v>36557666</v>
      </c>
      <c r="AB350" s="85" t="s">
        <v>6916</v>
      </c>
      <c r="AC350" s="290" t="s">
        <v>196</v>
      </c>
      <c r="AD350" s="290" t="s">
        <v>196</v>
      </c>
      <c r="AE350" s="236"/>
      <c r="AF350" s="85" t="s">
        <v>7761</v>
      </c>
      <c r="AG350" s="290" t="s">
        <v>192</v>
      </c>
      <c r="AH350" s="290" t="s">
        <v>192</v>
      </c>
    </row>
    <row r="351" spans="1:34" s="297" customFormat="1" ht="15" customHeight="1" x14ac:dyDescent="0.25">
      <c r="A351" s="289">
        <v>891780111</v>
      </c>
      <c r="B351" s="289" t="s">
        <v>54</v>
      </c>
      <c r="C351" s="290" t="s">
        <v>56</v>
      </c>
      <c r="D351" s="289" t="s">
        <v>60</v>
      </c>
      <c r="E351" s="290" t="s">
        <v>7762</v>
      </c>
      <c r="F351" s="289" t="s">
        <v>61</v>
      </c>
      <c r="G351" s="85" t="s">
        <v>63</v>
      </c>
      <c r="H351" s="85" t="s">
        <v>73</v>
      </c>
      <c r="I351" s="237">
        <v>10583000</v>
      </c>
      <c r="J351" s="290">
        <v>1</v>
      </c>
      <c r="K351" s="291">
        <v>1917000</v>
      </c>
      <c r="L351" s="291"/>
      <c r="M351" s="292">
        <f t="shared" si="15"/>
        <v>12500000</v>
      </c>
      <c r="N351" s="85">
        <v>57303000</v>
      </c>
      <c r="O351" s="85" t="s">
        <v>7763</v>
      </c>
      <c r="P351" s="85" t="s">
        <v>7764</v>
      </c>
      <c r="Q351" s="293">
        <v>44964</v>
      </c>
      <c r="R351" s="293">
        <v>44964</v>
      </c>
      <c r="S351" s="293">
        <v>45084</v>
      </c>
      <c r="T351" s="293"/>
      <c r="U351" s="293"/>
      <c r="V351" s="293"/>
      <c r="W351" s="294">
        <v>45107</v>
      </c>
      <c r="X351" s="237">
        <v>12500000</v>
      </c>
      <c r="Y351" s="295">
        <f t="shared" si="16"/>
        <v>0</v>
      </c>
      <c r="Z351" s="296">
        <f t="shared" si="17"/>
        <v>1</v>
      </c>
      <c r="AA351" s="85">
        <v>85471791</v>
      </c>
      <c r="AB351" s="85" t="s">
        <v>7172</v>
      </c>
      <c r="AC351" s="290" t="s">
        <v>196</v>
      </c>
      <c r="AD351" s="290" t="s">
        <v>196</v>
      </c>
      <c r="AE351" s="236"/>
      <c r="AF351" s="85" t="s">
        <v>7765</v>
      </c>
      <c r="AG351" s="290" t="s">
        <v>192</v>
      </c>
      <c r="AH351" s="290" t="s">
        <v>192</v>
      </c>
    </row>
    <row r="352" spans="1:34" s="297" customFormat="1" ht="15" customHeight="1" x14ac:dyDescent="0.25">
      <c r="A352" s="289">
        <v>891780111</v>
      </c>
      <c r="B352" s="289" t="s">
        <v>54</v>
      </c>
      <c r="C352" s="290" t="s">
        <v>56</v>
      </c>
      <c r="D352" s="289" t="s">
        <v>60</v>
      </c>
      <c r="E352" s="290" t="s">
        <v>7766</v>
      </c>
      <c r="F352" s="289" t="s">
        <v>61</v>
      </c>
      <c r="G352" s="85" t="s">
        <v>63</v>
      </c>
      <c r="H352" s="85" t="s">
        <v>73</v>
      </c>
      <c r="I352" s="237">
        <v>8043000</v>
      </c>
      <c r="J352" s="290">
        <v>1</v>
      </c>
      <c r="K352" s="291">
        <v>1457000</v>
      </c>
      <c r="L352" s="291"/>
      <c r="M352" s="292">
        <f t="shared" si="15"/>
        <v>9500000</v>
      </c>
      <c r="N352" s="85">
        <v>84458834</v>
      </c>
      <c r="O352" s="85" t="s">
        <v>7767</v>
      </c>
      <c r="P352" s="85" t="s">
        <v>7768</v>
      </c>
      <c r="Q352" s="293">
        <v>44964</v>
      </c>
      <c r="R352" s="293">
        <v>44964</v>
      </c>
      <c r="S352" s="293">
        <v>45084</v>
      </c>
      <c r="T352" s="293"/>
      <c r="U352" s="293"/>
      <c r="V352" s="293"/>
      <c r="W352" s="294">
        <v>45107</v>
      </c>
      <c r="X352" s="237">
        <v>9500000</v>
      </c>
      <c r="Y352" s="295">
        <f t="shared" si="16"/>
        <v>0</v>
      </c>
      <c r="Z352" s="296">
        <f t="shared" si="17"/>
        <v>1</v>
      </c>
      <c r="AA352" s="85">
        <v>1082863147</v>
      </c>
      <c r="AB352" s="85" t="s">
        <v>7769</v>
      </c>
      <c r="AC352" s="290" t="s">
        <v>196</v>
      </c>
      <c r="AD352" s="290" t="s">
        <v>196</v>
      </c>
      <c r="AE352" s="236"/>
      <c r="AF352" s="85" t="s">
        <v>7770</v>
      </c>
      <c r="AG352" s="290" t="s">
        <v>192</v>
      </c>
      <c r="AH352" s="290" t="s">
        <v>192</v>
      </c>
    </row>
    <row r="353" spans="1:34" s="297" customFormat="1" ht="15" customHeight="1" x14ac:dyDescent="0.25">
      <c r="A353" s="289">
        <v>891780111</v>
      </c>
      <c r="B353" s="289" t="s">
        <v>54</v>
      </c>
      <c r="C353" s="290" t="s">
        <v>56</v>
      </c>
      <c r="D353" s="289" t="s">
        <v>60</v>
      </c>
      <c r="E353" s="290" t="s">
        <v>7771</v>
      </c>
      <c r="F353" s="289" t="s">
        <v>61</v>
      </c>
      <c r="G353" s="85" t="s">
        <v>63</v>
      </c>
      <c r="H353" s="85" t="s">
        <v>73</v>
      </c>
      <c r="I353" s="237">
        <v>11853000</v>
      </c>
      <c r="J353" s="290"/>
      <c r="K353" s="291"/>
      <c r="L353" s="291"/>
      <c r="M353" s="292">
        <f t="shared" si="15"/>
        <v>11853000</v>
      </c>
      <c r="N353" s="85">
        <v>1098748884</v>
      </c>
      <c r="O353" s="85" t="s">
        <v>7772</v>
      </c>
      <c r="P353" s="85" t="s">
        <v>7773</v>
      </c>
      <c r="Q353" s="293">
        <v>44964</v>
      </c>
      <c r="R353" s="293">
        <v>44964</v>
      </c>
      <c r="S353" s="293">
        <v>45084</v>
      </c>
      <c r="T353" s="293"/>
      <c r="U353" s="293"/>
      <c r="V353" s="293"/>
      <c r="W353" s="294"/>
      <c r="X353" s="237">
        <v>11853000</v>
      </c>
      <c r="Y353" s="295">
        <f t="shared" si="16"/>
        <v>0</v>
      </c>
      <c r="Z353" s="296">
        <f t="shared" si="17"/>
        <v>1</v>
      </c>
      <c r="AA353" s="85">
        <v>36557666</v>
      </c>
      <c r="AB353" s="85" t="s">
        <v>6916</v>
      </c>
      <c r="AC353" s="290" t="s">
        <v>196</v>
      </c>
      <c r="AD353" s="290" t="s">
        <v>196</v>
      </c>
      <c r="AE353" s="236"/>
      <c r="AF353" s="85" t="s">
        <v>7774</v>
      </c>
      <c r="AG353" s="290" t="s">
        <v>192</v>
      </c>
      <c r="AH353" s="290" t="s">
        <v>192</v>
      </c>
    </row>
    <row r="354" spans="1:34" s="297" customFormat="1" ht="15" customHeight="1" x14ac:dyDescent="0.25">
      <c r="A354" s="289">
        <v>891780111</v>
      </c>
      <c r="B354" s="289" t="s">
        <v>54</v>
      </c>
      <c r="C354" s="290" t="s">
        <v>56</v>
      </c>
      <c r="D354" s="289" t="s">
        <v>60</v>
      </c>
      <c r="E354" s="290" t="s">
        <v>7775</v>
      </c>
      <c r="F354" s="289" t="s">
        <v>61</v>
      </c>
      <c r="G354" s="85" t="s">
        <v>63</v>
      </c>
      <c r="H354" s="85" t="s">
        <v>73</v>
      </c>
      <c r="I354" s="237">
        <v>10583000</v>
      </c>
      <c r="J354" s="290">
        <v>1</v>
      </c>
      <c r="K354" s="291">
        <v>1917000</v>
      </c>
      <c r="L354" s="291"/>
      <c r="M354" s="292">
        <f t="shared" si="15"/>
        <v>12500000</v>
      </c>
      <c r="N354" s="85">
        <v>1084789581</v>
      </c>
      <c r="O354" s="85" t="s">
        <v>7776</v>
      </c>
      <c r="P354" s="85" t="s">
        <v>7777</v>
      </c>
      <c r="Q354" s="293">
        <v>44964</v>
      </c>
      <c r="R354" s="293">
        <v>44964</v>
      </c>
      <c r="S354" s="293">
        <v>45084</v>
      </c>
      <c r="T354" s="293"/>
      <c r="U354" s="293"/>
      <c r="V354" s="293"/>
      <c r="W354" s="294">
        <v>45107</v>
      </c>
      <c r="X354" s="237">
        <v>7500000</v>
      </c>
      <c r="Y354" s="295">
        <f t="shared" si="16"/>
        <v>5000000</v>
      </c>
      <c r="Z354" s="296">
        <f t="shared" si="17"/>
        <v>0.6</v>
      </c>
      <c r="AA354" s="85">
        <v>72004252</v>
      </c>
      <c r="AB354" s="85" t="s">
        <v>6898</v>
      </c>
      <c r="AC354" s="290" t="s">
        <v>196</v>
      </c>
      <c r="AD354" s="290" t="s">
        <v>196</v>
      </c>
      <c r="AE354" s="236"/>
      <c r="AF354" s="85" t="s">
        <v>7778</v>
      </c>
      <c r="AG354" s="290" t="s">
        <v>192</v>
      </c>
      <c r="AH354" s="290" t="s">
        <v>192</v>
      </c>
    </row>
    <row r="355" spans="1:34" s="297" customFormat="1" ht="15" customHeight="1" x14ac:dyDescent="0.25">
      <c r="A355" s="289">
        <v>891780111</v>
      </c>
      <c r="B355" s="289" t="s">
        <v>54</v>
      </c>
      <c r="C355" s="290" t="s">
        <v>56</v>
      </c>
      <c r="D355" s="289" t="s">
        <v>60</v>
      </c>
      <c r="E355" s="290" t="s">
        <v>7779</v>
      </c>
      <c r="F355" s="289" t="s">
        <v>61</v>
      </c>
      <c r="G355" s="85" t="s">
        <v>63</v>
      </c>
      <c r="H355" s="85" t="s">
        <v>73</v>
      </c>
      <c r="I355" s="237">
        <v>14393000</v>
      </c>
      <c r="J355" s="290">
        <v>1</v>
      </c>
      <c r="K355" s="291">
        <v>2607000</v>
      </c>
      <c r="L355" s="291"/>
      <c r="M355" s="292">
        <f t="shared" si="15"/>
        <v>17000000</v>
      </c>
      <c r="N355" s="85">
        <v>1083017290</v>
      </c>
      <c r="O355" s="85" t="s">
        <v>1058</v>
      </c>
      <c r="P355" s="85" t="s">
        <v>7780</v>
      </c>
      <c r="Q355" s="293">
        <v>44964</v>
      </c>
      <c r="R355" s="293">
        <v>44964</v>
      </c>
      <c r="S355" s="293">
        <v>45084</v>
      </c>
      <c r="T355" s="293"/>
      <c r="U355" s="293"/>
      <c r="V355" s="293"/>
      <c r="W355" s="294">
        <v>45107</v>
      </c>
      <c r="X355" s="237">
        <v>17000000</v>
      </c>
      <c r="Y355" s="295">
        <f t="shared" si="16"/>
        <v>0</v>
      </c>
      <c r="Z355" s="296">
        <f t="shared" si="17"/>
        <v>1</v>
      </c>
      <c r="AA355" s="85">
        <v>7632607</v>
      </c>
      <c r="AB355" s="85" t="s">
        <v>7071</v>
      </c>
      <c r="AC355" s="290" t="s">
        <v>196</v>
      </c>
      <c r="AD355" s="290" t="s">
        <v>196</v>
      </c>
      <c r="AE355" s="236"/>
      <c r="AF355" s="85" t="s">
        <v>7781</v>
      </c>
      <c r="AG355" s="290" t="s">
        <v>192</v>
      </c>
      <c r="AH355" s="290" t="s">
        <v>192</v>
      </c>
    </row>
    <row r="356" spans="1:34" s="297" customFormat="1" ht="15" customHeight="1" x14ac:dyDescent="0.25">
      <c r="A356" s="289">
        <v>891780111</v>
      </c>
      <c r="B356" s="289" t="s">
        <v>54</v>
      </c>
      <c r="C356" s="290" t="s">
        <v>56</v>
      </c>
      <c r="D356" s="289" t="s">
        <v>60</v>
      </c>
      <c r="E356" s="290" t="s">
        <v>7782</v>
      </c>
      <c r="F356" s="289" t="s">
        <v>61</v>
      </c>
      <c r="G356" s="85" t="s">
        <v>63</v>
      </c>
      <c r="H356" s="85" t="s">
        <v>73</v>
      </c>
      <c r="I356" s="237">
        <v>10583000</v>
      </c>
      <c r="J356" s="290">
        <v>1</v>
      </c>
      <c r="K356" s="291"/>
      <c r="L356" s="291">
        <v>6833000</v>
      </c>
      <c r="M356" s="292">
        <f t="shared" si="15"/>
        <v>3750000</v>
      </c>
      <c r="N356" s="85">
        <v>57466453</v>
      </c>
      <c r="O356" s="85" t="s">
        <v>7783</v>
      </c>
      <c r="P356" s="85" t="s">
        <v>7784</v>
      </c>
      <c r="Q356" s="293">
        <v>44964</v>
      </c>
      <c r="R356" s="293">
        <v>44964</v>
      </c>
      <c r="S356" s="293">
        <v>45084</v>
      </c>
      <c r="T356" s="293"/>
      <c r="U356" s="293"/>
      <c r="V356" s="293"/>
      <c r="W356" s="294">
        <v>45000</v>
      </c>
      <c r="X356" s="237">
        <v>3750000</v>
      </c>
      <c r="Y356" s="295">
        <f t="shared" si="16"/>
        <v>0</v>
      </c>
      <c r="Z356" s="296">
        <f t="shared" si="17"/>
        <v>1</v>
      </c>
      <c r="AA356" s="85">
        <v>36557666</v>
      </c>
      <c r="AB356" s="85" t="s">
        <v>6916</v>
      </c>
      <c r="AC356" s="290" t="s">
        <v>196</v>
      </c>
      <c r="AD356" s="290" t="s">
        <v>196</v>
      </c>
      <c r="AE356" s="236"/>
      <c r="AF356" s="85" t="s">
        <v>7785</v>
      </c>
      <c r="AG356" s="290" t="s">
        <v>192</v>
      </c>
      <c r="AH356" s="290" t="s">
        <v>192</v>
      </c>
    </row>
    <row r="357" spans="1:34" s="297" customFormat="1" ht="15" customHeight="1" x14ac:dyDescent="0.25">
      <c r="A357" s="289">
        <v>891780111</v>
      </c>
      <c r="B357" s="289" t="s">
        <v>54</v>
      </c>
      <c r="C357" s="290" t="s">
        <v>56</v>
      </c>
      <c r="D357" s="289" t="s">
        <v>60</v>
      </c>
      <c r="E357" s="290" t="s">
        <v>7786</v>
      </c>
      <c r="F357" s="289" t="s">
        <v>61</v>
      </c>
      <c r="G357" s="85" t="s">
        <v>63</v>
      </c>
      <c r="H357" s="85" t="s">
        <v>73</v>
      </c>
      <c r="I357" s="237">
        <v>8613000</v>
      </c>
      <c r="J357" s="290"/>
      <c r="K357" s="291"/>
      <c r="L357" s="291"/>
      <c r="M357" s="292">
        <f t="shared" si="15"/>
        <v>8613000</v>
      </c>
      <c r="N357" s="85">
        <v>7634610</v>
      </c>
      <c r="O357" s="85" t="s">
        <v>7787</v>
      </c>
      <c r="P357" s="85" t="s">
        <v>7788</v>
      </c>
      <c r="Q357" s="293">
        <v>44964</v>
      </c>
      <c r="R357" s="293">
        <v>44964</v>
      </c>
      <c r="S357" s="293">
        <v>45093</v>
      </c>
      <c r="T357" s="293"/>
      <c r="U357" s="293"/>
      <c r="V357" s="293"/>
      <c r="W357" s="294"/>
      <c r="X357" s="237">
        <v>8613000</v>
      </c>
      <c r="Y357" s="295">
        <f t="shared" si="16"/>
        <v>0</v>
      </c>
      <c r="Z357" s="296">
        <f t="shared" si="17"/>
        <v>1</v>
      </c>
      <c r="AA357" s="85">
        <v>85459497</v>
      </c>
      <c r="AB357" s="85" t="s">
        <v>4837</v>
      </c>
      <c r="AC357" s="290" t="s">
        <v>196</v>
      </c>
      <c r="AD357" s="290" t="s">
        <v>196</v>
      </c>
      <c r="AE357" s="236"/>
      <c r="AF357" s="85" t="s">
        <v>7789</v>
      </c>
      <c r="AG357" s="290" t="s">
        <v>192</v>
      </c>
      <c r="AH357" s="290" t="s">
        <v>192</v>
      </c>
    </row>
    <row r="358" spans="1:34" s="297" customFormat="1" ht="15" customHeight="1" x14ac:dyDescent="0.25">
      <c r="A358" s="289">
        <v>891780111</v>
      </c>
      <c r="B358" s="289" t="s">
        <v>54</v>
      </c>
      <c r="C358" s="290" t="s">
        <v>56</v>
      </c>
      <c r="D358" s="289" t="s">
        <v>60</v>
      </c>
      <c r="E358" s="290" t="s">
        <v>7790</v>
      </c>
      <c r="F358" s="289" t="s">
        <v>61</v>
      </c>
      <c r="G358" s="85" t="s">
        <v>63</v>
      </c>
      <c r="H358" s="85" t="s">
        <v>73</v>
      </c>
      <c r="I358" s="237">
        <v>11853000</v>
      </c>
      <c r="J358" s="290">
        <v>1</v>
      </c>
      <c r="K358" s="291">
        <v>2147000</v>
      </c>
      <c r="L358" s="291"/>
      <c r="M358" s="292">
        <f t="shared" si="15"/>
        <v>14000000</v>
      </c>
      <c r="N358" s="85">
        <v>1100547297</v>
      </c>
      <c r="O358" s="85" t="s">
        <v>7791</v>
      </c>
      <c r="P358" s="85" t="s">
        <v>7792</v>
      </c>
      <c r="Q358" s="293">
        <v>44964</v>
      </c>
      <c r="R358" s="293">
        <v>44964</v>
      </c>
      <c r="S358" s="293">
        <v>45084</v>
      </c>
      <c r="T358" s="293"/>
      <c r="U358" s="293"/>
      <c r="V358" s="293"/>
      <c r="W358" s="294">
        <v>45107</v>
      </c>
      <c r="X358" s="237">
        <v>14000000</v>
      </c>
      <c r="Y358" s="295">
        <f t="shared" si="16"/>
        <v>0</v>
      </c>
      <c r="Z358" s="296">
        <f t="shared" si="17"/>
        <v>1</v>
      </c>
      <c r="AA358" s="85">
        <v>12548945</v>
      </c>
      <c r="AB358" s="85" t="s">
        <v>6925</v>
      </c>
      <c r="AC358" s="290" t="s">
        <v>196</v>
      </c>
      <c r="AD358" s="290" t="s">
        <v>196</v>
      </c>
      <c r="AE358" s="236"/>
      <c r="AF358" s="85" t="s">
        <v>7793</v>
      </c>
      <c r="AG358" s="290" t="s">
        <v>192</v>
      </c>
      <c r="AH358" s="290" t="s">
        <v>192</v>
      </c>
    </row>
    <row r="359" spans="1:34" s="297" customFormat="1" ht="15" customHeight="1" x14ac:dyDescent="0.25">
      <c r="A359" s="289">
        <v>891780111</v>
      </c>
      <c r="B359" s="289" t="s">
        <v>54</v>
      </c>
      <c r="C359" s="290" t="s">
        <v>56</v>
      </c>
      <c r="D359" s="289" t="s">
        <v>60</v>
      </c>
      <c r="E359" s="290" t="s">
        <v>7794</v>
      </c>
      <c r="F359" s="289" t="s">
        <v>61</v>
      </c>
      <c r="G359" s="85" t="s">
        <v>63</v>
      </c>
      <c r="H359" s="85" t="s">
        <v>73</v>
      </c>
      <c r="I359" s="237">
        <v>9313000</v>
      </c>
      <c r="J359" s="290">
        <v>1</v>
      </c>
      <c r="K359" s="291">
        <v>1687000</v>
      </c>
      <c r="L359" s="291"/>
      <c r="M359" s="292">
        <f t="shared" si="15"/>
        <v>11000000</v>
      </c>
      <c r="N359" s="85">
        <v>1082476913</v>
      </c>
      <c r="O359" s="85" t="s">
        <v>7795</v>
      </c>
      <c r="P359" s="85" t="s">
        <v>7796</v>
      </c>
      <c r="Q359" s="293">
        <v>44964</v>
      </c>
      <c r="R359" s="293">
        <v>44964</v>
      </c>
      <c r="S359" s="293">
        <v>45084</v>
      </c>
      <c r="T359" s="293"/>
      <c r="U359" s="293"/>
      <c r="V359" s="293"/>
      <c r="W359" s="294">
        <v>45107</v>
      </c>
      <c r="X359" s="237">
        <v>11000000</v>
      </c>
      <c r="Y359" s="295">
        <f t="shared" si="16"/>
        <v>0</v>
      </c>
      <c r="Z359" s="296">
        <f t="shared" si="17"/>
        <v>1</v>
      </c>
      <c r="AA359" s="85">
        <v>1083432808</v>
      </c>
      <c r="AB359" s="85" t="s">
        <v>5326</v>
      </c>
      <c r="AC359" s="290" t="s">
        <v>196</v>
      </c>
      <c r="AD359" s="290" t="s">
        <v>196</v>
      </c>
      <c r="AE359" s="236"/>
      <c r="AF359" s="85" t="s">
        <v>7797</v>
      </c>
      <c r="AG359" s="290" t="s">
        <v>192</v>
      </c>
      <c r="AH359" s="290" t="s">
        <v>192</v>
      </c>
    </row>
    <row r="360" spans="1:34" s="297" customFormat="1" ht="15" customHeight="1" x14ac:dyDescent="0.25">
      <c r="A360" s="289">
        <v>891780111</v>
      </c>
      <c r="B360" s="289" t="s">
        <v>54</v>
      </c>
      <c r="C360" s="290" t="s">
        <v>56</v>
      </c>
      <c r="D360" s="289" t="s">
        <v>60</v>
      </c>
      <c r="E360" s="290" t="s">
        <v>7798</v>
      </c>
      <c r="F360" s="289" t="s">
        <v>61</v>
      </c>
      <c r="G360" s="85" t="s">
        <v>63</v>
      </c>
      <c r="H360" s="85" t="s">
        <v>73</v>
      </c>
      <c r="I360" s="237">
        <v>9973000</v>
      </c>
      <c r="J360" s="290">
        <v>1</v>
      </c>
      <c r="K360" s="291">
        <v>1027000.0000000001</v>
      </c>
      <c r="L360" s="291"/>
      <c r="M360" s="292">
        <f t="shared" si="15"/>
        <v>11000000</v>
      </c>
      <c r="N360" s="85">
        <v>57438355</v>
      </c>
      <c r="O360" s="85" t="s">
        <v>7799</v>
      </c>
      <c r="P360" s="85" t="s">
        <v>7800</v>
      </c>
      <c r="Q360" s="293">
        <v>44964</v>
      </c>
      <c r="R360" s="293">
        <v>44964</v>
      </c>
      <c r="S360" s="293">
        <v>45093</v>
      </c>
      <c r="T360" s="293"/>
      <c r="U360" s="293"/>
      <c r="V360" s="293"/>
      <c r="W360" s="294">
        <v>45107</v>
      </c>
      <c r="X360" s="237">
        <v>11000000</v>
      </c>
      <c r="Y360" s="295">
        <f t="shared" si="16"/>
        <v>0</v>
      </c>
      <c r="Z360" s="296">
        <f t="shared" si="17"/>
        <v>1</v>
      </c>
      <c r="AA360" s="85">
        <v>85459497</v>
      </c>
      <c r="AB360" s="85" t="s">
        <v>4837</v>
      </c>
      <c r="AC360" s="290" t="s">
        <v>196</v>
      </c>
      <c r="AD360" s="290" t="s">
        <v>196</v>
      </c>
      <c r="AE360" s="236"/>
      <c r="AF360" s="85" t="s">
        <v>7801</v>
      </c>
      <c r="AG360" s="290" t="s">
        <v>192</v>
      </c>
      <c r="AH360" s="290" t="s">
        <v>192</v>
      </c>
    </row>
    <row r="361" spans="1:34" s="297" customFormat="1" ht="15" customHeight="1" x14ac:dyDescent="0.25">
      <c r="A361" s="289">
        <v>891780111</v>
      </c>
      <c r="B361" s="289" t="s">
        <v>54</v>
      </c>
      <c r="C361" s="290" t="s">
        <v>56</v>
      </c>
      <c r="D361" s="289" t="s">
        <v>60</v>
      </c>
      <c r="E361" s="290" t="s">
        <v>7802</v>
      </c>
      <c r="F361" s="289" t="s">
        <v>61</v>
      </c>
      <c r="G361" s="85" t="s">
        <v>63</v>
      </c>
      <c r="H361" s="85" t="s">
        <v>73</v>
      </c>
      <c r="I361" s="237">
        <v>8613000</v>
      </c>
      <c r="J361" s="290"/>
      <c r="K361" s="291"/>
      <c r="L361" s="291"/>
      <c r="M361" s="292">
        <f t="shared" si="15"/>
        <v>8613000</v>
      </c>
      <c r="N361" s="85">
        <v>85451015</v>
      </c>
      <c r="O361" s="85" t="s">
        <v>7803</v>
      </c>
      <c r="P361" s="85" t="s">
        <v>7788</v>
      </c>
      <c r="Q361" s="293">
        <v>44964</v>
      </c>
      <c r="R361" s="293">
        <v>44964</v>
      </c>
      <c r="S361" s="293">
        <v>45093</v>
      </c>
      <c r="T361" s="293" t="s">
        <v>192</v>
      </c>
      <c r="U361" s="293">
        <v>45033</v>
      </c>
      <c r="V361" s="293">
        <v>45051</v>
      </c>
      <c r="W361" s="294">
        <v>45111</v>
      </c>
      <c r="X361" s="237">
        <v>8613000</v>
      </c>
      <c r="Y361" s="295">
        <f t="shared" si="16"/>
        <v>0</v>
      </c>
      <c r="Z361" s="296">
        <f t="shared" si="17"/>
        <v>1</v>
      </c>
      <c r="AA361" s="85">
        <v>85459497</v>
      </c>
      <c r="AB361" s="85" t="s">
        <v>4837</v>
      </c>
      <c r="AC361" s="290" t="s">
        <v>196</v>
      </c>
      <c r="AD361" s="290" t="s">
        <v>196</v>
      </c>
      <c r="AE361" s="236"/>
      <c r="AF361" s="85" t="s">
        <v>7804</v>
      </c>
      <c r="AG361" s="290" t="s">
        <v>192</v>
      </c>
      <c r="AH361" s="290" t="s">
        <v>192</v>
      </c>
    </row>
    <row r="362" spans="1:34" s="297" customFormat="1" ht="15" customHeight="1" x14ac:dyDescent="0.25">
      <c r="A362" s="289">
        <v>891780111</v>
      </c>
      <c r="B362" s="289" t="s">
        <v>54</v>
      </c>
      <c r="C362" s="290" t="s">
        <v>56</v>
      </c>
      <c r="D362" s="289" t="s">
        <v>60</v>
      </c>
      <c r="E362" s="290" t="s">
        <v>7805</v>
      </c>
      <c r="F362" s="289" t="s">
        <v>61</v>
      </c>
      <c r="G362" s="85" t="s">
        <v>63</v>
      </c>
      <c r="H362" s="85" t="s">
        <v>73</v>
      </c>
      <c r="I362" s="237">
        <v>14053000</v>
      </c>
      <c r="J362" s="290">
        <v>1</v>
      </c>
      <c r="K362" s="291">
        <v>1447000</v>
      </c>
      <c r="L362" s="291"/>
      <c r="M362" s="292">
        <f t="shared" si="15"/>
        <v>15500000</v>
      </c>
      <c r="N362" s="85">
        <v>57461691</v>
      </c>
      <c r="O362" s="85" t="s">
        <v>7806</v>
      </c>
      <c r="P362" s="85" t="s">
        <v>7807</v>
      </c>
      <c r="Q362" s="293">
        <v>44964</v>
      </c>
      <c r="R362" s="293">
        <v>44964</v>
      </c>
      <c r="S362" s="293">
        <v>45093</v>
      </c>
      <c r="T362" s="293"/>
      <c r="U362" s="293"/>
      <c r="V362" s="293"/>
      <c r="W362" s="294">
        <v>45107</v>
      </c>
      <c r="X362" s="237">
        <v>15500000</v>
      </c>
      <c r="Y362" s="295">
        <f t="shared" si="16"/>
        <v>0</v>
      </c>
      <c r="Z362" s="296">
        <f t="shared" si="17"/>
        <v>1</v>
      </c>
      <c r="AA362" s="85">
        <v>26668285</v>
      </c>
      <c r="AB362" s="85" t="s">
        <v>5038</v>
      </c>
      <c r="AC362" s="290" t="s">
        <v>196</v>
      </c>
      <c r="AD362" s="290" t="s">
        <v>196</v>
      </c>
      <c r="AE362" s="236"/>
      <c r="AF362" s="85" t="s">
        <v>7808</v>
      </c>
      <c r="AG362" s="290" t="s">
        <v>192</v>
      </c>
      <c r="AH362" s="290" t="s">
        <v>192</v>
      </c>
    </row>
    <row r="363" spans="1:34" s="297" customFormat="1" ht="15" customHeight="1" x14ac:dyDescent="0.25">
      <c r="A363" s="289">
        <v>891780111</v>
      </c>
      <c r="B363" s="289" t="s">
        <v>54</v>
      </c>
      <c r="C363" s="290" t="s">
        <v>56</v>
      </c>
      <c r="D363" s="289" t="s">
        <v>60</v>
      </c>
      <c r="E363" s="290" t="s">
        <v>7809</v>
      </c>
      <c r="F363" s="289" t="s">
        <v>61</v>
      </c>
      <c r="G363" s="85" t="s">
        <v>63</v>
      </c>
      <c r="H363" s="85" t="s">
        <v>73</v>
      </c>
      <c r="I363" s="237">
        <v>11853000</v>
      </c>
      <c r="J363" s="290"/>
      <c r="K363" s="291"/>
      <c r="L363" s="291"/>
      <c r="M363" s="292">
        <f t="shared" si="15"/>
        <v>11853000</v>
      </c>
      <c r="N363" s="85">
        <v>1103122639</v>
      </c>
      <c r="O363" s="85" t="s">
        <v>7810</v>
      </c>
      <c r="P363" s="85" t="s">
        <v>7811</v>
      </c>
      <c r="Q363" s="293">
        <v>44964</v>
      </c>
      <c r="R363" s="293">
        <v>44964</v>
      </c>
      <c r="S363" s="293">
        <v>45084</v>
      </c>
      <c r="T363" s="293"/>
      <c r="U363" s="293"/>
      <c r="V363" s="293"/>
      <c r="W363" s="294"/>
      <c r="X363" s="237">
        <v>11853000</v>
      </c>
      <c r="Y363" s="295">
        <f t="shared" si="16"/>
        <v>0</v>
      </c>
      <c r="Z363" s="296">
        <f t="shared" si="17"/>
        <v>1</v>
      </c>
      <c r="AA363" s="85">
        <v>36557666</v>
      </c>
      <c r="AB363" s="85" t="s">
        <v>6916</v>
      </c>
      <c r="AC363" s="290" t="s">
        <v>196</v>
      </c>
      <c r="AD363" s="290" t="s">
        <v>196</v>
      </c>
      <c r="AE363" s="236"/>
      <c r="AF363" s="85" t="s">
        <v>7812</v>
      </c>
      <c r="AG363" s="290" t="s">
        <v>192</v>
      </c>
      <c r="AH363" s="290" t="s">
        <v>192</v>
      </c>
    </row>
    <row r="364" spans="1:34" s="297" customFormat="1" ht="15" customHeight="1" x14ac:dyDescent="0.25">
      <c r="A364" s="289">
        <v>891780111</v>
      </c>
      <c r="B364" s="289" t="s">
        <v>54</v>
      </c>
      <c r="C364" s="290" t="s">
        <v>56</v>
      </c>
      <c r="D364" s="289" t="s">
        <v>60</v>
      </c>
      <c r="E364" s="290" t="s">
        <v>7813</v>
      </c>
      <c r="F364" s="289" t="s">
        <v>61</v>
      </c>
      <c r="G364" s="85" t="s">
        <v>63</v>
      </c>
      <c r="H364" s="85" t="s">
        <v>73</v>
      </c>
      <c r="I364" s="237">
        <v>11853000</v>
      </c>
      <c r="J364" s="290"/>
      <c r="K364" s="291"/>
      <c r="L364" s="291"/>
      <c r="M364" s="292">
        <f t="shared" si="15"/>
        <v>11853000</v>
      </c>
      <c r="N364" s="85">
        <v>1083008431</v>
      </c>
      <c r="O364" s="85" t="s">
        <v>7814</v>
      </c>
      <c r="P364" s="85" t="s">
        <v>7815</v>
      </c>
      <c r="Q364" s="293">
        <v>44964</v>
      </c>
      <c r="R364" s="293">
        <v>44964</v>
      </c>
      <c r="S364" s="293">
        <v>45084</v>
      </c>
      <c r="T364" s="293"/>
      <c r="U364" s="293"/>
      <c r="V364" s="293"/>
      <c r="W364" s="294"/>
      <c r="X364" s="237">
        <v>11853000</v>
      </c>
      <c r="Y364" s="295">
        <f t="shared" si="16"/>
        <v>0</v>
      </c>
      <c r="Z364" s="296">
        <f t="shared" si="17"/>
        <v>1</v>
      </c>
      <c r="AA364" s="85">
        <v>36557666</v>
      </c>
      <c r="AB364" s="85" t="s">
        <v>6916</v>
      </c>
      <c r="AC364" s="290" t="s">
        <v>196</v>
      </c>
      <c r="AD364" s="290" t="s">
        <v>196</v>
      </c>
      <c r="AE364" s="236"/>
      <c r="AF364" s="85" t="s">
        <v>7816</v>
      </c>
      <c r="AG364" s="290" t="s">
        <v>192</v>
      </c>
      <c r="AH364" s="290" t="s">
        <v>192</v>
      </c>
    </row>
    <row r="365" spans="1:34" s="297" customFormat="1" ht="15" customHeight="1" x14ac:dyDescent="0.25">
      <c r="A365" s="289">
        <v>891780111</v>
      </c>
      <c r="B365" s="289" t="s">
        <v>54</v>
      </c>
      <c r="C365" s="290" t="s">
        <v>56</v>
      </c>
      <c r="D365" s="289" t="s">
        <v>60</v>
      </c>
      <c r="E365" s="290" t="s">
        <v>7817</v>
      </c>
      <c r="F365" s="289" t="s">
        <v>61</v>
      </c>
      <c r="G365" s="85" t="s">
        <v>63</v>
      </c>
      <c r="H365" s="85" t="s">
        <v>73</v>
      </c>
      <c r="I365" s="237">
        <v>8043000</v>
      </c>
      <c r="J365" s="290"/>
      <c r="K365" s="291"/>
      <c r="L365" s="291"/>
      <c r="M365" s="292">
        <f t="shared" si="15"/>
        <v>8043000</v>
      </c>
      <c r="N365" s="85">
        <v>1004360363</v>
      </c>
      <c r="O365" s="85" t="s">
        <v>7818</v>
      </c>
      <c r="P365" s="85" t="s">
        <v>7819</v>
      </c>
      <c r="Q365" s="293">
        <v>44964</v>
      </c>
      <c r="R365" s="293">
        <v>44964</v>
      </c>
      <c r="S365" s="293">
        <v>45084</v>
      </c>
      <c r="T365" s="293"/>
      <c r="U365" s="293"/>
      <c r="V365" s="293"/>
      <c r="W365" s="294"/>
      <c r="X365" s="237">
        <v>8043000</v>
      </c>
      <c r="Y365" s="295">
        <f t="shared" si="16"/>
        <v>0</v>
      </c>
      <c r="Z365" s="296">
        <f t="shared" si="17"/>
        <v>1</v>
      </c>
      <c r="AA365" s="85">
        <v>85475141</v>
      </c>
      <c r="AB365" s="85" t="s">
        <v>7681</v>
      </c>
      <c r="AC365" s="290" t="s">
        <v>196</v>
      </c>
      <c r="AD365" s="290" t="s">
        <v>196</v>
      </c>
      <c r="AE365" s="236"/>
      <c r="AF365" s="85" t="s">
        <v>7820</v>
      </c>
      <c r="AG365" s="290" t="s">
        <v>192</v>
      </c>
      <c r="AH365" s="290" t="s">
        <v>192</v>
      </c>
    </row>
    <row r="366" spans="1:34" s="297" customFormat="1" ht="15" customHeight="1" x14ac:dyDescent="0.25">
      <c r="A366" s="289">
        <v>891780111</v>
      </c>
      <c r="B366" s="289" t="s">
        <v>54</v>
      </c>
      <c r="C366" s="290" t="s">
        <v>56</v>
      </c>
      <c r="D366" s="289" t="s">
        <v>60</v>
      </c>
      <c r="E366" s="290" t="s">
        <v>7821</v>
      </c>
      <c r="F366" s="289" t="s">
        <v>61</v>
      </c>
      <c r="G366" s="85" t="s">
        <v>63</v>
      </c>
      <c r="H366" s="85" t="s">
        <v>73</v>
      </c>
      <c r="I366" s="237">
        <v>16773000</v>
      </c>
      <c r="J366" s="290">
        <v>1</v>
      </c>
      <c r="K366" s="291">
        <v>2607000</v>
      </c>
      <c r="L366" s="291"/>
      <c r="M366" s="292">
        <f t="shared" si="15"/>
        <v>19380000</v>
      </c>
      <c r="N366" s="85">
        <v>84454708</v>
      </c>
      <c r="O366" s="85" t="s">
        <v>7822</v>
      </c>
      <c r="P366" s="85" t="s">
        <v>7823</v>
      </c>
      <c r="Q366" s="293">
        <v>44964</v>
      </c>
      <c r="R366" s="293">
        <v>44964</v>
      </c>
      <c r="S366" s="293">
        <v>45084</v>
      </c>
      <c r="T366" s="293"/>
      <c r="U366" s="293"/>
      <c r="V366" s="293"/>
      <c r="W366" s="294">
        <v>45107</v>
      </c>
      <c r="X366" s="237">
        <v>19380000</v>
      </c>
      <c r="Y366" s="295">
        <f t="shared" si="16"/>
        <v>0</v>
      </c>
      <c r="Z366" s="296">
        <f t="shared" si="17"/>
        <v>1</v>
      </c>
      <c r="AA366" s="85">
        <v>85471791</v>
      </c>
      <c r="AB366" s="85" t="s">
        <v>7172</v>
      </c>
      <c r="AC366" s="290" t="s">
        <v>196</v>
      </c>
      <c r="AD366" s="290" t="s">
        <v>196</v>
      </c>
      <c r="AE366" s="236"/>
      <c r="AF366" s="85" t="s">
        <v>7824</v>
      </c>
      <c r="AG366" s="290" t="s">
        <v>192</v>
      </c>
      <c r="AH366" s="290" t="s">
        <v>192</v>
      </c>
    </row>
    <row r="367" spans="1:34" s="297" customFormat="1" ht="15" customHeight="1" x14ac:dyDescent="0.25">
      <c r="A367" s="289">
        <v>891780111</v>
      </c>
      <c r="B367" s="289" t="s">
        <v>54</v>
      </c>
      <c r="C367" s="290" t="s">
        <v>56</v>
      </c>
      <c r="D367" s="289" t="s">
        <v>60</v>
      </c>
      <c r="E367" s="290" t="s">
        <v>7825</v>
      </c>
      <c r="F367" s="289" t="s">
        <v>61</v>
      </c>
      <c r="G367" s="85" t="s">
        <v>63</v>
      </c>
      <c r="H367" s="85" t="s">
        <v>73</v>
      </c>
      <c r="I367" s="237">
        <v>9313000</v>
      </c>
      <c r="J367" s="290"/>
      <c r="K367" s="291"/>
      <c r="L367" s="291"/>
      <c r="M367" s="292">
        <f t="shared" si="15"/>
        <v>9313000</v>
      </c>
      <c r="N367" s="85">
        <v>1083005105</v>
      </c>
      <c r="O367" s="85" t="s">
        <v>7826</v>
      </c>
      <c r="P367" s="85" t="s">
        <v>7827</v>
      </c>
      <c r="Q367" s="293">
        <v>44964</v>
      </c>
      <c r="R367" s="293">
        <v>44964</v>
      </c>
      <c r="S367" s="293">
        <v>45084</v>
      </c>
      <c r="T367" s="293"/>
      <c r="U367" s="293"/>
      <c r="V367" s="293"/>
      <c r="W367" s="294"/>
      <c r="X367" s="237">
        <v>9313000</v>
      </c>
      <c r="Y367" s="295">
        <f t="shared" si="16"/>
        <v>0</v>
      </c>
      <c r="Z367" s="296">
        <f t="shared" si="17"/>
        <v>1</v>
      </c>
      <c r="AA367" s="85">
        <v>36557666</v>
      </c>
      <c r="AB367" s="85" t="s">
        <v>6916</v>
      </c>
      <c r="AC367" s="290" t="s">
        <v>196</v>
      </c>
      <c r="AD367" s="290" t="s">
        <v>196</v>
      </c>
      <c r="AE367" s="236"/>
      <c r="AF367" s="85" t="s">
        <v>7828</v>
      </c>
      <c r="AG367" s="290" t="s">
        <v>192</v>
      </c>
      <c r="AH367" s="290" t="s">
        <v>192</v>
      </c>
    </row>
    <row r="368" spans="1:34" s="297" customFormat="1" ht="15" customHeight="1" x14ac:dyDescent="0.25">
      <c r="A368" s="289">
        <v>891780111</v>
      </c>
      <c r="B368" s="289" t="s">
        <v>54</v>
      </c>
      <c r="C368" s="290" t="s">
        <v>56</v>
      </c>
      <c r="D368" s="289" t="s">
        <v>60</v>
      </c>
      <c r="E368" s="290" t="s">
        <v>7829</v>
      </c>
      <c r="F368" s="289" t="s">
        <v>61</v>
      </c>
      <c r="G368" s="85" t="s">
        <v>63</v>
      </c>
      <c r="H368" s="85" t="s">
        <v>73</v>
      </c>
      <c r="I368" s="237">
        <v>8613000</v>
      </c>
      <c r="J368" s="290"/>
      <c r="K368" s="291"/>
      <c r="L368" s="291"/>
      <c r="M368" s="292">
        <f t="shared" si="15"/>
        <v>8613000</v>
      </c>
      <c r="N368" s="85">
        <v>1082987415</v>
      </c>
      <c r="O368" s="85" t="s">
        <v>7830</v>
      </c>
      <c r="P368" s="85" t="s">
        <v>7831</v>
      </c>
      <c r="Q368" s="293">
        <v>44964</v>
      </c>
      <c r="R368" s="293">
        <v>44964</v>
      </c>
      <c r="S368" s="293">
        <v>45093</v>
      </c>
      <c r="T368" s="293"/>
      <c r="U368" s="293"/>
      <c r="V368" s="293"/>
      <c r="W368" s="294"/>
      <c r="X368" s="237">
        <v>8613000</v>
      </c>
      <c r="Y368" s="295">
        <f t="shared" si="16"/>
        <v>0</v>
      </c>
      <c r="Z368" s="296">
        <f t="shared" si="17"/>
        <v>1</v>
      </c>
      <c r="AA368" s="85">
        <v>85459497</v>
      </c>
      <c r="AB368" s="85" t="s">
        <v>4837</v>
      </c>
      <c r="AC368" s="290" t="s">
        <v>196</v>
      </c>
      <c r="AD368" s="290" t="s">
        <v>196</v>
      </c>
      <c r="AE368" s="236"/>
      <c r="AF368" s="85" t="s">
        <v>7832</v>
      </c>
      <c r="AG368" s="290" t="s">
        <v>192</v>
      </c>
      <c r="AH368" s="290" t="s">
        <v>192</v>
      </c>
    </row>
    <row r="369" spans="1:34" s="297" customFormat="1" ht="15" customHeight="1" x14ac:dyDescent="0.25">
      <c r="A369" s="289">
        <v>891780111</v>
      </c>
      <c r="B369" s="289" t="s">
        <v>54</v>
      </c>
      <c r="C369" s="290" t="s">
        <v>56</v>
      </c>
      <c r="D369" s="289" t="s">
        <v>60</v>
      </c>
      <c r="E369" s="290" t="s">
        <v>7833</v>
      </c>
      <c r="F369" s="289" t="s">
        <v>61</v>
      </c>
      <c r="G369" s="85" t="s">
        <v>63</v>
      </c>
      <c r="H369" s="85" t="s">
        <v>73</v>
      </c>
      <c r="I369" s="237">
        <v>9313000</v>
      </c>
      <c r="J369" s="290"/>
      <c r="K369" s="291"/>
      <c r="L369" s="291"/>
      <c r="M369" s="292">
        <f t="shared" si="15"/>
        <v>9313000</v>
      </c>
      <c r="N369" s="85">
        <v>1082953987</v>
      </c>
      <c r="O369" s="85" t="s">
        <v>7834</v>
      </c>
      <c r="P369" s="85" t="s">
        <v>7835</v>
      </c>
      <c r="Q369" s="293">
        <v>44964</v>
      </c>
      <c r="R369" s="293">
        <v>44964</v>
      </c>
      <c r="S369" s="293">
        <v>45084</v>
      </c>
      <c r="T369" s="293"/>
      <c r="U369" s="293"/>
      <c r="V369" s="293"/>
      <c r="W369" s="294"/>
      <c r="X369" s="237">
        <v>9313000</v>
      </c>
      <c r="Y369" s="295">
        <f t="shared" si="16"/>
        <v>0</v>
      </c>
      <c r="Z369" s="296">
        <f t="shared" si="17"/>
        <v>1</v>
      </c>
      <c r="AA369" s="85">
        <v>36557666</v>
      </c>
      <c r="AB369" s="85" t="s">
        <v>6916</v>
      </c>
      <c r="AC369" s="290" t="s">
        <v>196</v>
      </c>
      <c r="AD369" s="290" t="s">
        <v>196</v>
      </c>
      <c r="AE369" s="236"/>
      <c r="AF369" s="85" t="s">
        <v>7836</v>
      </c>
      <c r="AG369" s="290" t="s">
        <v>192</v>
      </c>
      <c r="AH369" s="290" t="s">
        <v>192</v>
      </c>
    </row>
    <row r="370" spans="1:34" s="297" customFormat="1" ht="15" customHeight="1" x14ac:dyDescent="0.25">
      <c r="A370" s="289">
        <v>891780111</v>
      </c>
      <c r="B370" s="289" t="s">
        <v>54</v>
      </c>
      <c r="C370" s="290" t="s">
        <v>56</v>
      </c>
      <c r="D370" s="289" t="s">
        <v>60</v>
      </c>
      <c r="E370" s="290" t="s">
        <v>7837</v>
      </c>
      <c r="F370" s="289" t="s">
        <v>61</v>
      </c>
      <c r="G370" s="85" t="s">
        <v>63</v>
      </c>
      <c r="H370" s="85" t="s">
        <v>73</v>
      </c>
      <c r="I370" s="237">
        <v>11853000</v>
      </c>
      <c r="J370" s="290"/>
      <c r="K370" s="291"/>
      <c r="L370" s="291"/>
      <c r="M370" s="292">
        <f t="shared" si="15"/>
        <v>11853000</v>
      </c>
      <c r="N370" s="85">
        <v>1083024033</v>
      </c>
      <c r="O370" s="85" t="s">
        <v>7838</v>
      </c>
      <c r="P370" s="85" t="s">
        <v>7839</v>
      </c>
      <c r="Q370" s="293">
        <v>44964</v>
      </c>
      <c r="R370" s="293">
        <v>44964</v>
      </c>
      <c r="S370" s="293">
        <v>45084</v>
      </c>
      <c r="T370" s="293"/>
      <c r="U370" s="293"/>
      <c r="V370" s="293"/>
      <c r="W370" s="294"/>
      <c r="X370" s="237">
        <v>11853000</v>
      </c>
      <c r="Y370" s="295">
        <f t="shared" si="16"/>
        <v>0</v>
      </c>
      <c r="Z370" s="296">
        <f t="shared" si="17"/>
        <v>1</v>
      </c>
      <c r="AA370" s="85">
        <v>36557666</v>
      </c>
      <c r="AB370" s="85" t="s">
        <v>6916</v>
      </c>
      <c r="AC370" s="290" t="s">
        <v>196</v>
      </c>
      <c r="AD370" s="290" t="s">
        <v>196</v>
      </c>
      <c r="AE370" s="236"/>
      <c r="AF370" s="85" t="s">
        <v>7840</v>
      </c>
      <c r="AG370" s="290" t="s">
        <v>192</v>
      </c>
      <c r="AH370" s="290" t="s">
        <v>192</v>
      </c>
    </row>
    <row r="371" spans="1:34" s="297" customFormat="1" ht="15" customHeight="1" x14ac:dyDescent="0.25">
      <c r="A371" s="289">
        <v>891780111</v>
      </c>
      <c r="B371" s="289" t="s">
        <v>54</v>
      </c>
      <c r="C371" s="290" t="s">
        <v>56</v>
      </c>
      <c r="D371" s="289" t="s">
        <v>60</v>
      </c>
      <c r="E371" s="290" t="s">
        <v>7841</v>
      </c>
      <c r="F371" s="289" t="s">
        <v>61</v>
      </c>
      <c r="G371" s="85" t="s">
        <v>63</v>
      </c>
      <c r="H371" s="85" t="s">
        <v>73</v>
      </c>
      <c r="I371" s="237">
        <v>12607000</v>
      </c>
      <c r="J371" s="290">
        <v>1</v>
      </c>
      <c r="K371" s="291">
        <v>2377000</v>
      </c>
      <c r="L371" s="291"/>
      <c r="M371" s="292">
        <f t="shared" si="15"/>
        <v>14984000</v>
      </c>
      <c r="N371" s="85">
        <v>1004278559</v>
      </c>
      <c r="O371" s="85" t="s">
        <v>7842</v>
      </c>
      <c r="P371" s="85" t="s">
        <v>7664</v>
      </c>
      <c r="Q371" s="293">
        <v>44964</v>
      </c>
      <c r="R371" s="293">
        <v>44964</v>
      </c>
      <c r="S371" s="293">
        <v>45084</v>
      </c>
      <c r="T371" s="293"/>
      <c r="U371" s="293"/>
      <c r="V371" s="293"/>
      <c r="W371" s="294">
        <v>45107</v>
      </c>
      <c r="X371" s="237">
        <v>14984000</v>
      </c>
      <c r="Y371" s="295">
        <f t="shared" si="16"/>
        <v>0</v>
      </c>
      <c r="Z371" s="296">
        <f t="shared" si="17"/>
        <v>1</v>
      </c>
      <c r="AA371" s="85">
        <v>85449357</v>
      </c>
      <c r="AB371" s="85" t="s">
        <v>6553</v>
      </c>
      <c r="AC371" s="290" t="s">
        <v>196</v>
      </c>
      <c r="AD371" s="290" t="s">
        <v>196</v>
      </c>
      <c r="AE371" s="236"/>
      <c r="AF371" s="85" t="s">
        <v>7843</v>
      </c>
      <c r="AG371" s="290" t="s">
        <v>192</v>
      </c>
      <c r="AH371" s="290" t="s">
        <v>192</v>
      </c>
    </row>
    <row r="372" spans="1:34" s="297" customFormat="1" ht="15" customHeight="1" x14ac:dyDescent="0.25">
      <c r="A372" s="289">
        <v>891780111</v>
      </c>
      <c r="B372" s="289" t="s">
        <v>54</v>
      </c>
      <c r="C372" s="290" t="s">
        <v>56</v>
      </c>
      <c r="D372" s="289" t="s">
        <v>60</v>
      </c>
      <c r="E372" s="290" t="s">
        <v>7844</v>
      </c>
      <c r="F372" s="289" t="s">
        <v>61</v>
      </c>
      <c r="G372" s="85" t="s">
        <v>63</v>
      </c>
      <c r="H372" s="85" t="s">
        <v>73</v>
      </c>
      <c r="I372" s="237">
        <v>9313000</v>
      </c>
      <c r="J372" s="290"/>
      <c r="K372" s="291"/>
      <c r="L372" s="291"/>
      <c r="M372" s="292">
        <f t="shared" si="15"/>
        <v>9313000</v>
      </c>
      <c r="N372" s="85">
        <v>73076579</v>
      </c>
      <c r="O372" s="85" t="s">
        <v>7845</v>
      </c>
      <c r="P372" s="85" t="s">
        <v>7484</v>
      </c>
      <c r="Q372" s="293">
        <v>44964</v>
      </c>
      <c r="R372" s="293">
        <v>44964</v>
      </c>
      <c r="S372" s="293">
        <v>45084</v>
      </c>
      <c r="T372" s="293"/>
      <c r="U372" s="293"/>
      <c r="V372" s="293"/>
      <c r="W372" s="294"/>
      <c r="X372" s="237">
        <v>9313000</v>
      </c>
      <c r="Y372" s="295">
        <f t="shared" si="16"/>
        <v>0</v>
      </c>
      <c r="Z372" s="296">
        <f t="shared" si="17"/>
        <v>1</v>
      </c>
      <c r="AA372" s="85">
        <v>85152695</v>
      </c>
      <c r="AB372" s="85" t="s">
        <v>6984</v>
      </c>
      <c r="AC372" s="290" t="s">
        <v>196</v>
      </c>
      <c r="AD372" s="290" t="s">
        <v>196</v>
      </c>
      <c r="AE372" s="236"/>
      <c r="AF372" s="85" t="s">
        <v>7846</v>
      </c>
      <c r="AG372" s="290" t="s">
        <v>192</v>
      </c>
      <c r="AH372" s="290" t="s">
        <v>192</v>
      </c>
    </row>
    <row r="373" spans="1:34" s="297" customFormat="1" ht="15" customHeight="1" x14ac:dyDescent="0.25">
      <c r="A373" s="289">
        <v>891780111</v>
      </c>
      <c r="B373" s="289" t="s">
        <v>54</v>
      </c>
      <c r="C373" s="290" t="s">
        <v>56</v>
      </c>
      <c r="D373" s="289" t="s">
        <v>60</v>
      </c>
      <c r="E373" s="290" t="s">
        <v>7847</v>
      </c>
      <c r="F373" s="289" t="s">
        <v>61</v>
      </c>
      <c r="G373" s="85" t="s">
        <v>63</v>
      </c>
      <c r="H373" s="85" t="s">
        <v>73</v>
      </c>
      <c r="I373" s="237">
        <v>11853000</v>
      </c>
      <c r="J373" s="290"/>
      <c r="K373" s="291"/>
      <c r="L373" s="291"/>
      <c r="M373" s="292">
        <f t="shared" si="15"/>
        <v>11853000</v>
      </c>
      <c r="N373" s="85">
        <v>12541041</v>
      </c>
      <c r="O373" s="85" t="s">
        <v>7848</v>
      </c>
      <c r="P373" s="85" t="s">
        <v>7849</v>
      </c>
      <c r="Q373" s="293">
        <v>44964</v>
      </c>
      <c r="R373" s="293">
        <v>44964</v>
      </c>
      <c r="S373" s="293">
        <v>45084</v>
      </c>
      <c r="T373" s="293"/>
      <c r="U373" s="293"/>
      <c r="V373" s="293"/>
      <c r="W373" s="294"/>
      <c r="X373" s="237">
        <v>11853000</v>
      </c>
      <c r="Y373" s="295">
        <f t="shared" si="16"/>
        <v>0</v>
      </c>
      <c r="Z373" s="296">
        <f t="shared" si="17"/>
        <v>1</v>
      </c>
      <c r="AA373" s="85">
        <v>85468846</v>
      </c>
      <c r="AB373" s="85" t="s">
        <v>7615</v>
      </c>
      <c r="AC373" s="290" t="s">
        <v>196</v>
      </c>
      <c r="AD373" s="290" t="s">
        <v>196</v>
      </c>
      <c r="AE373" s="236"/>
      <c r="AF373" s="85" t="s">
        <v>7850</v>
      </c>
      <c r="AG373" s="290" t="s">
        <v>192</v>
      </c>
      <c r="AH373" s="290" t="s">
        <v>192</v>
      </c>
    </row>
    <row r="374" spans="1:34" s="297" customFormat="1" ht="15" customHeight="1" x14ac:dyDescent="0.25">
      <c r="A374" s="289">
        <v>891780111</v>
      </c>
      <c r="B374" s="289" t="s">
        <v>54</v>
      </c>
      <c r="C374" s="290" t="s">
        <v>56</v>
      </c>
      <c r="D374" s="289" t="s">
        <v>60</v>
      </c>
      <c r="E374" s="290" t="s">
        <v>7851</v>
      </c>
      <c r="F374" s="289" t="s">
        <v>61</v>
      </c>
      <c r="G374" s="85" t="s">
        <v>63</v>
      </c>
      <c r="H374" s="85" t="s">
        <v>73</v>
      </c>
      <c r="I374" s="237">
        <v>9313000</v>
      </c>
      <c r="J374" s="290"/>
      <c r="K374" s="291"/>
      <c r="L374" s="291"/>
      <c r="M374" s="292">
        <f t="shared" si="15"/>
        <v>9313000</v>
      </c>
      <c r="N374" s="85">
        <v>85152958</v>
      </c>
      <c r="O374" s="85" t="s">
        <v>7852</v>
      </c>
      <c r="P374" s="85" t="s">
        <v>7853</v>
      </c>
      <c r="Q374" s="293">
        <v>44964</v>
      </c>
      <c r="R374" s="293">
        <v>44964</v>
      </c>
      <c r="S374" s="293">
        <v>45084</v>
      </c>
      <c r="T374" s="293"/>
      <c r="U374" s="293"/>
      <c r="V374" s="293"/>
      <c r="W374" s="294"/>
      <c r="X374" s="237">
        <v>9313000</v>
      </c>
      <c r="Y374" s="295">
        <f t="shared" si="16"/>
        <v>0</v>
      </c>
      <c r="Z374" s="296">
        <f t="shared" si="17"/>
        <v>1</v>
      </c>
      <c r="AA374" s="85">
        <v>85152695</v>
      </c>
      <c r="AB374" s="85" t="s">
        <v>6984</v>
      </c>
      <c r="AC374" s="290" t="s">
        <v>196</v>
      </c>
      <c r="AD374" s="290" t="s">
        <v>196</v>
      </c>
      <c r="AE374" s="236"/>
      <c r="AF374" s="85" t="s">
        <v>7854</v>
      </c>
      <c r="AG374" s="290" t="s">
        <v>192</v>
      </c>
      <c r="AH374" s="290" t="s">
        <v>192</v>
      </c>
    </row>
    <row r="375" spans="1:34" s="297" customFormat="1" ht="15" customHeight="1" x14ac:dyDescent="0.25">
      <c r="A375" s="289">
        <v>891780111</v>
      </c>
      <c r="B375" s="289" t="s">
        <v>54</v>
      </c>
      <c r="C375" s="290" t="s">
        <v>56</v>
      </c>
      <c r="D375" s="289" t="s">
        <v>60</v>
      </c>
      <c r="E375" s="290" t="s">
        <v>7855</v>
      </c>
      <c r="F375" s="289" t="s">
        <v>61</v>
      </c>
      <c r="G375" s="85" t="s">
        <v>63</v>
      </c>
      <c r="H375" s="85" t="s">
        <v>73</v>
      </c>
      <c r="I375" s="237">
        <v>9313000</v>
      </c>
      <c r="J375" s="290"/>
      <c r="K375" s="291"/>
      <c r="L375" s="291"/>
      <c r="M375" s="292">
        <f t="shared" si="15"/>
        <v>9313000</v>
      </c>
      <c r="N375" s="85">
        <v>1081795063</v>
      </c>
      <c r="O375" s="85" t="s">
        <v>7856</v>
      </c>
      <c r="P375" s="85" t="s">
        <v>7857</v>
      </c>
      <c r="Q375" s="293">
        <v>44964</v>
      </c>
      <c r="R375" s="293">
        <v>44964</v>
      </c>
      <c r="S375" s="293">
        <v>45084</v>
      </c>
      <c r="T375" s="293"/>
      <c r="U375" s="293"/>
      <c r="V375" s="293"/>
      <c r="W375" s="294"/>
      <c r="X375" s="237">
        <v>9313000</v>
      </c>
      <c r="Y375" s="295">
        <f t="shared" si="16"/>
        <v>0</v>
      </c>
      <c r="Z375" s="296">
        <f t="shared" si="17"/>
        <v>1</v>
      </c>
      <c r="AA375" s="85">
        <v>85468846</v>
      </c>
      <c r="AB375" s="85" t="s">
        <v>7615</v>
      </c>
      <c r="AC375" s="290" t="s">
        <v>196</v>
      </c>
      <c r="AD375" s="290" t="s">
        <v>196</v>
      </c>
      <c r="AE375" s="236"/>
      <c r="AF375" s="85" t="s">
        <v>7858</v>
      </c>
      <c r="AG375" s="290" t="s">
        <v>192</v>
      </c>
      <c r="AH375" s="290" t="s">
        <v>192</v>
      </c>
    </row>
    <row r="376" spans="1:34" s="297" customFormat="1" ht="15" customHeight="1" x14ac:dyDescent="0.25">
      <c r="A376" s="289">
        <v>891780111</v>
      </c>
      <c r="B376" s="289" t="s">
        <v>54</v>
      </c>
      <c r="C376" s="290" t="s">
        <v>56</v>
      </c>
      <c r="D376" s="289" t="s">
        <v>60</v>
      </c>
      <c r="E376" s="290" t="s">
        <v>7859</v>
      </c>
      <c r="F376" s="289" t="s">
        <v>61</v>
      </c>
      <c r="G376" s="85" t="s">
        <v>63</v>
      </c>
      <c r="H376" s="85" t="s">
        <v>73</v>
      </c>
      <c r="I376" s="237">
        <v>13123000</v>
      </c>
      <c r="J376" s="290"/>
      <c r="K376" s="291"/>
      <c r="L376" s="291"/>
      <c r="M376" s="292">
        <f t="shared" si="15"/>
        <v>13123000</v>
      </c>
      <c r="N376" s="85">
        <v>85152633</v>
      </c>
      <c r="O376" s="85" t="s">
        <v>7860</v>
      </c>
      <c r="P376" s="85" t="s">
        <v>7861</v>
      </c>
      <c r="Q376" s="293">
        <v>44964</v>
      </c>
      <c r="R376" s="293">
        <v>44964</v>
      </c>
      <c r="S376" s="293">
        <v>45084</v>
      </c>
      <c r="T376" s="293"/>
      <c r="U376" s="293"/>
      <c r="V376" s="293"/>
      <c r="W376" s="294"/>
      <c r="X376" s="237">
        <v>13123000</v>
      </c>
      <c r="Y376" s="295">
        <f t="shared" si="16"/>
        <v>0</v>
      </c>
      <c r="Z376" s="296">
        <f t="shared" si="17"/>
        <v>1</v>
      </c>
      <c r="AA376" s="85">
        <v>85152695</v>
      </c>
      <c r="AB376" s="85" t="s">
        <v>6984</v>
      </c>
      <c r="AC376" s="290" t="s">
        <v>196</v>
      </c>
      <c r="AD376" s="290" t="s">
        <v>196</v>
      </c>
      <c r="AE376" s="236"/>
      <c r="AF376" s="85" t="s">
        <v>7862</v>
      </c>
      <c r="AG376" s="290" t="s">
        <v>192</v>
      </c>
      <c r="AH376" s="290" t="s">
        <v>192</v>
      </c>
    </row>
    <row r="377" spans="1:34" s="297" customFormat="1" ht="15" customHeight="1" x14ac:dyDescent="0.25">
      <c r="A377" s="289">
        <v>891780111</v>
      </c>
      <c r="B377" s="289" t="s">
        <v>54</v>
      </c>
      <c r="C377" s="290" t="s">
        <v>56</v>
      </c>
      <c r="D377" s="289" t="s">
        <v>60</v>
      </c>
      <c r="E377" s="290" t="s">
        <v>7863</v>
      </c>
      <c r="F377" s="289" t="s">
        <v>61</v>
      </c>
      <c r="G377" s="85" t="s">
        <v>63</v>
      </c>
      <c r="H377" s="85" t="s">
        <v>73</v>
      </c>
      <c r="I377" s="237">
        <v>10583000</v>
      </c>
      <c r="J377" s="290"/>
      <c r="K377" s="291"/>
      <c r="L377" s="291"/>
      <c r="M377" s="292">
        <f t="shared" si="15"/>
        <v>10583000</v>
      </c>
      <c r="N377" s="85">
        <v>12633153</v>
      </c>
      <c r="O377" s="85" t="s">
        <v>7864</v>
      </c>
      <c r="P377" s="85" t="s">
        <v>7865</v>
      </c>
      <c r="Q377" s="293">
        <v>44964</v>
      </c>
      <c r="R377" s="293">
        <v>44964</v>
      </c>
      <c r="S377" s="293">
        <v>45084</v>
      </c>
      <c r="T377" s="293"/>
      <c r="U377" s="293"/>
      <c r="V377" s="293"/>
      <c r="W377" s="294"/>
      <c r="X377" s="237">
        <v>10583000</v>
      </c>
      <c r="Y377" s="295">
        <f t="shared" si="16"/>
        <v>0</v>
      </c>
      <c r="Z377" s="296">
        <f t="shared" si="17"/>
        <v>1</v>
      </c>
      <c r="AA377" s="85">
        <v>85468846</v>
      </c>
      <c r="AB377" s="85" t="s">
        <v>7615</v>
      </c>
      <c r="AC377" s="290" t="s">
        <v>196</v>
      </c>
      <c r="AD377" s="290" t="s">
        <v>196</v>
      </c>
      <c r="AE377" s="236"/>
      <c r="AF377" s="85" t="s">
        <v>7866</v>
      </c>
      <c r="AG377" s="290" t="s">
        <v>192</v>
      </c>
      <c r="AH377" s="290" t="s">
        <v>192</v>
      </c>
    </row>
    <row r="378" spans="1:34" s="297" customFormat="1" ht="15" customHeight="1" x14ac:dyDescent="0.25">
      <c r="A378" s="289">
        <v>891780111</v>
      </c>
      <c r="B378" s="289" t="s">
        <v>54</v>
      </c>
      <c r="C378" s="290" t="s">
        <v>56</v>
      </c>
      <c r="D378" s="289" t="s">
        <v>60</v>
      </c>
      <c r="E378" s="290" t="s">
        <v>7867</v>
      </c>
      <c r="F378" s="289" t="s">
        <v>61</v>
      </c>
      <c r="G378" s="85" t="s">
        <v>63</v>
      </c>
      <c r="H378" s="85" t="s">
        <v>73</v>
      </c>
      <c r="I378" s="237">
        <v>14393000</v>
      </c>
      <c r="J378" s="290">
        <v>1</v>
      </c>
      <c r="K378" s="291">
        <v>2607000</v>
      </c>
      <c r="L378" s="291"/>
      <c r="M378" s="292">
        <f t="shared" si="15"/>
        <v>17000000</v>
      </c>
      <c r="N378" s="85">
        <v>73077004</v>
      </c>
      <c r="O378" s="85" t="s">
        <v>7868</v>
      </c>
      <c r="P378" s="85" t="s">
        <v>7869</v>
      </c>
      <c r="Q378" s="293">
        <v>44964</v>
      </c>
      <c r="R378" s="293">
        <v>44964</v>
      </c>
      <c r="S378" s="293">
        <v>45084</v>
      </c>
      <c r="T378" s="293"/>
      <c r="U378" s="293"/>
      <c r="V378" s="293"/>
      <c r="W378" s="294">
        <v>45107</v>
      </c>
      <c r="X378" s="237">
        <v>17000000</v>
      </c>
      <c r="Y378" s="295">
        <f t="shared" si="16"/>
        <v>0</v>
      </c>
      <c r="Z378" s="296">
        <f t="shared" si="17"/>
        <v>1</v>
      </c>
      <c r="AA378" s="85">
        <v>85471791</v>
      </c>
      <c r="AB378" s="85" t="s">
        <v>7172</v>
      </c>
      <c r="AC378" s="290" t="s">
        <v>196</v>
      </c>
      <c r="AD378" s="290" t="s">
        <v>196</v>
      </c>
      <c r="AE378" s="236"/>
      <c r="AF378" s="85" t="s">
        <v>7870</v>
      </c>
      <c r="AG378" s="290" t="s">
        <v>192</v>
      </c>
      <c r="AH378" s="290" t="s">
        <v>192</v>
      </c>
    </row>
    <row r="379" spans="1:34" s="297" customFormat="1" ht="15" customHeight="1" x14ac:dyDescent="0.25">
      <c r="A379" s="289">
        <v>891780111</v>
      </c>
      <c r="B379" s="289" t="s">
        <v>54</v>
      </c>
      <c r="C379" s="290" t="s">
        <v>56</v>
      </c>
      <c r="D379" s="289" t="s">
        <v>60</v>
      </c>
      <c r="E379" s="290" t="s">
        <v>7871</v>
      </c>
      <c r="F379" s="289" t="s">
        <v>61</v>
      </c>
      <c r="G379" s="85" t="s">
        <v>63</v>
      </c>
      <c r="H379" s="85" t="s">
        <v>73</v>
      </c>
      <c r="I379" s="237">
        <v>12607000</v>
      </c>
      <c r="J379" s="290">
        <v>1</v>
      </c>
      <c r="K379" s="291">
        <v>2377000</v>
      </c>
      <c r="L379" s="291"/>
      <c r="M379" s="292">
        <f t="shared" si="15"/>
        <v>14984000</v>
      </c>
      <c r="N379" s="85">
        <v>1082943752</v>
      </c>
      <c r="O379" s="85" t="s">
        <v>7872</v>
      </c>
      <c r="P379" s="85" t="s">
        <v>7664</v>
      </c>
      <c r="Q379" s="293">
        <v>44964</v>
      </c>
      <c r="R379" s="293">
        <v>44964</v>
      </c>
      <c r="S379" s="293">
        <v>45084</v>
      </c>
      <c r="T379" s="293"/>
      <c r="U379" s="293"/>
      <c r="V379" s="293"/>
      <c r="W379" s="294">
        <v>45107</v>
      </c>
      <c r="X379" s="237">
        <v>14984000</v>
      </c>
      <c r="Y379" s="295">
        <f t="shared" si="16"/>
        <v>0</v>
      </c>
      <c r="Z379" s="296">
        <f t="shared" si="17"/>
        <v>1</v>
      </c>
      <c r="AA379" s="85">
        <v>85449357</v>
      </c>
      <c r="AB379" s="85" t="s">
        <v>6553</v>
      </c>
      <c r="AC379" s="290" t="s">
        <v>196</v>
      </c>
      <c r="AD379" s="290" t="s">
        <v>196</v>
      </c>
      <c r="AE379" s="236"/>
      <c r="AF379" s="85" t="s">
        <v>7873</v>
      </c>
      <c r="AG379" s="290" t="s">
        <v>192</v>
      </c>
      <c r="AH379" s="290" t="s">
        <v>192</v>
      </c>
    </row>
    <row r="380" spans="1:34" s="297" customFormat="1" ht="15" customHeight="1" x14ac:dyDescent="0.25">
      <c r="A380" s="289">
        <v>891780111</v>
      </c>
      <c r="B380" s="289" t="s">
        <v>54</v>
      </c>
      <c r="C380" s="290" t="s">
        <v>56</v>
      </c>
      <c r="D380" s="289" t="s">
        <v>60</v>
      </c>
      <c r="E380" s="290" t="s">
        <v>7874</v>
      </c>
      <c r="F380" s="289" t="s">
        <v>61</v>
      </c>
      <c r="G380" s="85" t="s">
        <v>63</v>
      </c>
      <c r="H380" s="85" t="s">
        <v>73</v>
      </c>
      <c r="I380" s="237">
        <v>11853000</v>
      </c>
      <c r="J380" s="290"/>
      <c r="K380" s="291"/>
      <c r="L380" s="291"/>
      <c r="M380" s="292">
        <f t="shared" si="15"/>
        <v>11853000</v>
      </c>
      <c r="N380" s="85">
        <v>85373098</v>
      </c>
      <c r="O380" s="85" t="s">
        <v>7875</v>
      </c>
      <c r="P380" s="85" t="s">
        <v>7876</v>
      </c>
      <c r="Q380" s="293">
        <v>44964</v>
      </c>
      <c r="R380" s="293">
        <v>44964</v>
      </c>
      <c r="S380" s="293">
        <v>45084</v>
      </c>
      <c r="T380" s="293"/>
      <c r="U380" s="293"/>
      <c r="V380" s="293"/>
      <c r="W380" s="294"/>
      <c r="X380" s="237">
        <v>11853000</v>
      </c>
      <c r="Y380" s="295">
        <f t="shared" si="16"/>
        <v>0</v>
      </c>
      <c r="Z380" s="296">
        <f t="shared" si="17"/>
        <v>1</v>
      </c>
      <c r="AA380" s="85">
        <v>72175281</v>
      </c>
      <c r="AB380" s="85" t="s">
        <v>6507</v>
      </c>
      <c r="AC380" s="290" t="s">
        <v>196</v>
      </c>
      <c r="AD380" s="290" t="s">
        <v>196</v>
      </c>
      <c r="AE380" s="236"/>
      <c r="AF380" s="85" t="s">
        <v>7877</v>
      </c>
      <c r="AG380" s="290" t="s">
        <v>192</v>
      </c>
      <c r="AH380" s="290" t="s">
        <v>192</v>
      </c>
    </row>
    <row r="381" spans="1:34" s="297" customFormat="1" ht="15" customHeight="1" x14ac:dyDescent="0.25">
      <c r="A381" s="289">
        <v>891780111</v>
      </c>
      <c r="B381" s="289" t="s">
        <v>54</v>
      </c>
      <c r="C381" s="290" t="s">
        <v>56</v>
      </c>
      <c r="D381" s="289" t="s">
        <v>60</v>
      </c>
      <c r="E381" s="290" t="s">
        <v>7878</v>
      </c>
      <c r="F381" s="289" t="s">
        <v>61</v>
      </c>
      <c r="G381" s="85" t="s">
        <v>63</v>
      </c>
      <c r="H381" s="85" t="s">
        <v>73</v>
      </c>
      <c r="I381" s="237">
        <v>13123000</v>
      </c>
      <c r="J381" s="290"/>
      <c r="K381" s="291"/>
      <c r="L381" s="291"/>
      <c r="M381" s="292">
        <f t="shared" si="15"/>
        <v>13123000</v>
      </c>
      <c r="N381" s="85">
        <v>1067900773</v>
      </c>
      <c r="O381" s="85" t="s">
        <v>7879</v>
      </c>
      <c r="P381" s="85" t="s">
        <v>7880</v>
      </c>
      <c r="Q381" s="293">
        <v>44964</v>
      </c>
      <c r="R381" s="293">
        <v>44964</v>
      </c>
      <c r="S381" s="293">
        <v>45084</v>
      </c>
      <c r="T381" s="293"/>
      <c r="U381" s="293"/>
      <c r="V381" s="293"/>
      <c r="W381" s="294"/>
      <c r="X381" s="237">
        <v>13123000</v>
      </c>
      <c r="Y381" s="295">
        <f t="shared" si="16"/>
        <v>0</v>
      </c>
      <c r="Z381" s="296">
        <f t="shared" si="17"/>
        <v>1</v>
      </c>
      <c r="AA381" s="85">
        <v>72175281</v>
      </c>
      <c r="AB381" s="85" t="s">
        <v>6507</v>
      </c>
      <c r="AC381" s="290" t="s">
        <v>196</v>
      </c>
      <c r="AD381" s="290" t="s">
        <v>196</v>
      </c>
      <c r="AE381" s="236"/>
      <c r="AF381" s="85" t="s">
        <v>7881</v>
      </c>
      <c r="AG381" s="290" t="s">
        <v>192</v>
      </c>
      <c r="AH381" s="290" t="s">
        <v>192</v>
      </c>
    </row>
    <row r="382" spans="1:34" s="297" customFormat="1" ht="15" customHeight="1" x14ac:dyDescent="0.25">
      <c r="A382" s="289">
        <v>891780111</v>
      </c>
      <c r="B382" s="289" t="s">
        <v>54</v>
      </c>
      <c r="C382" s="290" t="s">
        <v>56</v>
      </c>
      <c r="D382" s="289" t="s">
        <v>60</v>
      </c>
      <c r="E382" s="290" t="s">
        <v>7882</v>
      </c>
      <c r="F382" s="289" t="s">
        <v>61</v>
      </c>
      <c r="G382" s="85" t="s">
        <v>63</v>
      </c>
      <c r="H382" s="85" t="s">
        <v>73</v>
      </c>
      <c r="I382" s="237">
        <v>11853000</v>
      </c>
      <c r="J382" s="290"/>
      <c r="K382" s="291"/>
      <c r="L382" s="291"/>
      <c r="M382" s="292">
        <f t="shared" si="15"/>
        <v>11853000</v>
      </c>
      <c r="N382" s="85">
        <v>85475573</v>
      </c>
      <c r="O382" s="85" t="s">
        <v>7883</v>
      </c>
      <c r="P382" s="85" t="s">
        <v>7861</v>
      </c>
      <c r="Q382" s="293">
        <v>44965</v>
      </c>
      <c r="R382" s="293">
        <v>44965</v>
      </c>
      <c r="S382" s="293">
        <v>45084</v>
      </c>
      <c r="T382" s="293"/>
      <c r="U382" s="293"/>
      <c r="V382" s="293"/>
      <c r="W382" s="294"/>
      <c r="X382" s="237">
        <v>11853000</v>
      </c>
      <c r="Y382" s="295">
        <f t="shared" si="16"/>
        <v>0</v>
      </c>
      <c r="Z382" s="296">
        <f t="shared" si="17"/>
        <v>1</v>
      </c>
      <c r="AA382" s="85">
        <v>85152695</v>
      </c>
      <c r="AB382" s="85" t="s">
        <v>6984</v>
      </c>
      <c r="AC382" s="290" t="s">
        <v>196</v>
      </c>
      <c r="AD382" s="290" t="s">
        <v>196</v>
      </c>
      <c r="AE382" s="236"/>
      <c r="AF382" s="85" t="s">
        <v>7884</v>
      </c>
      <c r="AG382" s="290" t="s">
        <v>192</v>
      </c>
      <c r="AH382" s="290" t="s">
        <v>192</v>
      </c>
    </row>
    <row r="383" spans="1:34" s="297" customFormat="1" ht="15" customHeight="1" x14ac:dyDescent="0.25">
      <c r="A383" s="289">
        <v>891780111</v>
      </c>
      <c r="B383" s="289" t="s">
        <v>54</v>
      </c>
      <c r="C383" s="290" t="s">
        <v>56</v>
      </c>
      <c r="D383" s="289" t="s">
        <v>60</v>
      </c>
      <c r="E383" s="290" t="s">
        <v>7885</v>
      </c>
      <c r="F383" s="289" t="s">
        <v>61</v>
      </c>
      <c r="G383" s="85" t="s">
        <v>63</v>
      </c>
      <c r="H383" s="85" t="s">
        <v>73</v>
      </c>
      <c r="I383" s="237">
        <v>9313000</v>
      </c>
      <c r="J383" s="290">
        <v>1</v>
      </c>
      <c r="K383" s="291">
        <v>1687000</v>
      </c>
      <c r="L383" s="291"/>
      <c r="M383" s="292">
        <f t="shared" si="15"/>
        <v>11000000</v>
      </c>
      <c r="N383" s="85">
        <v>1082902525</v>
      </c>
      <c r="O383" s="85" t="s">
        <v>7886</v>
      </c>
      <c r="P383" s="85" t="s">
        <v>7887</v>
      </c>
      <c r="Q383" s="293">
        <v>44965</v>
      </c>
      <c r="R383" s="293">
        <v>44965</v>
      </c>
      <c r="S383" s="293">
        <v>45084</v>
      </c>
      <c r="T383" s="293"/>
      <c r="U383" s="293"/>
      <c r="V383" s="293"/>
      <c r="W383" s="294">
        <v>45107</v>
      </c>
      <c r="X383" s="237">
        <v>11000000</v>
      </c>
      <c r="Y383" s="295">
        <f t="shared" si="16"/>
        <v>0</v>
      </c>
      <c r="Z383" s="296">
        <f t="shared" si="17"/>
        <v>1</v>
      </c>
      <c r="AA383" s="85">
        <v>36557666</v>
      </c>
      <c r="AB383" s="85" t="s">
        <v>6916</v>
      </c>
      <c r="AC383" s="290" t="s">
        <v>196</v>
      </c>
      <c r="AD383" s="290" t="s">
        <v>196</v>
      </c>
      <c r="AE383" s="236"/>
      <c r="AF383" s="85" t="s">
        <v>7888</v>
      </c>
      <c r="AG383" s="290" t="s">
        <v>192</v>
      </c>
      <c r="AH383" s="290" t="s">
        <v>192</v>
      </c>
    </row>
    <row r="384" spans="1:34" s="297" customFormat="1" ht="15" customHeight="1" x14ac:dyDescent="0.25">
      <c r="A384" s="289">
        <v>891780111</v>
      </c>
      <c r="B384" s="289" t="s">
        <v>54</v>
      </c>
      <c r="C384" s="290" t="s">
        <v>56</v>
      </c>
      <c r="D384" s="289" t="s">
        <v>60</v>
      </c>
      <c r="E384" s="290" t="s">
        <v>7889</v>
      </c>
      <c r="F384" s="289" t="s">
        <v>61</v>
      </c>
      <c r="G384" s="85" t="s">
        <v>63</v>
      </c>
      <c r="H384" s="85" t="s">
        <v>73</v>
      </c>
      <c r="I384" s="237">
        <v>13123000</v>
      </c>
      <c r="J384" s="290">
        <v>1</v>
      </c>
      <c r="K384" s="291">
        <v>5270000</v>
      </c>
      <c r="L384" s="291"/>
      <c r="M384" s="292">
        <f t="shared" si="15"/>
        <v>18393000</v>
      </c>
      <c r="N384" s="85">
        <v>1083560113</v>
      </c>
      <c r="O384" s="85" t="s">
        <v>7890</v>
      </c>
      <c r="P384" s="85" t="s">
        <v>7891</v>
      </c>
      <c r="Q384" s="293">
        <v>44965</v>
      </c>
      <c r="R384" s="293">
        <v>44965</v>
      </c>
      <c r="S384" s="293">
        <v>45084</v>
      </c>
      <c r="T384" s="293"/>
      <c r="U384" s="293"/>
      <c r="V384" s="293"/>
      <c r="W384" s="294">
        <v>45105</v>
      </c>
      <c r="X384" s="237">
        <v>15500000</v>
      </c>
      <c r="Y384" s="295">
        <f t="shared" si="16"/>
        <v>2893000</v>
      </c>
      <c r="Z384" s="296">
        <f t="shared" si="17"/>
        <v>0.8427119012667863</v>
      </c>
      <c r="AA384" s="85">
        <v>45507423</v>
      </c>
      <c r="AB384" s="85" t="s">
        <v>6911</v>
      </c>
      <c r="AC384" s="290" t="s">
        <v>196</v>
      </c>
      <c r="AD384" s="290" t="s">
        <v>196</v>
      </c>
      <c r="AE384" s="236"/>
      <c r="AF384" s="85" t="s">
        <v>7892</v>
      </c>
      <c r="AG384" s="290" t="s">
        <v>192</v>
      </c>
      <c r="AH384" s="290" t="s">
        <v>192</v>
      </c>
    </row>
    <row r="385" spans="1:34" s="297" customFormat="1" ht="15" customHeight="1" x14ac:dyDescent="0.25">
      <c r="A385" s="289">
        <v>891780111</v>
      </c>
      <c r="B385" s="289" t="s">
        <v>54</v>
      </c>
      <c r="C385" s="290" t="s">
        <v>56</v>
      </c>
      <c r="D385" s="289" t="s">
        <v>60</v>
      </c>
      <c r="E385" s="290" t="s">
        <v>7893</v>
      </c>
      <c r="F385" s="289" t="s">
        <v>61</v>
      </c>
      <c r="G385" s="85" t="s">
        <v>63</v>
      </c>
      <c r="H385" s="85" t="s">
        <v>73</v>
      </c>
      <c r="I385" s="237">
        <v>8043000</v>
      </c>
      <c r="J385" s="290"/>
      <c r="K385" s="291"/>
      <c r="L385" s="291"/>
      <c r="M385" s="292">
        <f t="shared" si="15"/>
        <v>8043000</v>
      </c>
      <c r="N385" s="85">
        <v>1082984745</v>
      </c>
      <c r="O385" s="85" t="s">
        <v>7894</v>
      </c>
      <c r="P385" s="85" t="s">
        <v>7895</v>
      </c>
      <c r="Q385" s="293">
        <v>44965</v>
      </c>
      <c r="R385" s="293">
        <v>44965</v>
      </c>
      <c r="S385" s="293">
        <v>45084</v>
      </c>
      <c r="T385" s="293"/>
      <c r="U385" s="293"/>
      <c r="V385" s="293"/>
      <c r="W385" s="294"/>
      <c r="X385" s="237">
        <v>8043000</v>
      </c>
      <c r="Y385" s="295">
        <f t="shared" si="16"/>
        <v>0</v>
      </c>
      <c r="Z385" s="296">
        <f t="shared" si="17"/>
        <v>1</v>
      </c>
      <c r="AA385" s="85">
        <v>84450555</v>
      </c>
      <c r="AB385" s="85" t="s">
        <v>7896</v>
      </c>
      <c r="AC385" s="290" t="s">
        <v>196</v>
      </c>
      <c r="AD385" s="290" t="s">
        <v>196</v>
      </c>
      <c r="AE385" s="236"/>
      <c r="AF385" s="85" t="s">
        <v>7897</v>
      </c>
      <c r="AG385" s="290" t="s">
        <v>192</v>
      </c>
      <c r="AH385" s="290" t="s">
        <v>192</v>
      </c>
    </row>
    <row r="386" spans="1:34" s="297" customFormat="1" ht="15" customHeight="1" x14ac:dyDescent="0.25">
      <c r="A386" s="289">
        <v>891780111</v>
      </c>
      <c r="B386" s="289" t="s">
        <v>54</v>
      </c>
      <c r="C386" s="290" t="s">
        <v>56</v>
      </c>
      <c r="D386" s="289" t="s">
        <v>60</v>
      </c>
      <c r="E386" s="290" t="s">
        <v>7898</v>
      </c>
      <c r="F386" s="289" t="s">
        <v>61</v>
      </c>
      <c r="G386" s="85" t="s">
        <v>63</v>
      </c>
      <c r="H386" s="85" t="s">
        <v>73</v>
      </c>
      <c r="I386" s="237">
        <v>13123000</v>
      </c>
      <c r="J386" s="290">
        <v>1</v>
      </c>
      <c r="K386" s="291">
        <v>2377000</v>
      </c>
      <c r="L386" s="291"/>
      <c r="M386" s="292">
        <f t="shared" si="15"/>
        <v>15500000</v>
      </c>
      <c r="N386" s="85">
        <v>1082941227</v>
      </c>
      <c r="O386" s="85" t="s">
        <v>7899</v>
      </c>
      <c r="P386" s="85" t="s">
        <v>7900</v>
      </c>
      <c r="Q386" s="293">
        <v>44965</v>
      </c>
      <c r="R386" s="293">
        <v>44965</v>
      </c>
      <c r="S386" s="293">
        <v>45084</v>
      </c>
      <c r="T386" s="293"/>
      <c r="U386" s="293"/>
      <c r="V386" s="293"/>
      <c r="W386" s="294">
        <v>45107</v>
      </c>
      <c r="X386" s="237">
        <v>15500000</v>
      </c>
      <c r="Y386" s="295">
        <f>M386-X386</f>
        <v>0</v>
      </c>
      <c r="Z386" s="296">
        <f t="shared" si="17"/>
        <v>1</v>
      </c>
      <c r="AA386" s="85">
        <v>85471791</v>
      </c>
      <c r="AB386" s="85" t="s">
        <v>7172</v>
      </c>
      <c r="AC386" s="290" t="s">
        <v>196</v>
      </c>
      <c r="AD386" s="290" t="s">
        <v>196</v>
      </c>
      <c r="AE386" s="236"/>
      <c r="AF386" s="85" t="s">
        <v>7901</v>
      </c>
      <c r="AG386" s="290" t="s">
        <v>192</v>
      </c>
      <c r="AH386" s="290" t="s">
        <v>192</v>
      </c>
    </row>
    <row r="387" spans="1:34" s="297" customFormat="1" ht="15" customHeight="1" x14ac:dyDescent="0.25">
      <c r="A387" s="289">
        <v>891780111</v>
      </c>
      <c r="B387" s="289" t="s">
        <v>54</v>
      </c>
      <c r="C387" s="290" t="s">
        <v>56</v>
      </c>
      <c r="D387" s="289" t="s">
        <v>60</v>
      </c>
      <c r="E387" s="290" t="s">
        <v>7902</v>
      </c>
      <c r="F387" s="289" t="s">
        <v>61</v>
      </c>
      <c r="G387" s="85" t="s">
        <v>63</v>
      </c>
      <c r="H387" s="85" t="s">
        <v>73</v>
      </c>
      <c r="I387" s="237">
        <v>13123000</v>
      </c>
      <c r="J387" s="290">
        <v>1</v>
      </c>
      <c r="K387" s="291">
        <v>930000</v>
      </c>
      <c r="L387" s="291"/>
      <c r="M387" s="292">
        <f t="shared" si="15"/>
        <v>14053000</v>
      </c>
      <c r="N387" s="85">
        <v>1083007469</v>
      </c>
      <c r="O387" s="85" t="s">
        <v>7903</v>
      </c>
      <c r="P387" s="85" t="s">
        <v>7904</v>
      </c>
      <c r="Q387" s="293">
        <v>44965</v>
      </c>
      <c r="R387" s="293">
        <v>44965</v>
      </c>
      <c r="S387" s="293">
        <v>45084</v>
      </c>
      <c r="T387" s="293"/>
      <c r="U387" s="293"/>
      <c r="V387" s="293"/>
      <c r="W387" s="294">
        <v>45093</v>
      </c>
      <c r="X387" s="237">
        <v>14053000</v>
      </c>
      <c r="Y387" s="295">
        <f t="shared" si="16"/>
        <v>0</v>
      </c>
      <c r="Z387" s="296">
        <f t="shared" si="17"/>
        <v>1</v>
      </c>
      <c r="AA387" s="85">
        <v>39058006</v>
      </c>
      <c r="AB387" s="85" t="s">
        <v>6699</v>
      </c>
      <c r="AC387" s="290" t="s">
        <v>196</v>
      </c>
      <c r="AD387" s="290" t="s">
        <v>196</v>
      </c>
      <c r="AE387" s="236"/>
      <c r="AF387" s="85" t="s">
        <v>7905</v>
      </c>
      <c r="AG387" s="290" t="s">
        <v>192</v>
      </c>
      <c r="AH387" s="290" t="s">
        <v>192</v>
      </c>
    </row>
    <row r="388" spans="1:34" s="297" customFormat="1" ht="15" customHeight="1" x14ac:dyDescent="0.25">
      <c r="A388" s="289">
        <v>891780111</v>
      </c>
      <c r="B388" s="289" t="s">
        <v>54</v>
      </c>
      <c r="C388" s="290" t="s">
        <v>56</v>
      </c>
      <c r="D388" s="289" t="s">
        <v>60</v>
      </c>
      <c r="E388" s="290" t="s">
        <v>7906</v>
      </c>
      <c r="F388" s="289" t="s">
        <v>61</v>
      </c>
      <c r="G388" s="85" t="s">
        <v>63</v>
      </c>
      <c r="H388" s="85" t="s">
        <v>73</v>
      </c>
      <c r="I388" s="237">
        <v>8043000</v>
      </c>
      <c r="J388" s="290"/>
      <c r="K388" s="291"/>
      <c r="L388" s="291"/>
      <c r="M388" s="292">
        <f t="shared" si="15"/>
        <v>8043000</v>
      </c>
      <c r="N388" s="85">
        <v>1082937109</v>
      </c>
      <c r="O388" s="85" t="s">
        <v>7907</v>
      </c>
      <c r="P388" s="85" t="s">
        <v>7652</v>
      </c>
      <c r="Q388" s="293">
        <v>44965</v>
      </c>
      <c r="R388" s="293">
        <v>44965</v>
      </c>
      <c r="S388" s="293">
        <v>45084</v>
      </c>
      <c r="T388" s="293"/>
      <c r="U388" s="293"/>
      <c r="V388" s="293"/>
      <c r="W388" s="294"/>
      <c r="X388" s="237">
        <v>8043000</v>
      </c>
      <c r="Y388" s="295">
        <f t="shared" si="16"/>
        <v>0</v>
      </c>
      <c r="Z388" s="296">
        <f t="shared" si="17"/>
        <v>1</v>
      </c>
      <c r="AA388" s="85">
        <v>7633817</v>
      </c>
      <c r="AB388" s="85" t="s">
        <v>5425</v>
      </c>
      <c r="AC388" s="290" t="s">
        <v>196</v>
      </c>
      <c r="AD388" s="290" t="s">
        <v>196</v>
      </c>
      <c r="AE388" s="236"/>
      <c r="AF388" s="85" t="s">
        <v>7908</v>
      </c>
      <c r="AG388" s="290" t="s">
        <v>192</v>
      </c>
      <c r="AH388" s="290" t="s">
        <v>192</v>
      </c>
    </row>
    <row r="389" spans="1:34" s="297" customFormat="1" ht="15" customHeight="1" x14ac:dyDescent="0.25">
      <c r="A389" s="289">
        <v>891780111</v>
      </c>
      <c r="B389" s="289" t="s">
        <v>54</v>
      </c>
      <c r="C389" s="290" t="s">
        <v>56</v>
      </c>
      <c r="D389" s="289" t="s">
        <v>60</v>
      </c>
      <c r="E389" s="290" t="s">
        <v>7909</v>
      </c>
      <c r="F389" s="289" t="s">
        <v>61</v>
      </c>
      <c r="G389" s="85" t="s">
        <v>63</v>
      </c>
      <c r="H389" s="85" t="s">
        <v>73</v>
      </c>
      <c r="I389" s="237">
        <v>14393000</v>
      </c>
      <c r="J389" s="290">
        <v>1</v>
      </c>
      <c r="K389" s="291">
        <v>2607000</v>
      </c>
      <c r="L389" s="291"/>
      <c r="M389" s="292">
        <f t="shared" ref="M389:M452" si="18">I389+K389-L389</f>
        <v>17000000</v>
      </c>
      <c r="N389" s="85">
        <v>1083021976</v>
      </c>
      <c r="O389" s="85" t="s">
        <v>7910</v>
      </c>
      <c r="P389" s="85" t="s">
        <v>7911</v>
      </c>
      <c r="Q389" s="293">
        <v>44965</v>
      </c>
      <c r="R389" s="293">
        <v>44965</v>
      </c>
      <c r="S389" s="293">
        <v>45084</v>
      </c>
      <c r="T389" s="293"/>
      <c r="U389" s="293"/>
      <c r="V389" s="293"/>
      <c r="W389" s="294">
        <v>45107</v>
      </c>
      <c r="X389" s="237">
        <v>17000000</v>
      </c>
      <c r="Y389" s="295">
        <f t="shared" ref="Y389:Y452" si="19">M389-X389</f>
        <v>0</v>
      </c>
      <c r="Z389" s="296">
        <f t="shared" ref="Z389:Z452" si="20">+(X389/M389)</f>
        <v>1</v>
      </c>
      <c r="AA389" s="85">
        <v>12621405</v>
      </c>
      <c r="AB389" s="85" t="s">
        <v>6396</v>
      </c>
      <c r="AC389" s="290" t="s">
        <v>196</v>
      </c>
      <c r="AD389" s="290" t="s">
        <v>196</v>
      </c>
      <c r="AE389" s="236"/>
      <c r="AF389" s="85" t="s">
        <v>7912</v>
      </c>
      <c r="AG389" s="290" t="s">
        <v>192</v>
      </c>
      <c r="AH389" s="290" t="s">
        <v>192</v>
      </c>
    </row>
    <row r="390" spans="1:34" s="297" customFormat="1" ht="15" customHeight="1" x14ac:dyDescent="0.25">
      <c r="A390" s="289">
        <v>891780111</v>
      </c>
      <c r="B390" s="289" t="s">
        <v>54</v>
      </c>
      <c r="C390" s="290" t="s">
        <v>56</v>
      </c>
      <c r="D390" s="289" t="s">
        <v>60</v>
      </c>
      <c r="E390" s="290" t="s">
        <v>7913</v>
      </c>
      <c r="F390" s="289" t="s">
        <v>61</v>
      </c>
      <c r="G390" s="85" t="s">
        <v>63</v>
      </c>
      <c r="H390" s="85" t="s">
        <v>73</v>
      </c>
      <c r="I390" s="237">
        <v>11853000</v>
      </c>
      <c r="J390" s="290">
        <v>1</v>
      </c>
      <c r="K390" s="291"/>
      <c r="L390" s="291">
        <v>5226333</v>
      </c>
      <c r="M390" s="292">
        <f t="shared" si="18"/>
        <v>6626667</v>
      </c>
      <c r="N390" s="85">
        <v>1083048568</v>
      </c>
      <c r="O390" s="85" t="s">
        <v>7914</v>
      </c>
      <c r="P390" s="85" t="s">
        <v>7915</v>
      </c>
      <c r="Q390" s="293">
        <v>44965</v>
      </c>
      <c r="R390" s="293">
        <v>44965</v>
      </c>
      <c r="S390" s="293">
        <v>45084</v>
      </c>
      <c r="T390" s="293"/>
      <c r="U390" s="293"/>
      <c r="V390" s="293"/>
      <c r="W390" s="294">
        <v>45027</v>
      </c>
      <c r="X390" s="237">
        <v>5600000</v>
      </c>
      <c r="Y390" s="295">
        <f t="shared" si="19"/>
        <v>1026667</v>
      </c>
      <c r="Z390" s="296">
        <f t="shared" si="20"/>
        <v>0.84507038002664081</v>
      </c>
      <c r="AA390" s="85">
        <v>7632607</v>
      </c>
      <c r="AB390" s="85" t="s">
        <v>7071</v>
      </c>
      <c r="AC390" s="290" t="s">
        <v>196</v>
      </c>
      <c r="AD390" s="290" t="s">
        <v>196</v>
      </c>
      <c r="AE390" s="236"/>
      <c r="AF390" s="85" t="s">
        <v>7916</v>
      </c>
      <c r="AG390" s="290" t="s">
        <v>192</v>
      </c>
      <c r="AH390" s="290" t="s">
        <v>192</v>
      </c>
    </row>
    <row r="391" spans="1:34" s="297" customFormat="1" ht="15" customHeight="1" x14ac:dyDescent="0.25">
      <c r="A391" s="289">
        <v>891780111</v>
      </c>
      <c r="B391" s="289" t="s">
        <v>54</v>
      </c>
      <c r="C391" s="290" t="s">
        <v>56</v>
      </c>
      <c r="D391" s="289" t="s">
        <v>60</v>
      </c>
      <c r="E391" s="290" t="s">
        <v>7917</v>
      </c>
      <c r="F391" s="289" t="s">
        <v>61</v>
      </c>
      <c r="G391" s="85" t="s">
        <v>63</v>
      </c>
      <c r="H391" s="85" t="s">
        <v>73</v>
      </c>
      <c r="I391" s="237">
        <v>8043000</v>
      </c>
      <c r="J391" s="290"/>
      <c r="K391" s="291"/>
      <c r="L391" s="291"/>
      <c r="M391" s="292">
        <f t="shared" si="18"/>
        <v>8043000</v>
      </c>
      <c r="N391" s="85">
        <v>1102859409</v>
      </c>
      <c r="O391" s="85" t="s">
        <v>7918</v>
      </c>
      <c r="P391" s="85" t="s">
        <v>7919</v>
      </c>
      <c r="Q391" s="293">
        <v>44965</v>
      </c>
      <c r="R391" s="293">
        <v>44965</v>
      </c>
      <c r="S391" s="293">
        <v>45084</v>
      </c>
      <c r="T391" s="293"/>
      <c r="U391" s="293"/>
      <c r="V391" s="293"/>
      <c r="W391" s="294"/>
      <c r="X391" s="237">
        <v>8043000</v>
      </c>
      <c r="Y391" s="295">
        <f t="shared" si="19"/>
        <v>0</v>
      </c>
      <c r="Z391" s="296">
        <f t="shared" si="20"/>
        <v>1</v>
      </c>
      <c r="AA391" s="85">
        <v>84450555</v>
      </c>
      <c r="AB391" s="85" t="s">
        <v>7896</v>
      </c>
      <c r="AC391" s="290" t="s">
        <v>196</v>
      </c>
      <c r="AD391" s="290" t="s">
        <v>196</v>
      </c>
      <c r="AE391" s="236"/>
      <c r="AF391" s="85" t="s">
        <v>7920</v>
      </c>
      <c r="AG391" s="290" t="s">
        <v>192</v>
      </c>
      <c r="AH391" s="290" t="s">
        <v>192</v>
      </c>
    </row>
    <row r="392" spans="1:34" s="297" customFormat="1" ht="15" customHeight="1" x14ac:dyDescent="0.25">
      <c r="A392" s="289">
        <v>891780111</v>
      </c>
      <c r="B392" s="289" t="s">
        <v>54</v>
      </c>
      <c r="C392" s="290" t="s">
        <v>56</v>
      </c>
      <c r="D392" s="289" t="s">
        <v>60</v>
      </c>
      <c r="E392" s="290" t="s">
        <v>7921</v>
      </c>
      <c r="F392" s="289" t="s">
        <v>61</v>
      </c>
      <c r="G392" s="85" t="s">
        <v>63</v>
      </c>
      <c r="H392" s="85" t="s">
        <v>73</v>
      </c>
      <c r="I392" s="237">
        <v>8043000</v>
      </c>
      <c r="J392" s="290">
        <v>1</v>
      </c>
      <c r="K392" s="291">
        <v>1457000</v>
      </c>
      <c r="L392" s="291"/>
      <c r="M392" s="292">
        <f t="shared" si="18"/>
        <v>9500000</v>
      </c>
      <c r="N392" s="85">
        <v>1004347619</v>
      </c>
      <c r="O392" s="85" t="s">
        <v>7922</v>
      </c>
      <c r="P392" s="85" t="s">
        <v>7741</v>
      </c>
      <c r="Q392" s="293">
        <v>44965</v>
      </c>
      <c r="R392" s="293">
        <v>44965</v>
      </c>
      <c r="S392" s="293">
        <v>45084</v>
      </c>
      <c r="T392" s="293"/>
      <c r="U392" s="293"/>
      <c r="V392" s="293"/>
      <c r="W392" s="294">
        <v>45107</v>
      </c>
      <c r="X392" s="237">
        <v>9500000</v>
      </c>
      <c r="Y392" s="295">
        <f t="shared" si="19"/>
        <v>0</v>
      </c>
      <c r="Z392" s="296">
        <f t="shared" si="20"/>
        <v>1</v>
      </c>
      <c r="AA392" s="85">
        <v>7633817</v>
      </c>
      <c r="AB392" s="85" t="s">
        <v>5425</v>
      </c>
      <c r="AC392" s="290" t="s">
        <v>196</v>
      </c>
      <c r="AD392" s="290" t="s">
        <v>196</v>
      </c>
      <c r="AE392" s="236"/>
      <c r="AF392" s="85" t="s">
        <v>7923</v>
      </c>
      <c r="AG392" s="290" t="s">
        <v>192</v>
      </c>
      <c r="AH392" s="290" t="s">
        <v>192</v>
      </c>
    </row>
    <row r="393" spans="1:34" s="297" customFormat="1" ht="15" customHeight="1" x14ac:dyDescent="0.25">
      <c r="A393" s="289">
        <v>891780111</v>
      </c>
      <c r="B393" s="289" t="s">
        <v>54</v>
      </c>
      <c r="C393" s="290" t="s">
        <v>56</v>
      </c>
      <c r="D393" s="289" t="s">
        <v>60</v>
      </c>
      <c r="E393" s="290" t="s">
        <v>7924</v>
      </c>
      <c r="F393" s="289" t="s">
        <v>61</v>
      </c>
      <c r="G393" s="85" t="s">
        <v>63</v>
      </c>
      <c r="H393" s="85" t="s">
        <v>73</v>
      </c>
      <c r="I393" s="237">
        <v>11853000</v>
      </c>
      <c r="J393" s="290"/>
      <c r="K393" s="291"/>
      <c r="L393" s="291"/>
      <c r="M393" s="292">
        <f t="shared" si="18"/>
        <v>11853000</v>
      </c>
      <c r="N393" s="85">
        <v>1083044605</v>
      </c>
      <c r="O393" s="85" t="s">
        <v>7925</v>
      </c>
      <c r="P393" s="85" t="s">
        <v>7926</v>
      </c>
      <c r="Q393" s="293">
        <v>44965</v>
      </c>
      <c r="R393" s="293">
        <v>44965</v>
      </c>
      <c r="S393" s="293">
        <v>45084</v>
      </c>
      <c r="T393" s="293"/>
      <c r="U393" s="293"/>
      <c r="V393" s="293"/>
      <c r="W393" s="294"/>
      <c r="X393" s="237">
        <v>11853000</v>
      </c>
      <c r="Y393" s="295">
        <f t="shared" si="19"/>
        <v>0</v>
      </c>
      <c r="Z393" s="296">
        <f t="shared" si="20"/>
        <v>1</v>
      </c>
      <c r="AA393" s="85">
        <v>36557666</v>
      </c>
      <c r="AB393" s="85" t="s">
        <v>6916</v>
      </c>
      <c r="AC393" s="290" t="s">
        <v>196</v>
      </c>
      <c r="AD393" s="290" t="s">
        <v>196</v>
      </c>
      <c r="AE393" s="236"/>
      <c r="AF393" s="85" t="s">
        <v>7927</v>
      </c>
      <c r="AG393" s="290" t="s">
        <v>192</v>
      </c>
      <c r="AH393" s="290" t="s">
        <v>192</v>
      </c>
    </row>
    <row r="394" spans="1:34" s="297" customFormat="1" ht="15" customHeight="1" x14ac:dyDescent="0.25">
      <c r="A394" s="289">
        <v>891780111</v>
      </c>
      <c r="B394" s="289" t="s">
        <v>54</v>
      </c>
      <c r="C394" s="290" t="s">
        <v>56</v>
      </c>
      <c r="D394" s="289" t="s">
        <v>60</v>
      </c>
      <c r="E394" s="290" t="s">
        <v>7928</v>
      </c>
      <c r="F394" s="289" t="s">
        <v>61</v>
      </c>
      <c r="G394" s="85" t="s">
        <v>63</v>
      </c>
      <c r="H394" s="85" t="s">
        <v>73</v>
      </c>
      <c r="I394" s="237">
        <v>8043000</v>
      </c>
      <c r="J394" s="290">
        <v>1</v>
      </c>
      <c r="K394" s="291">
        <v>1013000</v>
      </c>
      <c r="L394" s="291"/>
      <c r="M394" s="292">
        <f t="shared" si="18"/>
        <v>9056000</v>
      </c>
      <c r="N394" s="85">
        <v>1082900540</v>
      </c>
      <c r="O394" s="85" t="s">
        <v>7929</v>
      </c>
      <c r="P394" s="85" t="s">
        <v>7930</v>
      </c>
      <c r="Q394" s="293">
        <v>44965</v>
      </c>
      <c r="R394" s="293">
        <v>44965</v>
      </c>
      <c r="S394" s="293">
        <v>45084</v>
      </c>
      <c r="T394" s="293"/>
      <c r="U394" s="293"/>
      <c r="V394" s="293"/>
      <c r="W394" s="294">
        <v>45100</v>
      </c>
      <c r="X394" s="237">
        <v>9056000</v>
      </c>
      <c r="Y394" s="295">
        <f t="shared" si="19"/>
        <v>0</v>
      </c>
      <c r="Z394" s="296">
        <f t="shared" si="20"/>
        <v>1</v>
      </c>
      <c r="AA394" s="85">
        <v>45507423</v>
      </c>
      <c r="AB394" s="85" t="s">
        <v>6911</v>
      </c>
      <c r="AC394" s="290" t="s">
        <v>196</v>
      </c>
      <c r="AD394" s="290" t="s">
        <v>196</v>
      </c>
      <c r="AE394" s="236"/>
      <c r="AF394" s="85" t="s">
        <v>7931</v>
      </c>
      <c r="AG394" s="290" t="s">
        <v>192</v>
      </c>
      <c r="AH394" s="290" t="s">
        <v>192</v>
      </c>
    </row>
    <row r="395" spans="1:34" s="297" customFormat="1" ht="15" customHeight="1" x14ac:dyDescent="0.25">
      <c r="A395" s="289">
        <v>891780111</v>
      </c>
      <c r="B395" s="289" t="s">
        <v>54</v>
      </c>
      <c r="C395" s="290" t="s">
        <v>56</v>
      </c>
      <c r="D395" s="289" t="s">
        <v>60</v>
      </c>
      <c r="E395" s="290" t="s">
        <v>7932</v>
      </c>
      <c r="F395" s="289" t="s">
        <v>61</v>
      </c>
      <c r="G395" s="85" t="s">
        <v>63</v>
      </c>
      <c r="H395" s="85" t="s">
        <v>73</v>
      </c>
      <c r="I395" s="237">
        <v>8043000</v>
      </c>
      <c r="J395" s="290">
        <v>1</v>
      </c>
      <c r="K395" s="291">
        <v>1457000</v>
      </c>
      <c r="L395" s="291"/>
      <c r="M395" s="292">
        <f t="shared" si="18"/>
        <v>9500000</v>
      </c>
      <c r="N395" s="85">
        <v>1082876431</v>
      </c>
      <c r="O395" s="85" t="s">
        <v>7933</v>
      </c>
      <c r="P395" s="85" t="s">
        <v>7934</v>
      </c>
      <c r="Q395" s="293">
        <v>44965</v>
      </c>
      <c r="R395" s="293">
        <v>44965</v>
      </c>
      <c r="S395" s="293">
        <v>45084</v>
      </c>
      <c r="T395" s="293"/>
      <c r="U395" s="293"/>
      <c r="V395" s="293"/>
      <c r="W395" s="294">
        <v>45107</v>
      </c>
      <c r="X395" s="237">
        <v>9500000</v>
      </c>
      <c r="Y395" s="295">
        <f t="shared" si="19"/>
        <v>0</v>
      </c>
      <c r="Z395" s="296">
        <f t="shared" si="20"/>
        <v>1</v>
      </c>
      <c r="AA395" s="85">
        <v>85450705</v>
      </c>
      <c r="AB395" s="85" t="s">
        <v>7935</v>
      </c>
      <c r="AC395" s="290" t="s">
        <v>196</v>
      </c>
      <c r="AD395" s="290" t="s">
        <v>196</v>
      </c>
      <c r="AE395" s="236"/>
      <c r="AF395" s="85" t="s">
        <v>7936</v>
      </c>
      <c r="AG395" s="290" t="s">
        <v>192</v>
      </c>
      <c r="AH395" s="290" t="s">
        <v>192</v>
      </c>
    </row>
    <row r="396" spans="1:34" s="297" customFormat="1" ht="15" customHeight="1" x14ac:dyDescent="0.25">
      <c r="A396" s="289">
        <v>891780111</v>
      </c>
      <c r="B396" s="289" t="s">
        <v>54</v>
      </c>
      <c r="C396" s="290" t="s">
        <v>56</v>
      </c>
      <c r="D396" s="289" t="s">
        <v>60</v>
      </c>
      <c r="E396" s="290" t="s">
        <v>7937</v>
      </c>
      <c r="F396" s="289" t="s">
        <v>61</v>
      </c>
      <c r="G396" s="85" t="s">
        <v>63</v>
      </c>
      <c r="H396" s="85" t="s">
        <v>73</v>
      </c>
      <c r="I396" s="237">
        <v>12607000</v>
      </c>
      <c r="J396" s="290">
        <v>1</v>
      </c>
      <c r="K396" s="291">
        <v>2377000</v>
      </c>
      <c r="L396" s="291"/>
      <c r="M396" s="292">
        <f t="shared" si="18"/>
        <v>14984000</v>
      </c>
      <c r="N396" s="85">
        <v>1098728251</v>
      </c>
      <c r="O396" s="85" t="s">
        <v>7938</v>
      </c>
      <c r="P396" s="85" t="s">
        <v>7939</v>
      </c>
      <c r="Q396" s="293">
        <v>44965</v>
      </c>
      <c r="R396" s="293">
        <v>44965</v>
      </c>
      <c r="S396" s="293">
        <v>45084</v>
      </c>
      <c r="T396" s="293"/>
      <c r="U396" s="293"/>
      <c r="V396" s="293"/>
      <c r="W396" s="294">
        <v>45107</v>
      </c>
      <c r="X396" s="237">
        <v>14984000</v>
      </c>
      <c r="Y396" s="295">
        <f t="shared" si="19"/>
        <v>0</v>
      </c>
      <c r="Z396" s="296">
        <f t="shared" si="20"/>
        <v>1</v>
      </c>
      <c r="AA396" s="85">
        <v>85449357</v>
      </c>
      <c r="AB396" s="85" t="s">
        <v>6553</v>
      </c>
      <c r="AC396" s="290" t="s">
        <v>196</v>
      </c>
      <c r="AD396" s="290" t="s">
        <v>196</v>
      </c>
      <c r="AE396" s="236"/>
      <c r="AF396" s="85" t="s">
        <v>7940</v>
      </c>
      <c r="AG396" s="290" t="s">
        <v>192</v>
      </c>
      <c r="AH396" s="290" t="s">
        <v>192</v>
      </c>
    </row>
    <row r="397" spans="1:34" s="297" customFormat="1" ht="15" customHeight="1" x14ac:dyDescent="0.25">
      <c r="A397" s="289">
        <v>891780111</v>
      </c>
      <c r="B397" s="289" t="s">
        <v>54</v>
      </c>
      <c r="C397" s="290" t="s">
        <v>56</v>
      </c>
      <c r="D397" s="289" t="s">
        <v>60</v>
      </c>
      <c r="E397" s="290" t="s">
        <v>7941</v>
      </c>
      <c r="F397" s="289" t="s">
        <v>61</v>
      </c>
      <c r="G397" s="85" t="s">
        <v>63</v>
      </c>
      <c r="H397" s="85" t="s">
        <v>73</v>
      </c>
      <c r="I397" s="237">
        <v>8043000</v>
      </c>
      <c r="J397" s="290">
        <v>1</v>
      </c>
      <c r="K397" s="291">
        <v>1457000</v>
      </c>
      <c r="L397" s="291"/>
      <c r="M397" s="292">
        <f t="shared" si="18"/>
        <v>9500000</v>
      </c>
      <c r="N397" s="85">
        <v>7634587</v>
      </c>
      <c r="O397" s="85" t="s">
        <v>7942</v>
      </c>
      <c r="P397" s="85" t="s">
        <v>7943</v>
      </c>
      <c r="Q397" s="293">
        <v>44965</v>
      </c>
      <c r="R397" s="293">
        <v>44965</v>
      </c>
      <c r="S397" s="293">
        <v>45084</v>
      </c>
      <c r="T397" s="293"/>
      <c r="U397" s="293"/>
      <c r="V397" s="293"/>
      <c r="W397" s="294">
        <v>45107</v>
      </c>
      <c r="X397" s="237">
        <v>9500000</v>
      </c>
      <c r="Y397" s="295">
        <f t="shared" si="19"/>
        <v>0</v>
      </c>
      <c r="Z397" s="296">
        <f t="shared" si="20"/>
        <v>1</v>
      </c>
      <c r="AA397" s="85">
        <v>85152695</v>
      </c>
      <c r="AB397" s="85" t="s">
        <v>6984</v>
      </c>
      <c r="AC397" s="290" t="s">
        <v>196</v>
      </c>
      <c r="AD397" s="290" t="s">
        <v>196</v>
      </c>
      <c r="AE397" s="236"/>
      <c r="AF397" s="85" t="s">
        <v>7944</v>
      </c>
      <c r="AG397" s="290" t="s">
        <v>192</v>
      </c>
      <c r="AH397" s="290" t="s">
        <v>192</v>
      </c>
    </row>
    <row r="398" spans="1:34" s="297" customFormat="1" ht="15" customHeight="1" x14ac:dyDescent="0.25">
      <c r="A398" s="289">
        <v>891780111</v>
      </c>
      <c r="B398" s="289" t="s">
        <v>54</v>
      </c>
      <c r="C398" s="290" t="s">
        <v>56</v>
      </c>
      <c r="D398" s="289" t="s">
        <v>60</v>
      </c>
      <c r="E398" s="290" t="s">
        <v>7945</v>
      </c>
      <c r="F398" s="289" t="s">
        <v>61</v>
      </c>
      <c r="G398" s="85" t="s">
        <v>63</v>
      </c>
      <c r="H398" s="85" t="s">
        <v>73</v>
      </c>
      <c r="I398" s="237">
        <v>11000000</v>
      </c>
      <c r="J398" s="290">
        <v>1</v>
      </c>
      <c r="K398" s="291">
        <v>1917000</v>
      </c>
      <c r="L398" s="291"/>
      <c r="M398" s="292">
        <f t="shared" si="18"/>
        <v>12917000</v>
      </c>
      <c r="N398" s="85">
        <v>42155216</v>
      </c>
      <c r="O398" s="85" t="s">
        <v>7946</v>
      </c>
      <c r="P398" s="85" t="s">
        <v>7947</v>
      </c>
      <c r="Q398" s="293">
        <v>44965</v>
      </c>
      <c r="R398" s="293">
        <v>44965</v>
      </c>
      <c r="S398" s="293">
        <v>45084</v>
      </c>
      <c r="T398" s="293"/>
      <c r="U398" s="293"/>
      <c r="V398" s="293"/>
      <c r="W398" s="294">
        <v>45107</v>
      </c>
      <c r="X398" s="237">
        <v>12917000</v>
      </c>
      <c r="Y398" s="295">
        <f t="shared" si="19"/>
        <v>0</v>
      </c>
      <c r="Z398" s="296">
        <f t="shared" si="20"/>
        <v>1</v>
      </c>
      <c r="AA398" s="85">
        <v>85471791</v>
      </c>
      <c r="AB398" s="85" t="s">
        <v>7172</v>
      </c>
      <c r="AC398" s="290" t="s">
        <v>196</v>
      </c>
      <c r="AD398" s="290" t="s">
        <v>196</v>
      </c>
      <c r="AE398" s="236"/>
      <c r="AF398" s="85" t="s">
        <v>7948</v>
      </c>
      <c r="AG398" s="290" t="s">
        <v>192</v>
      </c>
      <c r="AH398" s="290" t="s">
        <v>192</v>
      </c>
    </row>
    <row r="399" spans="1:34" s="297" customFormat="1" ht="15" customHeight="1" x14ac:dyDescent="0.25">
      <c r="A399" s="289">
        <v>891780111</v>
      </c>
      <c r="B399" s="289" t="s">
        <v>54</v>
      </c>
      <c r="C399" s="290" t="s">
        <v>56</v>
      </c>
      <c r="D399" s="289" t="s">
        <v>60</v>
      </c>
      <c r="E399" s="290" t="s">
        <v>7949</v>
      </c>
      <c r="F399" s="289" t="s">
        <v>61</v>
      </c>
      <c r="G399" s="85" t="s">
        <v>63</v>
      </c>
      <c r="H399" s="85" t="s">
        <v>73</v>
      </c>
      <c r="I399" s="237">
        <v>8043000</v>
      </c>
      <c r="J399" s="290">
        <v>1</v>
      </c>
      <c r="K399" s="291">
        <v>3230000</v>
      </c>
      <c r="L399" s="291"/>
      <c r="M399" s="292">
        <f t="shared" si="18"/>
        <v>11273000</v>
      </c>
      <c r="N399" s="85">
        <v>36506829</v>
      </c>
      <c r="O399" s="85" t="s">
        <v>7950</v>
      </c>
      <c r="P399" s="85" t="s">
        <v>7951</v>
      </c>
      <c r="Q399" s="293">
        <v>44965</v>
      </c>
      <c r="R399" s="293">
        <v>44965</v>
      </c>
      <c r="S399" s="293">
        <v>45084</v>
      </c>
      <c r="T399" s="293"/>
      <c r="U399" s="293"/>
      <c r="V399" s="293"/>
      <c r="W399" s="294">
        <v>45105</v>
      </c>
      <c r="X399" s="237">
        <v>9500000</v>
      </c>
      <c r="Y399" s="295">
        <f t="shared" si="19"/>
        <v>1773000</v>
      </c>
      <c r="Z399" s="296">
        <f t="shared" si="20"/>
        <v>0.84272154705934532</v>
      </c>
      <c r="AA399" s="85">
        <v>45507423</v>
      </c>
      <c r="AB399" s="85" t="s">
        <v>6911</v>
      </c>
      <c r="AC399" s="290" t="s">
        <v>196</v>
      </c>
      <c r="AD399" s="290" t="s">
        <v>196</v>
      </c>
      <c r="AE399" s="236"/>
      <c r="AF399" s="85" t="s">
        <v>7952</v>
      </c>
      <c r="AG399" s="290" t="s">
        <v>192</v>
      </c>
      <c r="AH399" s="290" t="s">
        <v>192</v>
      </c>
    </row>
    <row r="400" spans="1:34" s="297" customFormat="1" ht="15" customHeight="1" x14ac:dyDescent="0.25">
      <c r="A400" s="289">
        <v>891780111</v>
      </c>
      <c r="B400" s="289" t="s">
        <v>54</v>
      </c>
      <c r="C400" s="290" t="s">
        <v>56</v>
      </c>
      <c r="D400" s="289" t="s">
        <v>60</v>
      </c>
      <c r="E400" s="290" t="s">
        <v>7953</v>
      </c>
      <c r="F400" s="289" t="s">
        <v>61</v>
      </c>
      <c r="G400" s="85" t="s">
        <v>63</v>
      </c>
      <c r="H400" s="85" t="s">
        <v>73</v>
      </c>
      <c r="I400" s="237">
        <v>8043000</v>
      </c>
      <c r="J400" s="290">
        <v>1</v>
      </c>
      <c r="K400" s="291">
        <v>1457000</v>
      </c>
      <c r="L400" s="291"/>
      <c r="M400" s="292">
        <f t="shared" si="18"/>
        <v>9500000</v>
      </c>
      <c r="N400" s="85">
        <v>1082841112</v>
      </c>
      <c r="O400" s="85" t="s">
        <v>7954</v>
      </c>
      <c r="P400" s="85" t="s">
        <v>7955</v>
      </c>
      <c r="Q400" s="293">
        <v>44965</v>
      </c>
      <c r="R400" s="293">
        <v>44965</v>
      </c>
      <c r="S400" s="293">
        <v>45084</v>
      </c>
      <c r="T400" s="293"/>
      <c r="U400" s="293"/>
      <c r="V400" s="293"/>
      <c r="W400" s="294">
        <v>45107</v>
      </c>
      <c r="X400" s="237">
        <v>9500000</v>
      </c>
      <c r="Y400" s="295">
        <f t="shared" si="19"/>
        <v>0</v>
      </c>
      <c r="Z400" s="296">
        <f t="shared" si="20"/>
        <v>1</v>
      </c>
      <c r="AA400" s="85">
        <v>57297693</v>
      </c>
      <c r="AB400" s="85" t="s">
        <v>5446</v>
      </c>
      <c r="AC400" s="290" t="s">
        <v>196</v>
      </c>
      <c r="AD400" s="290" t="s">
        <v>196</v>
      </c>
      <c r="AE400" s="236"/>
      <c r="AF400" s="85" t="s">
        <v>7956</v>
      </c>
      <c r="AG400" s="290" t="s">
        <v>192</v>
      </c>
      <c r="AH400" s="290" t="s">
        <v>192</v>
      </c>
    </row>
    <row r="401" spans="1:34" s="297" customFormat="1" ht="15" customHeight="1" x14ac:dyDescent="0.25">
      <c r="A401" s="289">
        <v>891780111</v>
      </c>
      <c r="B401" s="289" t="s">
        <v>54</v>
      </c>
      <c r="C401" s="290" t="s">
        <v>56</v>
      </c>
      <c r="D401" s="289" t="s">
        <v>60</v>
      </c>
      <c r="E401" s="290" t="s">
        <v>7957</v>
      </c>
      <c r="F401" s="289" t="s">
        <v>61</v>
      </c>
      <c r="G401" s="85" t="s">
        <v>63</v>
      </c>
      <c r="H401" s="85" t="s">
        <v>73</v>
      </c>
      <c r="I401" s="237">
        <v>9313000</v>
      </c>
      <c r="J401" s="290"/>
      <c r="K401" s="291"/>
      <c r="L401" s="291"/>
      <c r="M401" s="292">
        <f t="shared" si="18"/>
        <v>9313000</v>
      </c>
      <c r="N401" s="85">
        <v>1026256729</v>
      </c>
      <c r="O401" s="85" t="s">
        <v>7958</v>
      </c>
      <c r="P401" s="85" t="s">
        <v>7959</v>
      </c>
      <c r="Q401" s="293">
        <v>44965</v>
      </c>
      <c r="R401" s="293">
        <v>44965</v>
      </c>
      <c r="S401" s="293">
        <v>45084</v>
      </c>
      <c r="T401" s="293"/>
      <c r="U401" s="293"/>
      <c r="V401" s="293"/>
      <c r="W401" s="294"/>
      <c r="X401" s="237">
        <v>9313000</v>
      </c>
      <c r="Y401" s="295">
        <f t="shared" si="19"/>
        <v>0</v>
      </c>
      <c r="Z401" s="296">
        <f t="shared" si="20"/>
        <v>1</v>
      </c>
      <c r="AA401" s="85">
        <v>57297693</v>
      </c>
      <c r="AB401" s="85" t="s">
        <v>5446</v>
      </c>
      <c r="AC401" s="290" t="s">
        <v>196</v>
      </c>
      <c r="AD401" s="290" t="s">
        <v>196</v>
      </c>
      <c r="AE401" s="236"/>
      <c r="AF401" s="85" t="s">
        <v>7960</v>
      </c>
      <c r="AG401" s="290" t="s">
        <v>192</v>
      </c>
      <c r="AH401" s="290" t="s">
        <v>192</v>
      </c>
    </row>
    <row r="402" spans="1:34" s="297" customFormat="1" ht="15" customHeight="1" x14ac:dyDescent="0.25">
      <c r="A402" s="289">
        <v>891780111</v>
      </c>
      <c r="B402" s="289" t="s">
        <v>54</v>
      </c>
      <c r="C402" s="290" t="s">
        <v>56</v>
      </c>
      <c r="D402" s="289" t="s">
        <v>60</v>
      </c>
      <c r="E402" s="290" t="s">
        <v>7961</v>
      </c>
      <c r="F402" s="289" t="s">
        <v>61</v>
      </c>
      <c r="G402" s="85" t="s">
        <v>63</v>
      </c>
      <c r="H402" s="85" t="s">
        <v>73</v>
      </c>
      <c r="I402" s="237">
        <v>10583000</v>
      </c>
      <c r="J402" s="290">
        <v>1</v>
      </c>
      <c r="K402" s="291">
        <v>1917000</v>
      </c>
      <c r="L402" s="291"/>
      <c r="M402" s="292">
        <f t="shared" si="18"/>
        <v>12500000</v>
      </c>
      <c r="N402" s="85">
        <v>1084789302</v>
      </c>
      <c r="O402" s="85" t="s">
        <v>7962</v>
      </c>
      <c r="P402" s="85" t="s">
        <v>7963</v>
      </c>
      <c r="Q402" s="293">
        <v>44965</v>
      </c>
      <c r="R402" s="293">
        <v>44965</v>
      </c>
      <c r="S402" s="293">
        <v>45084</v>
      </c>
      <c r="T402" s="293"/>
      <c r="U402" s="293"/>
      <c r="V402" s="293"/>
      <c r="W402" s="294">
        <v>45107</v>
      </c>
      <c r="X402" s="237">
        <v>12500000</v>
      </c>
      <c r="Y402" s="295">
        <f t="shared" si="19"/>
        <v>0</v>
      </c>
      <c r="Z402" s="296">
        <f t="shared" si="20"/>
        <v>1</v>
      </c>
      <c r="AA402" s="85">
        <v>72004252</v>
      </c>
      <c r="AB402" s="85" t="s">
        <v>6898</v>
      </c>
      <c r="AC402" s="290" t="s">
        <v>196</v>
      </c>
      <c r="AD402" s="290" t="s">
        <v>196</v>
      </c>
      <c r="AE402" s="236"/>
      <c r="AF402" s="85" t="s">
        <v>7964</v>
      </c>
      <c r="AG402" s="290" t="s">
        <v>192</v>
      </c>
      <c r="AH402" s="290" t="s">
        <v>192</v>
      </c>
    </row>
    <row r="403" spans="1:34" s="297" customFormat="1" ht="15" customHeight="1" x14ac:dyDescent="0.25">
      <c r="A403" s="289">
        <v>891780111</v>
      </c>
      <c r="B403" s="289" t="s">
        <v>54</v>
      </c>
      <c r="C403" s="290" t="s">
        <v>56</v>
      </c>
      <c r="D403" s="289" t="s">
        <v>60</v>
      </c>
      <c r="E403" s="290" t="s">
        <v>7965</v>
      </c>
      <c r="F403" s="289" t="s">
        <v>61</v>
      </c>
      <c r="G403" s="85" t="s">
        <v>63</v>
      </c>
      <c r="H403" s="85" t="s">
        <v>73</v>
      </c>
      <c r="I403" s="237">
        <v>9313000</v>
      </c>
      <c r="J403" s="290"/>
      <c r="K403" s="291"/>
      <c r="L403" s="291"/>
      <c r="M403" s="292">
        <f t="shared" si="18"/>
        <v>9313000</v>
      </c>
      <c r="N403" s="85">
        <v>36726740</v>
      </c>
      <c r="O403" s="85" t="s">
        <v>7966</v>
      </c>
      <c r="P403" s="85" t="s">
        <v>7967</v>
      </c>
      <c r="Q403" s="293">
        <v>44965</v>
      </c>
      <c r="R403" s="293">
        <v>44965</v>
      </c>
      <c r="S403" s="293">
        <v>45084</v>
      </c>
      <c r="T403" s="293"/>
      <c r="U403" s="293"/>
      <c r="V403" s="293"/>
      <c r="W403" s="294"/>
      <c r="X403" s="237">
        <v>9313000</v>
      </c>
      <c r="Y403" s="295">
        <f t="shared" si="19"/>
        <v>0</v>
      </c>
      <c r="Z403" s="296">
        <f t="shared" si="20"/>
        <v>1</v>
      </c>
      <c r="AA403" s="85">
        <v>36557666</v>
      </c>
      <c r="AB403" s="85" t="s">
        <v>6916</v>
      </c>
      <c r="AC403" s="290" t="s">
        <v>196</v>
      </c>
      <c r="AD403" s="290" t="s">
        <v>196</v>
      </c>
      <c r="AE403" s="236"/>
      <c r="AF403" s="85" t="s">
        <v>7968</v>
      </c>
      <c r="AG403" s="290" t="s">
        <v>192</v>
      </c>
      <c r="AH403" s="290" t="s">
        <v>192</v>
      </c>
    </row>
    <row r="404" spans="1:34" s="297" customFormat="1" ht="15" customHeight="1" x14ac:dyDescent="0.25">
      <c r="A404" s="289">
        <v>891780111</v>
      </c>
      <c r="B404" s="289" t="s">
        <v>54</v>
      </c>
      <c r="C404" s="290" t="s">
        <v>56</v>
      </c>
      <c r="D404" s="289" t="s">
        <v>60</v>
      </c>
      <c r="E404" s="290" t="s">
        <v>7969</v>
      </c>
      <c r="F404" s="289" t="s">
        <v>61</v>
      </c>
      <c r="G404" s="85" t="s">
        <v>63</v>
      </c>
      <c r="H404" s="85" t="s">
        <v>73</v>
      </c>
      <c r="I404" s="237">
        <v>9313000</v>
      </c>
      <c r="J404" s="290"/>
      <c r="K404" s="291"/>
      <c r="L404" s="291"/>
      <c r="M404" s="292">
        <f t="shared" si="18"/>
        <v>9313000</v>
      </c>
      <c r="N404" s="85">
        <v>85153365</v>
      </c>
      <c r="O404" s="85" t="s">
        <v>7970</v>
      </c>
      <c r="P404" s="85" t="s">
        <v>7971</v>
      </c>
      <c r="Q404" s="293">
        <v>44965</v>
      </c>
      <c r="R404" s="293">
        <v>44965</v>
      </c>
      <c r="S404" s="293">
        <v>45084</v>
      </c>
      <c r="T404" s="293"/>
      <c r="U404" s="293"/>
      <c r="V404" s="293"/>
      <c r="W404" s="294"/>
      <c r="X404" s="237">
        <v>9313000</v>
      </c>
      <c r="Y404" s="295">
        <f t="shared" si="19"/>
        <v>0</v>
      </c>
      <c r="Z404" s="296">
        <f t="shared" si="20"/>
        <v>1</v>
      </c>
      <c r="AA404" s="85">
        <v>85152695</v>
      </c>
      <c r="AB404" s="85" t="s">
        <v>6984</v>
      </c>
      <c r="AC404" s="290" t="s">
        <v>196</v>
      </c>
      <c r="AD404" s="290" t="s">
        <v>196</v>
      </c>
      <c r="AE404" s="236"/>
      <c r="AF404" s="85" t="s">
        <v>7972</v>
      </c>
      <c r="AG404" s="290" t="s">
        <v>192</v>
      </c>
      <c r="AH404" s="290" t="s">
        <v>192</v>
      </c>
    </row>
    <row r="405" spans="1:34" s="297" customFormat="1" ht="15" customHeight="1" x14ac:dyDescent="0.25">
      <c r="A405" s="289">
        <v>891780111</v>
      </c>
      <c r="B405" s="289" t="s">
        <v>54</v>
      </c>
      <c r="C405" s="290" t="s">
        <v>56</v>
      </c>
      <c r="D405" s="289" t="s">
        <v>60</v>
      </c>
      <c r="E405" s="290" t="s">
        <v>7973</v>
      </c>
      <c r="F405" s="289" t="s">
        <v>61</v>
      </c>
      <c r="G405" s="85" t="s">
        <v>63</v>
      </c>
      <c r="H405" s="85" t="s">
        <v>73</v>
      </c>
      <c r="I405" s="237">
        <v>8043000</v>
      </c>
      <c r="J405" s="290"/>
      <c r="K405" s="291"/>
      <c r="L405" s="291"/>
      <c r="M405" s="292">
        <f t="shared" si="18"/>
        <v>8043000</v>
      </c>
      <c r="N405" s="85">
        <v>36726128</v>
      </c>
      <c r="O405" s="85" t="s">
        <v>7974</v>
      </c>
      <c r="P405" s="85" t="s">
        <v>7975</v>
      </c>
      <c r="Q405" s="293">
        <v>44965</v>
      </c>
      <c r="R405" s="293">
        <v>44965</v>
      </c>
      <c r="S405" s="293">
        <v>45084</v>
      </c>
      <c r="T405" s="293"/>
      <c r="U405" s="293"/>
      <c r="V405" s="293"/>
      <c r="W405" s="294"/>
      <c r="X405" s="237">
        <v>8043000</v>
      </c>
      <c r="Y405" s="295">
        <f t="shared" si="19"/>
        <v>0</v>
      </c>
      <c r="Z405" s="296">
        <f t="shared" si="20"/>
        <v>1</v>
      </c>
      <c r="AA405" s="85">
        <v>7633817</v>
      </c>
      <c r="AB405" s="85" t="s">
        <v>5425</v>
      </c>
      <c r="AC405" s="290" t="s">
        <v>196</v>
      </c>
      <c r="AD405" s="290" t="s">
        <v>196</v>
      </c>
      <c r="AE405" s="236"/>
      <c r="AF405" s="85" t="s">
        <v>7976</v>
      </c>
      <c r="AG405" s="290" t="s">
        <v>192</v>
      </c>
      <c r="AH405" s="290" t="s">
        <v>192</v>
      </c>
    </row>
    <row r="406" spans="1:34" s="297" customFormat="1" ht="15" customHeight="1" x14ac:dyDescent="0.25">
      <c r="A406" s="289">
        <v>891780111</v>
      </c>
      <c r="B406" s="289" t="s">
        <v>54</v>
      </c>
      <c r="C406" s="290" t="s">
        <v>56</v>
      </c>
      <c r="D406" s="289" t="s">
        <v>60</v>
      </c>
      <c r="E406" s="290" t="s">
        <v>7977</v>
      </c>
      <c r="F406" s="289" t="s">
        <v>61</v>
      </c>
      <c r="G406" s="85" t="s">
        <v>63</v>
      </c>
      <c r="H406" s="85" t="s">
        <v>73</v>
      </c>
      <c r="I406" s="237">
        <v>8043000</v>
      </c>
      <c r="J406" s="290"/>
      <c r="K406" s="291"/>
      <c r="L406" s="291"/>
      <c r="M406" s="292">
        <f t="shared" si="18"/>
        <v>8043000</v>
      </c>
      <c r="N406" s="85">
        <v>1082875088</v>
      </c>
      <c r="O406" s="85" t="s">
        <v>7978</v>
      </c>
      <c r="P406" s="85" t="s">
        <v>7979</v>
      </c>
      <c r="Q406" s="293">
        <v>44965</v>
      </c>
      <c r="R406" s="293">
        <v>44965</v>
      </c>
      <c r="S406" s="293">
        <v>45084</v>
      </c>
      <c r="T406" s="293"/>
      <c r="U406" s="293"/>
      <c r="V406" s="293"/>
      <c r="W406" s="294"/>
      <c r="X406" s="237">
        <v>8043000</v>
      </c>
      <c r="Y406" s="295">
        <f t="shared" si="19"/>
        <v>0</v>
      </c>
      <c r="Z406" s="296">
        <f t="shared" si="20"/>
        <v>1</v>
      </c>
      <c r="AA406" s="85">
        <v>57297693</v>
      </c>
      <c r="AB406" s="85" t="s">
        <v>5446</v>
      </c>
      <c r="AC406" s="290" t="s">
        <v>196</v>
      </c>
      <c r="AD406" s="290" t="s">
        <v>196</v>
      </c>
      <c r="AE406" s="236"/>
      <c r="AF406" s="85" t="s">
        <v>7980</v>
      </c>
      <c r="AG406" s="290" t="s">
        <v>192</v>
      </c>
      <c r="AH406" s="290" t="s">
        <v>192</v>
      </c>
    </row>
    <row r="407" spans="1:34" s="297" customFormat="1" ht="15" customHeight="1" x14ac:dyDescent="0.25">
      <c r="A407" s="289">
        <v>891780111</v>
      </c>
      <c r="B407" s="289" t="s">
        <v>54</v>
      </c>
      <c r="C407" s="290" t="s">
        <v>56</v>
      </c>
      <c r="D407" s="289" t="s">
        <v>60</v>
      </c>
      <c r="E407" s="290" t="s">
        <v>7981</v>
      </c>
      <c r="F407" s="289" t="s">
        <v>61</v>
      </c>
      <c r="G407" s="85" t="s">
        <v>63</v>
      </c>
      <c r="H407" s="85" t="s">
        <v>73</v>
      </c>
      <c r="I407" s="237">
        <v>8043000</v>
      </c>
      <c r="J407" s="290"/>
      <c r="K407" s="291"/>
      <c r="L407" s="291"/>
      <c r="M407" s="292">
        <f t="shared" si="18"/>
        <v>8043000</v>
      </c>
      <c r="N407" s="85">
        <v>57465377</v>
      </c>
      <c r="O407" s="85" t="s">
        <v>7982</v>
      </c>
      <c r="P407" s="85" t="s">
        <v>7983</v>
      </c>
      <c r="Q407" s="293">
        <v>44965</v>
      </c>
      <c r="R407" s="293">
        <v>44965</v>
      </c>
      <c r="S407" s="293">
        <v>45084</v>
      </c>
      <c r="T407" s="293"/>
      <c r="U407" s="293"/>
      <c r="V407" s="293"/>
      <c r="W407" s="294"/>
      <c r="X407" s="237">
        <v>8043000</v>
      </c>
      <c r="Y407" s="295">
        <f t="shared" si="19"/>
        <v>0</v>
      </c>
      <c r="Z407" s="296">
        <f t="shared" si="20"/>
        <v>1</v>
      </c>
      <c r="AA407" s="85">
        <v>36726018</v>
      </c>
      <c r="AB407" s="85" t="s">
        <v>7466</v>
      </c>
      <c r="AC407" s="290" t="s">
        <v>196</v>
      </c>
      <c r="AD407" s="290" t="s">
        <v>196</v>
      </c>
      <c r="AE407" s="236"/>
      <c r="AF407" s="85" t="s">
        <v>7984</v>
      </c>
      <c r="AG407" s="290" t="s">
        <v>192</v>
      </c>
      <c r="AH407" s="290" t="s">
        <v>192</v>
      </c>
    </row>
    <row r="408" spans="1:34" s="297" customFormat="1" ht="15" customHeight="1" x14ac:dyDescent="0.25">
      <c r="A408" s="289">
        <v>891780111</v>
      </c>
      <c r="B408" s="289" t="s">
        <v>54</v>
      </c>
      <c r="C408" s="290" t="s">
        <v>56</v>
      </c>
      <c r="D408" s="289" t="s">
        <v>60</v>
      </c>
      <c r="E408" s="290" t="s">
        <v>7985</v>
      </c>
      <c r="F408" s="289" t="s">
        <v>61</v>
      </c>
      <c r="G408" s="85" t="s">
        <v>63</v>
      </c>
      <c r="H408" s="85" t="s">
        <v>73</v>
      </c>
      <c r="I408" s="237">
        <v>8043000</v>
      </c>
      <c r="J408" s="290"/>
      <c r="K408" s="291"/>
      <c r="L408" s="291"/>
      <c r="M408" s="292">
        <f t="shared" si="18"/>
        <v>8043000</v>
      </c>
      <c r="N408" s="85">
        <v>1083040617</v>
      </c>
      <c r="O408" s="85" t="s">
        <v>7986</v>
      </c>
      <c r="P408" s="85" t="s">
        <v>7987</v>
      </c>
      <c r="Q408" s="293">
        <v>44965</v>
      </c>
      <c r="R408" s="293">
        <v>44965</v>
      </c>
      <c r="S408" s="293">
        <v>45084</v>
      </c>
      <c r="T408" s="293"/>
      <c r="U408" s="293"/>
      <c r="V408" s="293"/>
      <c r="W408" s="294"/>
      <c r="X408" s="237">
        <v>8043000</v>
      </c>
      <c r="Y408" s="295">
        <f t="shared" si="19"/>
        <v>0</v>
      </c>
      <c r="Z408" s="296">
        <f t="shared" si="20"/>
        <v>1</v>
      </c>
      <c r="AA408" s="85">
        <v>57297693</v>
      </c>
      <c r="AB408" s="85" t="s">
        <v>5446</v>
      </c>
      <c r="AC408" s="290" t="s">
        <v>196</v>
      </c>
      <c r="AD408" s="290" t="s">
        <v>196</v>
      </c>
      <c r="AE408" s="236"/>
      <c r="AF408" s="85" t="s">
        <v>7988</v>
      </c>
      <c r="AG408" s="290" t="s">
        <v>192</v>
      </c>
      <c r="AH408" s="290" t="s">
        <v>192</v>
      </c>
    </row>
    <row r="409" spans="1:34" s="297" customFormat="1" ht="15" customHeight="1" x14ac:dyDescent="0.25">
      <c r="A409" s="289">
        <v>891780111</v>
      </c>
      <c r="B409" s="289" t="s">
        <v>54</v>
      </c>
      <c r="C409" s="290" t="s">
        <v>56</v>
      </c>
      <c r="D409" s="289" t="s">
        <v>60</v>
      </c>
      <c r="E409" s="290" t="s">
        <v>7989</v>
      </c>
      <c r="F409" s="289" t="s">
        <v>61</v>
      </c>
      <c r="G409" s="85" t="s">
        <v>63</v>
      </c>
      <c r="H409" s="85" t="s">
        <v>73</v>
      </c>
      <c r="I409" s="237">
        <v>11853000</v>
      </c>
      <c r="J409" s="290"/>
      <c r="K409" s="291"/>
      <c r="L409" s="291"/>
      <c r="M409" s="292">
        <f t="shared" si="18"/>
        <v>11853000</v>
      </c>
      <c r="N409" s="85">
        <v>1082921312</v>
      </c>
      <c r="O409" s="85" t="s">
        <v>7990</v>
      </c>
      <c r="P409" s="85" t="s">
        <v>7991</v>
      </c>
      <c r="Q409" s="293">
        <v>44965</v>
      </c>
      <c r="R409" s="293">
        <v>44965</v>
      </c>
      <c r="S409" s="293">
        <v>45084</v>
      </c>
      <c r="T409" s="293"/>
      <c r="U409" s="293"/>
      <c r="V409" s="293"/>
      <c r="W409" s="294"/>
      <c r="X409" s="237">
        <v>11853000</v>
      </c>
      <c r="Y409" s="295">
        <f t="shared" si="19"/>
        <v>0</v>
      </c>
      <c r="Z409" s="296">
        <f t="shared" si="20"/>
        <v>1</v>
      </c>
      <c r="AA409" s="85">
        <v>36557666</v>
      </c>
      <c r="AB409" s="85" t="s">
        <v>6916</v>
      </c>
      <c r="AC409" s="290" t="s">
        <v>196</v>
      </c>
      <c r="AD409" s="290" t="s">
        <v>196</v>
      </c>
      <c r="AE409" s="236"/>
      <c r="AF409" s="85" t="s">
        <v>7992</v>
      </c>
      <c r="AG409" s="290" t="s">
        <v>192</v>
      </c>
      <c r="AH409" s="290" t="s">
        <v>192</v>
      </c>
    </row>
    <row r="410" spans="1:34" s="297" customFormat="1" ht="15" customHeight="1" x14ac:dyDescent="0.25">
      <c r="A410" s="289">
        <v>891780111</v>
      </c>
      <c r="B410" s="289" t="s">
        <v>54</v>
      </c>
      <c r="C410" s="290" t="s">
        <v>56</v>
      </c>
      <c r="D410" s="289" t="s">
        <v>60</v>
      </c>
      <c r="E410" s="290" t="s">
        <v>7993</v>
      </c>
      <c r="F410" s="289" t="s">
        <v>61</v>
      </c>
      <c r="G410" s="85" t="s">
        <v>63</v>
      </c>
      <c r="H410" s="85" t="s">
        <v>73</v>
      </c>
      <c r="I410" s="237">
        <v>11040000</v>
      </c>
      <c r="J410" s="290"/>
      <c r="K410" s="291"/>
      <c r="L410" s="291"/>
      <c r="M410" s="292">
        <f t="shared" si="18"/>
        <v>11040000</v>
      </c>
      <c r="N410" s="85">
        <v>39046211</v>
      </c>
      <c r="O410" s="85" t="s">
        <v>7994</v>
      </c>
      <c r="P410" s="85" t="s">
        <v>7995</v>
      </c>
      <c r="Q410" s="293">
        <v>44965</v>
      </c>
      <c r="R410" s="293">
        <v>44965</v>
      </c>
      <c r="S410" s="293">
        <v>45084</v>
      </c>
      <c r="T410" s="293"/>
      <c r="U410" s="293"/>
      <c r="V410" s="293"/>
      <c r="W410" s="294"/>
      <c r="X410" s="237">
        <v>11040000</v>
      </c>
      <c r="Y410" s="295">
        <f t="shared" si="19"/>
        <v>0</v>
      </c>
      <c r="Z410" s="296">
        <f t="shared" si="20"/>
        <v>1</v>
      </c>
      <c r="AA410" s="85">
        <v>57461216</v>
      </c>
      <c r="AB410" s="85" t="s">
        <v>6512</v>
      </c>
      <c r="AC410" s="290" t="s">
        <v>196</v>
      </c>
      <c r="AD410" s="290" t="s">
        <v>196</v>
      </c>
      <c r="AE410" s="236"/>
      <c r="AF410" s="85" t="s">
        <v>7996</v>
      </c>
      <c r="AG410" s="290" t="s">
        <v>192</v>
      </c>
      <c r="AH410" s="290" t="s">
        <v>192</v>
      </c>
    </row>
    <row r="411" spans="1:34" s="297" customFormat="1" ht="15" customHeight="1" x14ac:dyDescent="0.25">
      <c r="A411" s="289">
        <v>891780111</v>
      </c>
      <c r="B411" s="289" t="s">
        <v>54</v>
      </c>
      <c r="C411" s="290" t="s">
        <v>56</v>
      </c>
      <c r="D411" s="289" t="s">
        <v>60</v>
      </c>
      <c r="E411" s="290" t="s">
        <v>7997</v>
      </c>
      <c r="F411" s="289" t="s">
        <v>61</v>
      </c>
      <c r="G411" s="85" t="s">
        <v>63</v>
      </c>
      <c r="H411" s="85" t="s">
        <v>73</v>
      </c>
      <c r="I411" s="237">
        <v>11853000</v>
      </c>
      <c r="J411" s="290"/>
      <c r="K411" s="291"/>
      <c r="L411" s="291"/>
      <c r="M411" s="292">
        <f t="shared" si="18"/>
        <v>11853000</v>
      </c>
      <c r="N411" s="85">
        <v>1082854051</v>
      </c>
      <c r="O411" s="85" t="s">
        <v>2362</v>
      </c>
      <c r="P411" s="85" t="s">
        <v>7998</v>
      </c>
      <c r="Q411" s="293">
        <v>44966</v>
      </c>
      <c r="R411" s="293">
        <v>44966</v>
      </c>
      <c r="S411" s="293">
        <v>45084</v>
      </c>
      <c r="T411" s="293"/>
      <c r="U411" s="293"/>
      <c r="V411" s="293"/>
      <c r="W411" s="294"/>
      <c r="X411" s="237">
        <v>11853000</v>
      </c>
      <c r="Y411" s="295">
        <f t="shared" si="19"/>
        <v>0</v>
      </c>
      <c r="Z411" s="296">
        <f t="shared" si="20"/>
        <v>1</v>
      </c>
      <c r="AA411" s="85">
        <v>30766322</v>
      </c>
      <c r="AB411" s="85" t="s">
        <v>7598</v>
      </c>
      <c r="AC411" s="290" t="s">
        <v>196</v>
      </c>
      <c r="AD411" s="290" t="s">
        <v>196</v>
      </c>
      <c r="AE411" s="236"/>
      <c r="AF411" s="85" t="s">
        <v>7999</v>
      </c>
      <c r="AG411" s="290" t="s">
        <v>192</v>
      </c>
      <c r="AH411" s="290" t="s">
        <v>192</v>
      </c>
    </row>
    <row r="412" spans="1:34" s="297" customFormat="1" ht="15" customHeight="1" x14ac:dyDescent="0.25">
      <c r="A412" s="289">
        <v>891780111</v>
      </c>
      <c r="B412" s="289" t="s">
        <v>54</v>
      </c>
      <c r="C412" s="290" t="s">
        <v>56</v>
      </c>
      <c r="D412" s="289" t="s">
        <v>60</v>
      </c>
      <c r="E412" s="290" t="s">
        <v>8000</v>
      </c>
      <c r="F412" s="289" t="s">
        <v>61</v>
      </c>
      <c r="G412" s="85" t="s">
        <v>63</v>
      </c>
      <c r="H412" s="85" t="s">
        <v>73</v>
      </c>
      <c r="I412" s="237">
        <v>8800000</v>
      </c>
      <c r="J412" s="290">
        <v>1</v>
      </c>
      <c r="K412" s="291">
        <v>1687000</v>
      </c>
      <c r="L412" s="291"/>
      <c r="M412" s="292">
        <f t="shared" si="18"/>
        <v>10487000</v>
      </c>
      <c r="N412" s="85">
        <v>85467592</v>
      </c>
      <c r="O412" s="85" t="s">
        <v>8001</v>
      </c>
      <c r="P412" s="85" t="s">
        <v>8002</v>
      </c>
      <c r="Q412" s="293">
        <v>44966</v>
      </c>
      <c r="R412" s="293">
        <v>44966</v>
      </c>
      <c r="S412" s="293">
        <v>45084</v>
      </c>
      <c r="T412" s="293"/>
      <c r="U412" s="293"/>
      <c r="V412" s="293"/>
      <c r="W412" s="294">
        <v>45107</v>
      </c>
      <c r="X412" s="237">
        <v>10487000</v>
      </c>
      <c r="Y412" s="295">
        <f t="shared" si="19"/>
        <v>0</v>
      </c>
      <c r="Z412" s="296">
        <f t="shared" si="20"/>
        <v>1</v>
      </c>
      <c r="AA412" s="85">
        <v>57297693</v>
      </c>
      <c r="AB412" s="85" t="s">
        <v>5446</v>
      </c>
      <c r="AC412" s="290" t="s">
        <v>196</v>
      </c>
      <c r="AD412" s="290" t="s">
        <v>196</v>
      </c>
      <c r="AE412" s="236"/>
      <c r="AF412" s="85" t="s">
        <v>8003</v>
      </c>
      <c r="AG412" s="290" t="s">
        <v>192</v>
      </c>
      <c r="AH412" s="290" t="s">
        <v>192</v>
      </c>
    </row>
    <row r="413" spans="1:34" s="297" customFormat="1" ht="15" customHeight="1" x14ac:dyDescent="0.25">
      <c r="A413" s="289">
        <v>891780111</v>
      </c>
      <c r="B413" s="289" t="s">
        <v>54</v>
      </c>
      <c r="C413" s="290" t="s">
        <v>56</v>
      </c>
      <c r="D413" s="289" t="s">
        <v>60</v>
      </c>
      <c r="E413" s="290" t="s">
        <v>8004</v>
      </c>
      <c r="F413" s="289" t="s">
        <v>61</v>
      </c>
      <c r="G413" s="85" t="s">
        <v>63</v>
      </c>
      <c r="H413" s="85" t="s">
        <v>73</v>
      </c>
      <c r="I413" s="237">
        <v>8043000</v>
      </c>
      <c r="J413" s="290"/>
      <c r="K413" s="291"/>
      <c r="L413" s="291"/>
      <c r="M413" s="292">
        <f t="shared" si="18"/>
        <v>8043000</v>
      </c>
      <c r="N413" s="85">
        <v>1082915107</v>
      </c>
      <c r="O413" s="85" t="s">
        <v>8005</v>
      </c>
      <c r="P413" s="85" t="s">
        <v>8006</v>
      </c>
      <c r="Q413" s="293">
        <v>44966</v>
      </c>
      <c r="R413" s="293">
        <v>44966</v>
      </c>
      <c r="S413" s="293">
        <v>45084</v>
      </c>
      <c r="T413" s="293"/>
      <c r="U413" s="293"/>
      <c r="V413" s="293"/>
      <c r="W413" s="294"/>
      <c r="X413" s="237">
        <v>8043000</v>
      </c>
      <c r="Y413" s="295">
        <f t="shared" si="19"/>
        <v>0</v>
      </c>
      <c r="Z413" s="296">
        <f t="shared" si="20"/>
        <v>1</v>
      </c>
      <c r="AA413" s="85">
        <v>30766322</v>
      </c>
      <c r="AB413" s="85" t="s">
        <v>7598</v>
      </c>
      <c r="AC413" s="290" t="s">
        <v>196</v>
      </c>
      <c r="AD413" s="290" t="s">
        <v>196</v>
      </c>
      <c r="AE413" s="236"/>
      <c r="AF413" s="85" t="s">
        <v>8007</v>
      </c>
      <c r="AG413" s="290" t="s">
        <v>192</v>
      </c>
      <c r="AH413" s="290" t="s">
        <v>192</v>
      </c>
    </row>
    <row r="414" spans="1:34" s="297" customFormat="1" ht="15" customHeight="1" x14ac:dyDescent="0.25">
      <c r="A414" s="289">
        <v>891780111</v>
      </c>
      <c r="B414" s="289" t="s">
        <v>54</v>
      </c>
      <c r="C414" s="290" t="s">
        <v>56</v>
      </c>
      <c r="D414" s="289" t="s">
        <v>60</v>
      </c>
      <c r="E414" s="290" t="s">
        <v>8008</v>
      </c>
      <c r="F414" s="289" t="s">
        <v>61</v>
      </c>
      <c r="G414" s="85" t="s">
        <v>63</v>
      </c>
      <c r="H414" s="85" t="s">
        <v>73</v>
      </c>
      <c r="I414" s="237">
        <v>8800000</v>
      </c>
      <c r="J414" s="290"/>
      <c r="K414" s="291"/>
      <c r="L414" s="291"/>
      <c r="M414" s="292">
        <f t="shared" si="18"/>
        <v>8800000</v>
      </c>
      <c r="N414" s="85">
        <v>1082901903</v>
      </c>
      <c r="O414" s="85" t="s">
        <v>8009</v>
      </c>
      <c r="P414" s="85" t="s">
        <v>7576</v>
      </c>
      <c r="Q414" s="293">
        <v>44966</v>
      </c>
      <c r="R414" s="293">
        <v>44966</v>
      </c>
      <c r="S414" s="293">
        <v>45084</v>
      </c>
      <c r="T414" s="293"/>
      <c r="U414" s="293"/>
      <c r="V414" s="293"/>
      <c r="W414" s="294"/>
      <c r="X414" s="237">
        <v>8800000</v>
      </c>
      <c r="Y414" s="295">
        <f t="shared" si="19"/>
        <v>0</v>
      </c>
      <c r="Z414" s="296">
        <f t="shared" si="20"/>
        <v>1</v>
      </c>
      <c r="AA414" s="85">
        <v>57297693</v>
      </c>
      <c r="AB414" s="85" t="s">
        <v>5446</v>
      </c>
      <c r="AC414" s="290" t="s">
        <v>196</v>
      </c>
      <c r="AD414" s="290" t="s">
        <v>196</v>
      </c>
      <c r="AE414" s="236"/>
      <c r="AF414" s="85" t="s">
        <v>8010</v>
      </c>
      <c r="AG414" s="290" t="s">
        <v>192</v>
      </c>
      <c r="AH414" s="290" t="s">
        <v>192</v>
      </c>
    </row>
    <row r="415" spans="1:34" s="297" customFormat="1" ht="15" customHeight="1" x14ac:dyDescent="0.25">
      <c r="A415" s="289">
        <v>891780111</v>
      </c>
      <c r="B415" s="289" t="s">
        <v>54</v>
      </c>
      <c r="C415" s="290" t="s">
        <v>56</v>
      </c>
      <c r="D415" s="289" t="s">
        <v>60</v>
      </c>
      <c r="E415" s="290" t="s">
        <v>8011</v>
      </c>
      <c r="F415" s="289" t="s">
        <v>61</v>
      </c>
      <c r="G415" s="85" t="s">
        <v>63</v>
      </c>
      <c r="H415" s="85" t="s">
        <v>73</v>
      </c>
      <c r="I415" s="237">
        <v>9313000</v>
      </c>
      <c r="J415" s="290"/>
      <c r="K415" s="291"/>
      <c r="L415" s="291"/>
      <c r="M415" s="292">
        <f t="shared" si="18"/>
        <v>9313000</v>
      </c>
      <c r="N415" s="85">
        <v>1235240254</v>
      </c>
      <c r="O415" s="85" t="s">
        <v>8012</v>
      </c>
      <c r="P415" s="85" t="s">
        <v>8013</v>
      </c>
      <c r="Q415" s="293">
        <v>44966</v>
      </c>
      <c r="R415" s="293">
        <v>44966</v>
      </c>
      <c r="S415" s="293">
        <v>45084</v>
      </c>
      <c r="T415" s="293"/>
      <c r="U415" s="293"/>
      <c r="V415" s="293"/>
      <c r="W415" s="294"/>
      <c r="X415" s="237">
        <v>9313000</v>
      </c>
      <c r="Y415" s="295">
        <f t="shared" si="19"/>
        <v>0</v>
      </c>
      <c r="Z415" s="296">
        <f t="shared" si="20"/>
        <v>1</v>
      </c>
      <c r="AA415" s="85">
        <v>85152695</v>
      </c>
      <c r="AB415" s="85" t="s">
        <v>6984</v>
      </c>
      <c r="AC415" s="290" t="s">
        <v>196</v>
      </c>
      <c r="AD415" s="290" t="s">
        <v>196</v>
      </c>
      <c r="AE415" s="236"/>
      <c r="AF415" s="85" t="s">
        <v>8014</v>
      </c>
      <c r="AG415" s="290" t="s">
        <v>192</v>
      </c>
      <c r="AH415" s="290" t="s">
        <v>192</v>
      </c>
    </row>
    <row r="416" spans="1:34" s="297" customFormat="1" ht="15" customHeight="1" x14ac:dyDescent="0.25">
      <c r="A416" s="289">
        <v>891780111</v>
      </c>
      <c r="B416" s="289" t="s">
        <v>54</v>
      </c>
      <c r="C416" s="290" t="s">
        <v>57</v>
      </c>
      <c r="D416" s="289" t="s">
        <v>60</v>
      </c>
      <c r="E416" s="290" t="s">
        <v>8015</v>
      </c>
      <c r="F416" s="289" t="s">
        <v>61</v>
      </c>
      <c r="G416" s="85" t="s">
        <v>63</v>
      </c>
      <c r="H416" s="85" t="s">
        <v>73</v>
      </c>
      <c r="I416" s="237">
        <v>8890000</v>
      </c>
      <c r="J416" s="290">
        <v>1</v>
      </c>
      <c r="K416" s="291">
        <v>1610000</v>
      </c>
      <c r="L416" s="291"/>
      <c r="M416" s="292">
        <f t="shared" si="18"/>
        <v>10500000</v>
      </c>
      <c r="N416" s="85">
        <v>85155135</v>
      </c>
      <c r="O416" s="85" t="s">
        <v>8016</v>
      </c>
      <c r="P416" s="85" t="s">
        <v>8017</v>
      </c>
      <c r="Q416" s="293">
        <v>44966</v>
      </c>
      <c r="R416" s="293">
        <v>44966</v>
      </c>
      <c r="S416" s="293">
        <v>45084</v>
      </c>
      <c r="T416" s="293"/>
      <c r="U416" s="293"/>
      <c r="V416" s="293"/>
      <c r="W416" s="294">
        <v>45107</v>
      </c>
      <c r="X416" s="237">
        <v>10500000</v>
      </c>
      <c r="Y416" s="295">
        <f t="shared" si="19"/>
        <v>0</v>
      </c>
      <c r="Z416" s="296">
        <f t="shared" si="20"/>
        <v>1</v>
      </c>
      <c r="AA416" s="85">
        <v>36726018</v>
      </c>
      <c r="AB416" s="85" t="s">
        <v>7466</v>
      </c>
      <c r="AC416" s="290" t="s">
        <v>196</v>
      </c>
      <c r="AD416" s="290" t="s">
        <v>196</v>
      </c>
      <c r="AE416" s="236"/>
      <c r="AF416" s="85" t="s">
        <v>8018</v>
      </c>
      <c r="AG416" s="290" t="s">
        <v>192</v>
      </c>
      <c r="AH416" s="290" t="s">
        <v>192</v>
      </c>
    </row>
    <row r="417" spans="1:34" s="297" customFormat="1" ht="15" customHeight="1" x14ac:dyDescent="0.25">
      <c r="A417" s="289">
        <v>891780111</v>
      </c>
      <c r="B417" s="289" t="s">
        <v>54</v>
      </c>
      <c r="C417" s="290" t="s">
        <v>56</v>
      </c>
      <c r="D417" s="289" t="s">
        <v>60</v>
      </c>
      <c r="E417" s="290" t="s">
        <v>8019</v>
      </c>
      <c r="F417" s="289" t="s">
        <v>61</v>
      </c>
      <c r="G417" s="85" t="s">
        <v>63</v>
      </c>
      <c r="H417" s="85" t="s">
        <v>73</v>
      </c>
      <c r="I417" s="237">
        <v>13827000</v>
      </c>
      <c r="J417" s="290"/>
      <c r="K417" s="291"/>
      <c r="L417" s="291"/>
      <c r="M417" s="292">
        <f t="shared" si="18"/>
        <v>13827000</v>
      </c>
      <c r="N417" s="85">
        <v>1085038618</v>
      </c>
      <c r="O417" s="85" t="s">
        <v>8020</v>
      </c>
      <c r="P417" s="85" t="s">
        <v>8021</v>
      </c>
      <c r="Q417" s="293">
        <v>44966</v>
      </c>
      <c r="R417" s="293">
        <v>44966</v>
      </c>
      <c r="S417" s="293">
        <v>45084</v>
      </c>
      <c r="T417" s="293"/>
      <c r="U417" s="293"/>
      <c r="V417" s="293"/>
      <c r="W417" s="294"/>
      <c r="X417" s="237">
        <v>13827000</v>
      </c>
      <c r="Y417" s="295">
        <f t="shared" si="19"/>
        <v>0</v>
      </c>
      <c r="Z417" s="296">
        <f t="shared" si="20"/>
        <v>1</v>
      </c>
      <c r="AA417" s="85">
        <v>36718996</v>
      </c>
      <c r="AB417" s="85" t="s">
        <v>6686</v>
      </c>
      <c r="AC417" s="290" t="s">
        <v>196</v>
      </c>
      <c r="AD417" s="290" t="s">
        <v>196</v>
      </c>
      <c r="AE417" s="236"/>
      <c r="AF417" s="85" t="s">
        <v>8022</v>
      </c>
      <c r="AG417" s="290" t="s">
        <v>192</v>
      </c>
      <c r="AH417" s="290" t="s">
        <v>192</v>
      </c>
    </row>
    <row r="418" spans="1:34" s="297" customFormat="1" ht="15" customHeight="1" x14ac:dyDescent="0.25">
      <c r="A418" s="289">
        <v>891780111</v>
      </c>
      <c r="B418" s="289" t="s">
        <v>54</v>
      </c>
      <c r="C418" s="290" t="s">
        <v>56</v>
      </c>
      <c r="D418" s="289" t="s">
        <v>60</v>
      </c>
      <c r="E418" s="290" t="s">
        <v>8023</v>
      </c>
      <c r="F418" s="289" t="s">
        <v>61</v>
      </c>
      <c r="G418" s="85" t="s">
        <v>63</v>
      </c>
      <c r="H418" s="85" t="s">
        <v>73</v>
      </c>
      <c r="I418" s="237">
        <v>11853000</v>
      </c>
      <c r="J418" s="290"/>
      <c r="K418" s="291"/>
      <c r="L418" s="291"/>
      <c r="M418" s="292">
        <f t="shared" si="18"/>
        <v>11853000</v>
      </c>
      <c r="N418" s="85">
        <v>1082953501</v>
      </c>
      <c r="O418" s="85" t="s">
        <v>8024</v>
      </c>
      <c r="P418" s="85" t="s">
        <v>8025</v>
      </c>
      <c r="Q418" s="293">
        <v>44966</v>
      </c>
      <c r="R418" s="293">
        <v>44966</v>
      </c>
      <c r="S418" s="293">
        <v>45084</v>
      </c>
      <c r="T418" s="293"/>
      <c r="U418" s="293"/>
      <c r="V418" s="293"/>
      <c r="W418" s="294"/>
      <c r="X418" s="237">
        <v>11853000</v>
      </c>
      <c r="Y418" s="295">
        <f t="shared" si="19"/>
        <v>0</v>
      </c>
      <c r="Z418" s="296">
        <f t="shared" si="20"/>
        <v>1</v>
      </c>
      <c r="AA418" s="85">
        <v>30766322</v>
      </c>
      <c r="AB418" s="85" t="s">
        <v>7598</v>
      </c>
      <c r="AC418" s="290" t="s">
        <v>196</v>
      </c>
      <c r="AD418" s="290" t="s">
        <v>196</v>
      </c>
      <c r="AE418" s="236"/>
      <c r="AF418" s="85" t="s">
        <v>8026</v>
      </c>
      <c r="AG418" s="290" t="s">
        <v>192</v>
      </c>
      <c r="AH418" s="290" t="s">
        <v>192</v>
      </c>
    </row>
    <row r="419" spans="1:34" s="297" customFormat="1" ht="15" customHeight="1" x14ac:dyDescent="0.25">
      <c r="A419" s="289">
        <v>891780111</v>
      </c>
      <c r="B419" s="289" t="s">
        <v>54</v>
      </c>
      <c r="C419" s="290" t="s">
        <v>56</v>
      </c>
      <c r="D419" s="289" t="s">
        <v>60</v>
      </c>
      <c r="E419" s="290" t="s">
        <v>8027</v>
      </c>
      <c r="F419" s="289" t="s">
        <v>61</v>
      </c>
      <c r="G419" s="85" t="s">
        <v>63</v>
      </c>
      <c r="H419" s="85" t="s">
        <v>73</v>
      </c>
      <c r="I419" s="237">
        <v>7600000</v>
      </c>
      <c r="J419" s="290"/>
      <c r="K419" s="291"/>
      <c r="L419" s="291"/>
      <c r="M419" s="292">
        <f t="shared" si="18"/>
        <v>7600000</v>
      </c>
      <c r="N419" s="85">
        <v>1082989145</v>
      </c>
      <c r="O419" s="85" t="s">
        <v>8028</v>
      </c>
      <c r="P419" s="85" t="s">
        <v>8029</v>
      </c>
      <c r="Q419" s="293">
        <v>44966</v>
      </c>
      <c r="R419" s="293">
        <v>44966</v>
      </c>
      <c r="S419" s="293">
        <v>45084</v>
      </c>
      <c r="T419" s="293"/>
      <c r="U419" s="293"/>
      <c r="V419" s="293"/>
      <c r="W419" s="294"/>
      <c r="X419" s="237">
        <v>7600000</v>
      </c>
      <c r="Y419" s="295">
        <f t="shared" si="19"/>
        <v>0</v>
      </c>
      <c r="Z419" s="296">
        <f t="shared" si="20"/>
        <v>1</v>
      </c>
      <c r="AA419" s="85">
        <v>85459497</v>
      </c>
      <c r="AB419" s="85" t="s">
        <v>4837</v>
      </c>
      <c r="AC419" s="290" t="s">
        <v>196</v>
      </c>
      <c r="AD419" s="290" t="s">
        <v>196</v>
      </c>
      <c r="AE419" s="236"/>
      <c r="AF419" s="85" t="s">
        <v>8030</v>
      </c>
      <c r="AG419" s="290" t="s">
        <v>192</v>
      </c>
      <c r="AH419" s="290" t="s">
        <v>192</v>
      </c>
    </row>
    <row r="420" spans="1:34" s="297" customFormat="1" ht="15" customHeight="1" x14ac:dyDescent="0.25">
      <c r="A420" s="289">
        <v>891780111</v>
      </c>
      <c r="B420" s="289" t="s">
        <v>54</v>
      </c>
      <c r="C420" s="290" t="s">
        <v>56</v>
      </c>
      <c r="D420" s="289" t="s">
        <v>60</v>
      </c>
      <c r="E420" s="290" t="s">
        <v>8031</v>
      </c>
      <c r="F420" s="289" t="s">
        <v>61</v>
      </c>
      <c r="G420" s="85" t="s">
        <v>63</v>
      </c>
      <c r="H420" s="85" t="s">
        <v>73</v>
      </c>
      <c r="I420" s="237">
        <v>11853000</v>
      </c>
      <c r="J420" s="290"/>
      <c r="K420" s="291"/>
      <c r="L420" s="291"/>
      <c r="M420" s="292">
        <f t="shared" si="18"/>
        <v>11853000</v>
      </c>
      <c r="N420" s="85">
        <v>94504800</v>
      </c>
      <c r="O420" s="85" t="s">
        <v>8032</v>
      </c>
      <c r="P420" s="85" t="s">
        <v>7861</v>
      </c>
      <c r="Q420" s="293">
        <v>44966</v>
      </c>
      <c r="R420" s="293">
        <v>44966</v>
      </c>
      <c r="S420" s="293">
        <v>45084</v>
      </c>
      <c r="T420" s="293"/>
      <c r="U420" s="293"/>
      <c r="V420" s="293"/>
      <c r="W420" s="294"/>
      <c r="X420" s="237">
        <v>11853000</v>
      </c>
      <c r="Y420" s="295">
        <f t="shared" si="19"/>
        <v>0</v>
      </c>
      <c r="Z420" s="296">
        <f t="shared" si="20"/>
        <v>1</v>
      </c>
      <c r="AA420" s="85">
        <v>85152695</v>
      </c>
      <c r="AB420" s="85" t="s">
        <v>6984</v>
      </c>
      <c r="AC420" s="290" t="s">
        <v>196</v>
      </c>
      <c r="AD420" s="290" t="s">
        <v>196</v>
      </c>
      <c r="AE420" s="236"/>
      <c r="AF420" s="85" t="s">
        <v>8033</v>
      </c>
      <c r="AG420" s="290" t="s">
        <v>192</v>
      </c>
      <c r="AH420" s="290" t="s">
        <v>192</v>
      </c>
    </row>
    <row r="421" spans="1:34" s="297" customFormat="1" ht="15" customHeight="1" x14ac:dyDescent="0.25">
      <c r="A421" s="289">
        <v>891780111</v>
      </c>
      <c r="B421" s="289" t="s">
        <v>54</v>
      </c>
      <c r="C421" s="290" t="s">
        <v>56</v>
      </c>
      <c r="D421" s="289" t="s">
        <v>60</v>
      </c>
      <c r="E421" s="290" t="s">
        <v>8034</v>
      </c>
      <c r="F421" s="289" t="s">
        <v>61</v>
      </c>
      <c r="G421" s="85" t="s">
        <v>63</v>
      </c>
      <c r="H421" s="85" t="s">
        <v>73</v>
      </c>
      <c r="I421" s="237">
        <v>17487000</v>
      </c>
      <c r="J421" s="290">
        <v>1</v>
      </c>
      <c r="K421" s="291">
        <v>3297000</v>
      </c>
      <c r="L421" s="291"/>
      <c r="M421" s="292">
        <f t="shared" si="18"/>
        <v>20784000</v>
      </c>
      <c r="N421" s="85">
        <v>1082935721</v>
      </c>
      <c r="O421" s="85" t="s">
        <v>8035</v>
      </c>
      <c r="P421" s="85" t="s">
        <v>8036</v>
      </c>
      <c r="Q421" s="293">
        <v>44966</v>
      </c>
      <c r="R421" s="293">
        <v>44966</v>
      </c>
      <c r="S421" s="293">
        <v>45084</v>
      </c>
      <c r="T421" s="293"/>
      <c r="U421" s="293"/>
      <c r="V421" s="293"/>
      <c r="W421" s="294">
        <v>45107</v>
      </c>
      <c r="X421" s="237">
        <v>20784000</v>
      </c>
      <c r="Y421" s="295">
        <f t="shared" si="19"/>
        <v>0</v>
      </c>
      <c r="Z421" s="296">
        <f t="shared" si="20"/>
        <v>1</v>
      </c>
      <c r="AA421" s="85">
        <v>85449357</v>
      </c>
      <c r="AB421" s="85" t="s">
        <v>6553</v>
      </c>
      <c r="AC421" s="290" t="s">
        <v>196</v>
      </c>
      <c r="AD421" s="290" t="s">
        <v>196</v>
      </c>
      <c r="AE421" s="236"/>
      <c r="AF421" s="85" t="s">
        <v>8037</v>
      </c>
      <c r="AG421" s="290" t="s">
        <v>192</v>
      </c>
      <c r="AH421" s="290" t="s">
        <v>192</v>
      </c>
    </row>
    <row r="422" spans="1:34" s="297" customFormat="1" ht="15" customHeight="1" x14ac:dyDescent="0.25">
      <c r="A422" s="289">
        <v>891780111</v>
      </c>
      <c r="B422" s="289" t="s">
        <v>54</v>
      </c>
      <c r="C422" s="290" t="s">
        <v>56</v>
      </c>
      <c r="D422" s="289" t="s">
        <v>60</v>
      </c>
      <c r="E422" s="290" t="s">
        <v>8038</v>
      </c>
      <c r="F422" s="289" t="s">
        <v>61</v>
      </c>
      <c r="G422" s="85" t="s">
        <v>63</v>
      </c>
      <c r="H422" s="85" t="s">
        <v>73</v>
      </c>
      <c r="I422" s="237">
        <v>11333000</v>
      </c>
      <c r="J422" s="290"/>
      <c r="K422" s="291"/>
      <c r="L422" s="291"/>
      <c r="M422" s="292">
        <f t="shared" si="18"/>
        <v>11333000</v>
      </c>
      <c r="N422" s="85">
        <v>36724927</v>
      </c>
      <c r="O422" s="85" t="s">
        <v>8039</v>
      </c>
      <c r="P422" s="85" t="s">
        <v>8040</v>
      </c>
      <c r="Q422" s="293">
        <v>44966</v>
      </c>
      <c r="R422" s="293">
        <v>44966</v>
      </c>
      <c r="S422" s="293">
        <v>45093</v>
      </c>
      <c r="T422" s="293"/>
      <c r="U422" s="293"/>
      <c r="V422" s="293"/>
      <c r="W422" s="294"/>
      <c r="X422" s="237">
        <v>11333000</v>
      </c>
      <c r="Y422" s="295">
        <f t="shared" si="19"/>
        <v>0</v>
      </c>
      <c r="Z422" s="296">
        <f t="shared" si="20"/>
        <v>1</v>
      </c>
      <c r="AA422" s="85">
        <v>85459497</v>
      </c>
      <c r="AB422" s="85" t="s">
        <v>4837</v>
      </c>
      <c r="AC422" s="290" t="s">
        <v>196</v>
      </c>
      <c r="AD422" s="290" t="s">
        <v>196</v>
      </c>
      <c r="AE422" s="236"/>
      <c r="AF422" s="85" t="s">
        <v>8041</v>
      </c>
      <c r="AG422" s="290" t="s">
        <v>192</v>
      </c>
      <c r="AH422" s="290" t="s">
        <v>192</v>
      </c>
    </row>
    <row r="423" spans="1:34" s="297" customFormat="1" ht="15" customHeight="1" x14ac:dyDescent="0.25">
      <c r="A423" s="289">
        <v>891780111</v>
      </c>
      <c r="B423" s="289" t="s">
        <v>54</v>
      </c>
      <c r="C423" s="290" t="s">
        <v>56</v>
      </c>
      <c r="D423" s="289" t="s">
        <v>60</v>
      </c>
      <c r="E423" s="290" t="s">
        <v>8042</v>
      </c>
      <c r="F423" s="289" t="s">
        <v>61</v>
      </c>
      <c r="G423" s="85" t="s">
        <v>63</v>
      </c>
      <c r="H423" s="85" t="s">
        <v>73</v>
      </c>
      <c r="I423" s="237">
        <v>7600000</v>
      </c>
      <c r="J423" s="290">
        <v>1</v>
      </c>
      <c r="K423" s="291">
        <v>1457000</v>
      </c>
      <c r="L423" s="291"/>
      <c r="M423" s="292">
        <f t="shared" si="18"/>
        <v>9057000</v>
      </c>
      <c r="N423" s="85">
        <v>36532658</v>
      </c>
      <c r="O423" s="85" t="s">
        <v>8043</v>
      </c>
      <c r="P423" s="85" t="s">
        <v>8044</v>
      </c>
      <c r="Q423" s="293">
        <v>44966</v>
      </c>
      <c r="R423" s="293">
        <v>44966</v>
      </c>
      <c r="S423" s="293">
        <v>45084</v>
      </c>
      <c r="T423" s="293"/>
      <c r="U423" s="293"/>
      <c r="V423" s="293"/>
      <c r="W423" s="294">
        <v>45107</v>
      </c>
      <c r="X423" s="237">
        <v>9057000</v>
      </c>
      <c r="Y423" s="295">
        <f t="shared" si="19"/>
        <v>0</v>
      </c>
      <c r="Z423" s="296">
        <f t="shared" si="20"/>
        <v>1</v>
      </c>
      <c r="AA423" s="85">
        <v>7633817</v>
      </c>
      <c r="AB423" s="85" t="s">
        <v>5425</v>
      </c>
      <c r="AC423" s="290" t="s">
        <v>196</v>
      </c>
      <c r="AD423" s="290" t="s">
        <v>196</v>
      </c>
      <c r="AE423" s="236"/>
      <c r="AF423" s="85" t="s">
        <v>8045</v>
      </c>
      <c r="AG423" s="290" t="s">
        <v>192</v>
      </c>
      <c r="AH423" s="290" t="s">
        <v>192</v>
      </c>
    </row>
    <row r="424" spans="1:34" s="297" customFormat="1" ht="15" customHeight="1" x14ac:dyDescent="0.25">
      <c r="A424" s="289">
        <v>891780111</v>
      </c>
      <c r="B424" s="289" t="s">
        <v>54</v>
      </c>
      <c r="C424" s="290" t="s">
        <v>56</v>
      </c>
      <c r="D424" s="289" t="s">
        <v>60</v>
      </c>
      <c r="E424" s="290" t="s">
        <v>8046</v>
      </c>
      <c r="F424" s="289" t="s">
        <v>61</v>
      </c>
      <c r="G424" s="85" t="s">
        <v>63</v>
      </c>
      <c r="H424" s="85" t="s">
        <v>73</v>
      </c>
      <c r="I424" s="237">
        <v>8043000</v>
      </c>
      <c r="J424" s="290"/>
      <c r="K424" s="291"/>
      <c r="L424" s="291"/>
      <c r="M424" s="292">
        <f t="shared" si="18"/>
        <v>8043000</v>
      </c>
      <c r="N424" s="85">
        <v>1004364827</v>
      </c>
      <c r="O424" s="85" t="s">
        <v>8047</v>
      </c>
      <c r="P424" s="85" t="s">
        <v>8048</v>
      </c>
      <c r="Q424" s="293">
        <v>44966</v>
      </c>
      <c r="R424" s="293">
        <v>44966</v>
      </c>
      <c r="S424" s="293">
        <v>45084</v>
      </c>
      <c r="T424" s="293"/>
      <c r="U424" s="293"/>
      <c r="V424" s="293"/>
      <c r="W424" s="294"/>
      <c r="X424" s="237">
        <v>8043000</v>
      </c>
      <c r="Y424" s="295">
        <f t="shared" si="19"/>
        <v>0</v>
      </c>
      <c r="Z424" s="296">
        <f t="shared" si="20"/>
        <v>1</v>
      </c>
      <c r="AA424" s="85">
        <v>85450705</v>
      </c>
      <c r="AB424" s="85" t="s">
        <v>7935</v>
      </c>
      <c r="AC424" s="290" t="s">
        <v>196</v>
      </c>
      <c r="AD424" s="290" t="s">
        <v>196</v>
      </c>
      <c r="AE424" s="236"/>
      <c r="AF424" s="85" t="s">
        <v>8049</v>
      </c>
      <c r="AG424" s="290" t="s">
        <v>192</v>
      </c>
      <c r="AH424" s="290" t="s">
        <v>192</v>
      </c>
    </row>
    <row r="425" spans="1:34" s="297" customFormat="1" ht="15" customHeight="1" x14ac:dyDescent="0.25">
      <c r="A425" s="289">
        <v>891780111</v>
      </c>
      <c r="B425" s="289" t="s">
        <v>54</v>
      </c>
      <c r="C425" s="290" t="s">
        <v>56</v>
      </c>
      <c r="D425" s="289" t="s">
        <v>60</v>
      </c>
      <c r="E425" s="290" t="s">
        <v>8050</v>
      </c>
      <c r="F425" s="289" t="s">
        <v>61</v>
      </c>
      <c r="G425" s="85" t="s">
        <v>63</v>
      </c>
      <c r="H425" s="85" t="s">
        <v>73</v>
      </c>
      <c r="I425" s="237">
        <v>7600000</v>
      </c>
      <c r="J425" s="290"/>
      <c r="K425" s="291"/>
      <c r="L425" s="291"/>
      <c r="M425" s="292">
        <f t="shared" si="18"/>
        <v>7600000</v>
      </c>
      <c r="N425" s="85">
        <v>85476117</v>
      </c>
      <c r="O425" s="85" t="s">
        <v>8051</v>
      </c>
      <c r="P425" s="85" t="s">
        <v>8052</v>
      </c>
      <c r="Q425" s="293">
        <v>44966</v>
      </c>
      <c r="R425" s="293">
        <v>44966</v>
      </c>
      <c r="S425" s="293">
        <v>45084</v>
      </c>
      <c r="T425" s="293"/>
      <c r="U425" s="293"/>
      <c r="V425" s="293"/>
      <c r="W425" s="294"/>
      <c r="X425" s="237">
        <v>7157000</v>
      </c>
      <c r="Y425" s="295">
        <f t="shared" si="19"/>
        <v>443000</v>
      </c>
      <c r="Z425" s="296">
        <f t="shared" si="20"/>
        <v>0.94171052631578944</v>
      </c>
      <c r="AA425" s="85">
        <v>85459497</v>
      </c>
      <c r="AB425" s="85" t="s">
        <v>4837</v>
      </c>
      <c r="AC425" s="290" t="s">
        <v>196</v>
      </c>
      <c r="AD425" s="290" t="s">
        <v>196</v>
      </c>
      <c r="AE425" s="236"/>
      <c r="AF425" s="85" t="s">
        <v>8053</v>
      </c>
      <c r="AG425" s="290" t="s">
        <v>192</v>
      </c>
      <c r="AH425" s="290" t="s">
        <v>192</v>
      </c>
    </row>
    <row r="426" spans="1:34" s="297" customFormat="1" ht="15" customHeight="1" x14ac:dyDescent="0.25">
      <c r="A426" s="289">
        <v>891780111</v>
      </c>
      <c r="B426" s="289" t="s">
        <v>54</v>
      </c>
      <c r="C426" s="290" t="s">
        <v>56</v>
      </c>
      <c r="D426" s="289" t="s">
        <v>60</v>
      </c>
      <c r="E426" s="290" t="s">
        <v>8054</v>
      </c>
      <c r="F426" s="289" t="s">
        <v>61</v>
      </c>
      <c r="G426" s="85" t="s">
        <v>63</v>
      </c>
      <c r="H426" s="85" t="s">
        <v>73</v>
      </c>
      <c r="I426" s="237">
        <v>9313000</v>
      </c>
      <c r="J426" s="290"/>
      <c r="K426" s="291"/>
      <c r="L426" s="291"/>
      <c r="M426" s="292">
        <f t="shared" si="18"/>
        <v>9313000</v>
      </c>
      <c r="N426" s="85">
        <v>84452687</v>
      </c>
      <c r="O426" s="85" t="s">
        <v>8055</v>
      </c>
      <c r="P426" s="85" t="s">
        <v>8056</v>
      </c>
      <c r="Q426" s="293">
        <v>44966</v>
      </c>
      <c r="R426" s="293">
        <v>44966</v>
      </c>
      <c r="S426" s="293">
        <v>45084</v>
      </c>
      <c r="T426" s="293"/>
      <c r="U426" s="293"/>
      <c r="V426" s="293"/>
      <c r="W426" s="294"/>
      <c r="X426" s="237">
        <v>9313000</v>
      </c>
      <c r="Y426" s="295">
        <f t="shared" si="19"/>
        <v>0</v>
      </c>
      <c r="Z426" s="296">
        <f t="shared" si="20"/>
        <v>1</v>
      </c>
      <c r="AA426" s="85">
        <v>85152695</v>
      </c>
      <c r="AB426" s="85" t="s">
        <v>6984</v>
      </c>
      <c r="AC426" s="290" t="s">
        <v>196</v>
      </c>
      <c r="AD426" s="290" t="s">
        <v>196</v>
      </c>
      <c r="AE426" s="236"/>
      <c r="AF426" s="85" t="s">
        <v>8057</v>
      </c>
      <c r="AG426" s="290" t="s">
        <v>192</v>
      </c>
      <c r="AH426" s="290" t="s">
        <v>192</v>
      </c>
    </row>
    <row r="427" spans="1:34" s="297" customFormat="1" ht="15" customHeight="1" x14ac:dyDescent="0.25">
      <c r="A427" s="289">
        <v>891780111</v>
      </c>
      <c r="B427" s="289" t="s">
        <v>54</v>
      </c>
      <c r="C427" s="290" t="s">
        <v>56</v>
      </c>
      <c r="D427" s="289" t="s">
        <v>60</v>
      </c>
      <c r="E427" s="290" t="s">
        <v>8058</v>
      </c>
      <c r="F427" s="289" t="s">
        <v>61</v>
      </c>
      <c r="G427" s="85" t="s">
        <v>63</v>
      </c>
      <c r="H427" s="85" t="s">
        <v>73</v>
      </c>
      <c r="I427" s="237">
        <v>8043000</v>
      </c>
      <c r="J427" s="290">
        <v>1</v>
      </c>
      <c r="K427" s="291">
        <v>1013000</v>
      </c>
      <c r="L427" s="291"/>
      <c r="M427" s="292">
        <f t="shared" si="18"/>
        <v>9056000</v>
      </c>
      <c r="N427" s="85">
        <v>1082874612</v>
      </c>
      <c r="O427" s="85" t="s">
        <v>8059</v>
      </c>
      <c r="P427" s="85" t="s">
        <v>8060</v>
      </c>
      <c r="Q427" s="293">
        <v>44967</v>
      </c>
      <c r="R427" s="293">
        <v>44967</v>
      </c>
      <c r="S427" s="293">
        <v>45084</v>
      </c>
      <c r="T427" s="293"/>
      <c r="U427" s="293"/>
      <c r="V427" s="293"/>
      <c r="W427" s="294">
        <v>45100</v>
      </c>
      <c r="X427" s="237">
        <v>9056000</v>
      </c>
      <c r="Y427" s="295">
        <f t="shared" si="19"/>
        <v>0</v>
      </c>
      <c r="Z427" s="296">
        <f t="shared" si="20"/>
        <v>1</v>
      </c>
      <c r="AA427" s="85">
        <v>45507423</v>
      </c>
      <c r="AB427" s="85" t="s">
        <v>6911</v>
      </c>
      <c r="AC427" s="290" t="s">
        <v>196</v>
      </c>
      <c r="AD427" s="290" t="s">
        <v>196</v>
      </c>
      <c r="AE427" s="236"/>
      <c r="AF427" s="85" t="s">
        <v>8061</v>
      </c>
      <c r="AG427" s="290" t="s">
        <v>192</v>
      </c>
      <c r="AH427" s="290" t="s">
        <v>192</v>
      </c>
    </row>
    <row r="428" spans="1:34" s="297" customFormat="1" ht="15" customHeight="1" x14ac:dyDescent="0.25">
      <c r="A428" s="289">
        <v>891780111</v>
      </c>
      <c r="B428" s="289" t="s">
        <v>54</v>
      </c>
      <c r="C428" s="290" t="s">
        <v>56</v>
      </c>
      <c r="D428" s="289" t="s">
        <v>60</v>
      </c>
      <c r="E428" s="290" t="s">
        <v>8062</v>
      </c>
      <c r="F428" s="289" t="s">
        <v>61</v>
      </c>
      <c r="G428" s="85" t="s">
        <v>63</v>
      </c>
      <c r="H428" s="85" t="s">
        <v>73</v>
      </c>
      <c r="I428" s="237">
        <v>8043000</v>
      </c>
      <c r="J428" s="290">
        <v>1</v>
      </c>
      <c r="K428" s="291">
        <v>1013000</v>
      </c>
      <c r="L428" s="291"/>
      <c r="M428" s="292">
        <f t="shared" si="18"/>
        <v>9056000</v>
      </c>
      <c r="N428" s="85">
        <v>50956720</v>
      </c>
      <c r="O428" s="85" t="s">
        <v>8063</v>
      </c>
      <c r="P428" s="85" t="s">
        <v>8060</v>
      </c>
      <c r="Q428" s="293">
        <v>44967</v>
      </c>
      <c r="R428" s="293">
        <v>44967</v>
      </c>
      <c r="S428" s="293">
        <v>45084</v>
      </c>
      <c r="T428" s="293"/>
      <c r="U428" s="293"/>
      <c r="V428" s="293"/>
      <c r="W428" s="294">
        <v>45100</v>
      </c>
      <c r="X428" s="237">
        <v>9056000</v>
      </c>
      <c r="Y428" s="295">
        <f t="shared" si="19"/>
        <v>0</v>
      </c>
      <c r="Z428" s="296">
        <f t="shared" si="20"/>
        <v>1</v>
      </c>
      <c r="AA428" s="85">
        <v>45507423</v>
      </c>
      <c r="AB428" s="85" t="s">
        <v>6911</v>
      </c>
      <c r="AC428" s="290" t="s">
        <v>196</v>
      </c>
      <c r="AD428" s="290" t="s">
        <v>196</v>
      </c>
      <c r="AE428" s="236"/>
      <c r="AF428" s="85" t="s">
        <v>8064</v>
      </c>
      <c r="AG428" s="290" t="s">
        <v>192</v>
      </c>
      <c r="AH428" s="290" t="s">
        <v>192</v>
      </c>
    </row>
    <row r="429" spans="1:34" s="297" customFormat="1" ht="15" customHeight="1" x14ac:dyDescent="0.25">
      <c r="A429" s="289">
        <v>891780111</v>
      </c>
      <c r="B429" s="289" t="s">
        <v>54</v>
      </c>
      <c r="C429" s="290" t="s">
        <v>56</v>
      </c>
      <c r="D429" s="289" t="s">
        <v>60</v>
      </c>
      <c r="E429" s="290" t="s">
        <v>8065</v>
      </c>
      <c r="F429" s="289" t="s">
        <v>61</v>
      </c>
      <c r="G429" s="85" t="s">
        <v>63</v>
      </c>
      <c r="H429" s="85" t="s">
        <v>73</v>
      </c>
      <c r="I429" s="237">
        <v>9313000</v>
      </c>
      <c r="J429" s="290"/>
      <c r="K429" s="291"/>
      <c r="L429" s="291"/>
      <c r="M429" s="292">
        <f t="shared" si="18"/>
        <v>9313000</v>
      </c>
      <c r="N429" s="85">
        <v>1083027976</v>
      </c>
      <c r="O429" s="85" t="s">
        <v>8066</v>
      </c>
      <c r="P429" s="85" t="s">
        <v>7576</v>
      </c>
      <c r="Q429" s="293">
        <v>44967</v>
      </c>
      <c r="R429" s="293">
        <v>44967</v>
      </c>
      <c r="S429" s="293">
        <v>45084</v>
      </c>
      <c r="T429" s="293"/>
      <c r="U429" s="293"/>
      <c r="V429" s="293"/>
      <c r="W429" s="294"/>
      <c r="X429" s="237">
        <v>9313000</v>
      </c>
      <c r="Y429" s="295">
        <f t="shared" si="19"/>
        <v>0</v>
      </c>
      <c r="Z429" s="296">
        <f t="shared" si="20"/>
        <v>1</v>
      </c>
      <c r="AA429" s="85">
        <v>57297693</v>
      </c>
      <c r="AB429" s="85" t="s">
        <v>5446</v>
      </c>
      <c r="AC429" s="290" t="s">
        <v>196</v>
      </c>
      <c r="AD429" s="290" t="s">
        <v>196</v>
      </c>
      <c r="AE429" s="236"/>
      <c r="AF429" s="85" t="s">
        <v>8067</v>
      </c>
      <c r="AG429" s="290" t="s">
        <v>192</v>
      </c>
      <c r="AH429" s="290" t="s">
        <v>192</v>
      </c>
    </row>
    <row r="430" spans="1:34" s="297" customFormat="1" ht="15" customHeight="1" x14ac:dyDescent="0.25">
      <c r="A430" s="289">
        <v>891780111</v>
      </c>
      <c r="B430" s="289" t="s">
        <v>54</v>
      </c>
      <c r="C430" s="290" t="s">
        <v>56</v>
      </c>
      <c r="D430" s="289" t="s">
        <v>60</v>
      </c>
      <c r="E430" s="290" t="s">
        <v>8068</v>
      </c>
      <c r="F430" s="289" t="s">
        <v>61</v>
      </c>
      <c r="G430" s="85" t="s">
        <v>63</v>
      </c>
      <c r="H430" s="85" t="s">
        <v>73</v>
      </c>
      <c r="I430" s="237">
        <v>8043000</v>
      </c>
      <c r="J430" s="290"/>
      <c r="K430" s="291"/>
      <c r="L430" s="291"/>
      <c r="M430" s="292">
        <f t="shared" si="18"/>
        <v>8043000</v>
      </c>
      <c r="N430" s="85">
        <v>84456714</v>
      </c>
      <c r="O430" s="85" t="s">
        <v>8069</v>
      </c>
      <c r="P430" s="85" t="s">
        <v>7492</v>
      </c>
      <c r="Q430" s="293">
        <v>44967</v>
      </c>
      <c r="R430" s="293">
        <v>44967</v>
      </c>
      <c r="S430" s="293">
        <v>45084</v>
      </c>
      <c r="T430" s="293"/>
      <c r="U430" s="293"/>
      <c r="V430" s="293"/>
      <c r="W430" s="294"/>
      <c r="X430" s="237">
        <v>8043000</v>
      </c>
      <c r="Y430" s="295">
        <f t="shared" si="19"/>
        <v>0</v>
      </c>
      <c r="Z430" s="296">
        <f t="shared" si="20"/>
        <v>1</v>
      </c>
      <c r="AA430" s="85">
        <v>7633817</v>
      </c>
      <c r="AB430" s="85" t="s">
        <v>5425</v>
      </c>
      <c r="AC430" s="290" t="s">
        <v>196</v>
      </c>
      <c r="AD430" s="290" t="s">
        <v>196</v>
      </c>
      <c r="AE430" s="236"/>
      <c r="AF430" s="85" t="s">
        <v>8070</v>
      </c>
      <c r="AG430" s="290" t="s">
        <v>192</v>
      </c>
      <c r="AH430" s="290" t="s">
        <v>192</v>
      </c>
    </row>
    <row r="431" spans="1:34" s="297" customFormat="1" ht="15" customHeight="1" x14ac:dyDescent="0.25">
      <c r="A431" s="289">
        <v>891780111</v>
      </c>
      <c r="B431" s="289" t="s">
        <v>54</v>
      </c>
      <c r="C431" s="290" t="s">
        <v>56</v>
      </c>
      <c r="D431" s="289" t="s">
        <v>60</v>
      </c>
      <c r="E431" s="290" t="s">
        <v>8071</v>
      </c>
      <c r="F431" s="289" t="s">
        <v>61</v>
      </c>
      <c r="G431" s="85" t="s">
        <v>63</v>
      </c>
      <c r="H431" s="85" t="s">
        <v>73</v>
      </c>
      <c r="I431" s="237">
        <v>8043000</v>
      </c>
      <c r="J431" s="290">
        <v>1</v>
      </c>
      <c r="K431" s="291">
        <v>1013000</v>
      </c>
      <c r="L431" s="291"/>
      <c r="M431" s="292">
        <f t="shared" si="18"/>
        <v>9056000</v>
      </c>
      <c r="N431" s="85">
        <v>36695081</v>
      </c>
      <c r="O431" s="85" t="s">
        <v>8072</v>
      </c>
      <c r="P431" s="85" t="s">
        <v>8073</v>
      </c>
      <c r="Q431" s="293">
        <v>44967</v>
      </c>
      <c r="R431" s="293">
        <v>44967</v>
      </c>
      <c r="S431" s="293">
        <v>45084</v>
      </c>
      <c r="T431" s="293"/>
      <c r="U431" s="293"/>
      <c r="V431" s="293"/>
      <c r="W431" s="294">
        <v>45100</v>
      </c>
      <c r="X431" s="237">
        <v>9056000</v>
      </c>
      <c r="Y431" s="295">
        <f t="shared" si="19"/>
        <v>0</v>
      </c>
      <c r="Z431" s="296">
        <f t="shared" si="20"/>
        <v>1</v>
      </c>
      <c r="AA431" s="85">
        <v>45507423</v>
      </c>
      <c r="AB431" s="85" t="s">
        <v>6911</v>
      </c>
      <c r="AC431" s="290" t="s">
        <v>196</v>
      </c>
      <c r="AD431" s="290" t="s">
        <v>196</v>
      </c>
      <c r="AE431" s="236"/>
      <c r="AF431" s="85" t="s">
        <v>8074</v>
      </c>
      <c r="AG431" s="290" t="s">
        <v>192</v>
      </c>
      <c r="AH431" s="290" t="s">
        <v>192</v>
      </c>
    </row>
    <row r="432" spans="1:34" s="297" customFormat="1" ht="15" customHeight="1" x14ac:dyDescent="0.25">
      <c r="A432" s="289">
        <v>891780111</v>
      </c>
      <c r="B432" s="289" t="s">
        <v>54</v>
      </c>
      <c r="C432" s="290" t="s">
        <v>56</v>
      </c>
      <c r="D432" s="289" t="s">
        <v>60</v>
      </c>
      <c r="E432" s="290" t="s">
        <v>8075</v>
      </c>
      <c r="F432" s="289" t="s">
        <v>61</v>
      </c>
      <c r="G432" s="85" t="s">
        <v>63</v>
      </c>
      <c r="H432" s="85" t="s">
        <v>73</v>
      </c>
      <c r="I432" s="237">
        <v>13123000</v>
      </c>
      <c r="J432" s="290">
        <v>1</v>
      </c>
      <c r="K432" s="291">
        <v>930000</v>
      </c>
      <c r="L432" s="291"/>
      <c r="M432" s="292">
        <f t="shared" si="18"/>
        <v>14053000</v>
      </c>
      <c r="N432" s="85">
        <v>85465875</v>
      </c>
      <c r="O432" s="85" t="s">
        <v>8076</v>
      </c>
      <c r="P432" s="85" t="s">
        <v>8077</v>
      </c>
      <c r="Q432" s="293">
        <v>44967</v>
      </c>
      <c r="R432" s="293">
        <v>44967</v>
      </c>
      <c r="S432" s="293">
        <v>45084</v>
      </c>
      <c r="T432" s="293"/>
      <c r="U432" s="293"/>
      <c r="V432" s="293"/>
      <c r="W432" s="294">
        <v>45093</v>
      </c>
      <c r="X432" s="237">
        <v>14053000</v>
      </c>
      <c r="Y432" s="295">
        <f t="shared" si="19"/>
        <v>0</v>
      </c>
      <c r="Z432" s="296">
        <f t="shared" si="20"/>
        <v>1</v>
      </c>
      <c r="AA432" s="85">
        <v>39058006</v>
      </c>
      <c r="AB432" s="85" t="s">
        <v>6699</v>
      </c>
      <c r="AC432" s="290" t="s">
        <v>196</v>
      </c>
      <c r="AD432" s="290" t="s">
        <v>196</v>
      </c>
      <c r="AE432" s="236"/>
      <c r="AF432" s="85" t="s">
        <v>8078</v>
      </c>
      <c r="AG432" s="290" t="s">
        <v>192</v>
      </c>
      <c r="AH432" s="290" t="s">
        <v>192</v>
      </c>
    </row>
    <row r="433" spans="1:34" s="297" customFormat="1" ht="15" customHeight="1" x14ac:dyDescent="0.25">
      <c r="A433" s="289">
        <v>891780111</v>
      </c>
      <c r="B433" s="289" t="s">
        <v>54</v>
      </c>
      <c r="C433" s="290" t="s">
        <v>56</v>
      </c>
      <c r="D433" s="289" t="s">
        <v>60</v>
      </c>
      <c r="E433" s="290" t="s">
        <v>8079</v>
      </c>
      <c r="F433" s="289" t="s">
        <v>61</v>
      </c>
      <c r="G433" s="85" t="s">
        <v>63</v>
      </c>
      <c r="H433" s="85" t="s">
        <v>73</v>
      </c>
      <c r="I433" s="237">
        <v>15663000</v>
      </c>
      <c r="J433" s="290">
        <v>1</v>
      </c>
      <c r="K433" s="291">
        <v>2837000</v>
      </c>
      <c r="L433" s="291"/>
      <c r="M433" s="292">
        <f t="shared" si="18"/>
        <v>18500000</v>
      </c>
      <c r="N433" s="85">
        <v>57106762</v>
      </c>
      <c r="O433" s="85" t="s">
        <v>8080</v>
      </c>
      <c r="P433" s="85" t="s">
        <v>8081</v>
      </c>
      <c r="Q433" s="293">
        <v>44967</v>
      </c>
      <c r="R433" s="293">
        <v>44967</v>
      </c>
      <c r="S433" s="293">
        <v>45084</v>
      </c>
      <c r="T433" s="293"/>
      <c r="U433" s="293"/>
      <c r="V433" s="293"/>
      <c r="W433" s="294">
        <v>45107</v>
      </c>
      <c r="X433" s="237">
        <v>11100000</v>
      </c>
      <c r="Y433" s="295">
        <f t="shared" si="19"/>
        <v>7400000</v>
      </c>
      <c r="Z433" s="296">
        <f t="shared" si="20"/>
        <v>0.6</v>
      </c>
      <c r="AA433" s="85">
        <v>85449357</v>
      </c>
      <c r="AB433" s="85" t="s">
        <v>6553</v>
      </c>
      <c r="AC433" s="290" t="s">
        <v>196</v>
      </c>
      <c r="AD433" s="290" t="s">
        <v>196</v>
      </c>
      <c r="AE433" s="236"/>
      <c r="AF433" s="85" t="s">
        <v>8082</v>
      </c>
      <c r="AG433" s="290" t="s">
        <v>192</v>
      </c>
      <c r="AH433" s="290" t="s">
        <v>192</v>
      </c>
    </row>
    <row r="434" spans="1:34" s="297" customFormat="1" ht="15" customHeight="1" x14ac:dyDescent="0.25">
      <c r="A434" s="289">
        <v>891780111</v>
      </c>
      <c r="B434" s="289" t="s">
        <v>54</v>
      </c>
      <c r="C434" s="290" t="s">
        <v>56</v>
      </c>
      <c r="D434" s="289" t="s">
        <v>60</v>
      </c>
      <c r="E434" s="290" t="s">
        <v>8083</v>
      </c>
      <c r="F434" s="289" t="s">
        <v>61</v>
      </c>
      <c r="G434" s="85" t="s">
        <v>63</v>
      </c>
      <c r="H434" s="85" t="s">
        <v>73</v>
      </c>
      <c r="I434" s="237">
        <v>9313000</v>
      </c>
      <c r="J434" s="290"/>
      <c r="K434" s="291"/>
      <c r="L434" s="291"/>
      <c r="M434" s="292">
        <f t="shared" si="18"/>
        <v>9313000</v>
      </c>
      <c r="N434" s="85">
        <v>12597246</v>
      </c>
      <c r="O434" s="85" t="s">
        <v>8084</v>
      </c>
      <c r="P434" s="85" t="s">
        <v>8085</v>
      </c>
      <c r="Q434" s="293">
        <v>44967</v>
      </c>
      <c r="R434" s="293">
        <v>44967</v>
      </c>
      <c r="S434" s="293">
        <v>45084</v>
      </c>
      <c r="T434" s="293"/>
      <c r="U434" s="293"/>
      <c r="V434" s="293"/>
      <c r="W434" s="294"/>
      <c r="X434" s="237">
        <v>8800000</v>
      </c>
      <c r="Y434" s="295">
        <f t="shared" si="19"/>
        <v>513000</v>
      </c>
      <c r="Z434" s="296">
        <f t="shared" si="20"/>
        <v>0.94491570922366586</v>
      </c>
      <c r="AA434" s="85">
        <v>57297693</v>
      </c>
      <c r="AB434" s="85" t="s">
        <v>5446</v>
      </c>
      <c r="AC434" s="290" t="s">
        <v>196</v>
      </c>
      <c r="AD434" s="290" t="s">
        <v>196</v>
      </c>
      <c r="AE434" s="236"/>
      <c r="AF434" s="85" t="s">
        <v>8086</v>
      </c>
      <c r="AG434" s="290" t="s">
        <v>192</v>
      </c>
      <c r="AH434" s="290" t="s">
        <v>192</v>
      </c>
    </row>
    <row r="435" spans="1:34" s="297" customFormat="1" ht="15" customHeight="1" x14ac:dyDescent="0.25">
      <c r="A435" s="289">
        <v>891780111</v>
      </c>
      <c r="B435" s="289" t="s">
        <v>54</v>
      </c>
      <c r="C435" s="290" t="s">
        <v>56</v>
      </c>
      <c r="D435" s="289" t="s">
        <v>60</v>
      </c>
      <c r="E435" s="290" t="s">
        <v>8087</v>
      </c>
      <c r="F435" s="289" t="s">
        <v>61</v>
      </c>
      <c r="G435" s="85" t="s">
        <v>63</v>
      </c>
      <c r="H435" s="85" t="s">
        <v>73</v>
      </c>
      <c r="I435" s="237">
        <v>18203000</v>
      </c>
      <c r="J435" s="290">
        <v>1</v>
      </c>
      <c r="K435" s="291">
        <v>3297000</v>
      </c>
      <c r="L435" s="291"/>
      <c r="M435" s="292">
        <f t="shared" si="18"/>
        <v>21500000</v>
      </c>
      <c r="N435" s="85">
        <v>57466190</v>
      </c>
      <c r="O435" s="85" t="s">
        <v>8088</v>
      </c>
      <c r="P435" s="85" t="s">
        <v>8089</v>
      </c>
      <c r="Q435" s="293">
        <v>44967</v>
      </c>
      <c r="R435" s="293">
        <v>44967</v>
      </c>
      <c r="S435" s="293">
        <v>45084</v>
      </c>
      <c r="T435" s="293"/>
      <c r="U435" s="293"/>
      <c r="V435" s="293"/>
      <c r="W435" s="294">
        <v>45107</v>
      </c>
      <c r="X435" s="237">
        <v>21500000</v>
      </c>
      <c r="Y435" s="295">
        <f t="shared" si="19"/>
        <v>0</v>
      </c>
      <c r="Z435" s="296">
        <f t="shared" si="20"/>
        <v>1</v>
      </c>
      <c r="AA435" s="85">
        <v>85449357</v>
      </c>
      <c r="AB435" s="85" t="s">
        <v>6553</v>
      </c>
      <c r="AC435" s="290" t="s">
        <v>196</v>
      </c>
      <c r="AD435" s="290" t="s">
        <v>196</v>
      </c>
      <c r="AE435" s="236"/>
      <c r="AF435" s="85" t="s">
        <v>8090</v>
      </c>
      <c r="AG435" s="290" t="s">
        <v>192</v>
      </c>
      <c r="AH435" s="290" t="s">
        <v>192</v>
      </c>
    </row>
    <row r="436" spans="1:34" s="297" customFormat="1" ht="15" customHeight="1" x14ac:dyDescent="0.25">
      <c r="A436" s="289">
        <v>891780111</v>
      </c>
      <c r="B436" s="289" t="s">
        <v>54</v>
      </c>
      <c r="C436" s="290" t="s">
        <v>56</v>
      </c>
      <c r="D436" s="289" t="s">
        <v>60</v>
      </c>
      <c r="E436" s="290" t="s">
        <v>8091</v>
      </c>
      <c r="F436" s="289" t="s">
        <v>61</v>
      </c>
      <c r="G436" s="85" t="s">
        <v>63</v>
      </c>
      <c r="H436" s="85" t="s">
        <v>73</v>
      </c>
      <c r="I436" s="237">
        <v>8043000</v>
      </c>
      <c r="J436" s="290">
        <v>1</v>
      </c>
      <c r="K436" s="291">
        <v>1013000</v>
      </c>
      <c r="L436" s="291"/>
      <c r="M436" s="292">
        <f t="shared" si="18"/>
        <v>9056000</v>
      </c>
      <c r="N436" s="85">
        <v>36552336</v>
      </c>
      <c r="O436" s="85" t="s">
        <v>8092</v>
      </c>
      <c r="P436" s="85" t="s">
        <v>8093</v>
      </c>
      <c r="Q436" s="293">
        <v>44967</v>
      </c>
      <c r="R436" s="293">
        <v>44967</v>
      </c>
      <c r="S436" s="293">
        <v>45084</v>
      </c>
      <c r="T436" s="293"/>
      <c r="U436" s="293"/>
      <c r="V436" s="293"/>
      <c r="W436" s="294">
        <v>45100</v>
      </c>
      <c r="X436" s="237">
        <v>9056000</v>
      </c>
      <c r="Y436" s="295">
        <f t="shared" si="19"/>
        <v>0</v>
      </c>
      <c r="Z436" s="296">
        <f t="shared" si="20"/>
        <v>1</v>
      </c>
      <c r="AA436" s="85">
        <v>45507423</v>
      </c>
      <c r="AB436" s="85" t="s">
        <v>6911</v>
      </c>
      <c r="AC436" s="290" t="s">
        <v>196</v>
      </c>
      <c r="AD436" s="290" t="s">
        <v>196</v>
      </c>
      <c r="AE436" s="236"/>
      <c r="AF436" s="85" t="s">
        <v>8094</v>
      </c>
      <c r="AG436" s="290" t="s">
        <v>192</v>
      </c>
      <c r="AH436" s="290" t="s">
        <v>192</v>
      </c>
    </row>
    <row r="437" spans="1:34" s="297" customFormat="1" ht="15" customHeight="1" x14ac:dyDescent="0.25">
      <c r="A437" s="289">
        <v>891780111</v>
      </c>
      <c r="B437" s="289" t="s">
        <v>54</v>
      </c>
      <c r="C437" s="290" t="s">
        <v>56</v>
      </c>
      <c r="D437" s="289" t="s">
        <v>60</v>
      </c>
      <c r="E437" s="290" t="s">
        <v>8095</v>
      </c>
      <c r="F437" s="289" t="s">
        <v>61</v>
      </c>
      <c r="G437" s="85" t="s">
        <v>63</v>
      </c>
      <c r="H437" s="85" t="s">
        <v>73</v>
      </c>
      <c r="I437" s="237">
        <v>9313000</v>
      </c>
      <c r="J437" s="290">
        <v>1</v>
      </c>
      <c r="K437" s="291">
        <v>1173000</v>
      </c>
      <c r="L437" s="291"/>
      <c r="M437" s="292">
        <f t="shared" si="18"/>
        <v>10486000</v>
      </c>
      <c r="N437" s="85">
        <v>1082941486</v>
      </c>
      <c r="O437" s="85" t="s">
        <v>8096</v>
      </c>
      <c r="P437" s="85" t="s">
        <v>8097</v>
      </c>
      <c r="Q437" s="293">
        <v>44967</v>
      </c>
      <c r="R437" s="293">
        <v>44967</v>
      </c>
      <c r="S437" s="293">
        <v>45084</v>
      </c>
      <c r="T437" s="293"/>
      <c r="U437" s="293"/>
      <c r="V437" s="293"/>
      <c r="W437" s="294">
        <v>45100</v>
      </c>
      <c r="X437" s="237">
        <v>10486000</v>
      </c>
      <c r="Y437" s="295">
        <f t="shared" si="19"/>
        <v>0</v>
      </c>
      <c r="Z437" s="296">
        <f t="shared" si="20"/>
        <v>1</v>
      </c>
      <c r="AA437" s="85">
        <v>45507423</v>
      </c>
      <c r="AB437" s="85" t="s">
        <v>6911</v>
      </c>
      <c r="AC437" s="290" t="s">
        <v>196</v>
      </c>
      <c r="AD437" s="290" t="s">
        <v>196</v>
      </c>
      <c r="AE437" s="236"/>
      <c r="AF437" s="85" t="s">
        <v>8098</v>
      </c>
      <c r="AG437" s="290" t="s">
        <v>192</v>
      </c>
      <c r="AH437" s="290" t="s">
        <v>192</v>
      </c>
    </row>
    <row r="438" spans="1:34" s="297" customFormat="1" ht="15" customHeight="1" x14ac:dyDescent="0.25">
      <c r="A438" s="289">
        <v>891780111</v>
      </c>
      <c r="B438" s="289" t="s">
        <v>54</v>
      </c>
      <c r="C438" s="290" t="s">
        <v>56</v>
      </c>
      <c r="D438" s="289" t="s">
        <v>60</v>
      </c>
      <c r="E438" s="290" t="s">
        <v>8099</v>
      </c>
      <c r="F438" s="289" t="s">
        <v>61</v>
      </c>
      <c r="G438" s="85" t="s">
        <v>63</v>
      </c>
      <c r="H438" s="85" t="s">
        <v>73</v>
      </c>
      <c r="I438" s="237">
        <v>16933000</v>
      </c>
      <c r="J438" s="290">
        <v>1</v>
      </c>
      <c r="K438" s="291">
        <v>3067000</v>
      </c>
      <c r="L438" s="291"/>
      <c r="M438" s="292">
        <f t="shared" si="18"/>
        <v>20000000</v>
      </c>
      <c r="N438" s="85">
        <v>36535996</v>
      </c>
      <c r="O438" s="85" t="s">
        <v>8100</v>
      </c>
      <c r="P438" s="85" t="s">
        <v>8101</v>
      </c>
      <c r="Q438" s="293">
        <v>44967</v>
      </c>
      <c r="R438" s="293">
        <v>44967</v>
      </c>
      <c r="S438" s="293">
        <v>45084</v>
      </c>
      <c r="T438" s="293"/>
      <c r="U438" s="293"/>
      <c r="V438" s="293"/>
      <c r="W438" s="294">
        <v>45107</v>
      </c>
      <c r="X438" s="237">
        <v>20000000</v>
      </c>
      <c r="Y438" s="295">
        <f t="shared" si="19"/>
        <v>0</v>
      </c>
      <c r="Z438" s="296">
        <f t="shared" si="20"/>
        <v>1</v>
      </c>
      <c r="AA438" s="85">
        <v>85449357</v>
      </c>
      <c r="AB438" s="85" t="s">
        <v>6553</v>
      </c>
      <c r="AC438" s="290" t="s">
        <v>196</v>
      </c>
      <c r="AD438" s="290" t="s">
        <v>196</v>
      </c>
      <c r="AE438" s="236"/>
      <c r="AF438" s="85" t="s">
        <v>8102</v>
      </c>
      <c r="AG438" s="290" t="s">
        <v>192</v>
      </c>
      <c r="AH438" s="290" t="s">
        <v>192</v>
      </c>
    </row>
    <row r="439" spans="1:34" s="297" customFormat="1" ht="15" customHeight="1" x14ac:dyDescent="0.25">
      <c r="A439" s="289">
        <v>891780111</v>
      </c>
      <c r="B439" s="289" t="s">
        <v>54</v>
      </c>
      <c r="C439" s="290" t="s">
        <v>56</v>
      </c>
      <c r="D439" s="289" t="s">
        <v>60</v>
      </c>
      <c r="E439" s="290" t="s">
        <v>8103</v>
      </c>
      <c r="F439" s="289" t="s">
        <v>61</v>
      </c>
      <c r="G439" s="85" t="s">
        <v>63</v>
      </c>
      <c r="H439" s="85" t="s">
        <v>73</v>
      </c>
      <c r="I439" s="237">
        <v>8043000</v>
      </c>
      <c r="J439" s="290">
        <v>1</v>
      </c>
      <c r="K439" s="291">
        <v>1013000</v>
      </c>
      <c r="L439" s="291"/>
      <c r="M439" s="292">
        <f t="shared" si="18"/>
        <v>9056000</v>
      </c>
      <c r="N439" s="85">
        <v>1082882138</v>
      </c>
      <c r="O439" s="85" t="s">
        <v>8104</v>
      </c>
      <c r="P439" s="85" t="s">
        <v>8105</v>
      </c>
      <c r="Q439" s="293">
        <v>44967</v>
      </c>
      <c r="R439" s="293">
        <v>44967</v>
      </c>
      <c r="S439" s="293">
        <v>45084</v>
      </c>
      <c r="T439" s="293"/>
      <c r="U439" s="293"/>
      <c r="V439" s="293"/>
      <c r="W439" s="294">
        <v>45100</v>
      </c>
      <c r="X439" s="237">
        <v>9056000</v>
      </c>
      <c r="Y439" s="295">
        <f t="shared" si="19"/>
        <v>0</v>
      </c>
      <c r="Z439" s="296">
        <f t="shared" si="20"/>
        <v>1</v>
      </c>
      <c r="AA439" s="85">
        <v>45507423</v>
      </c>
      <c r="AB439" s="85" t="s">
        <v>6911</v>
      </c>
      <c r="AC439" s="290" t="s">
        <v>196</v>
      </c>
      <c r="AD439" s="290" t="s">
        <v>196</v>
      </c>
      <c r="AE439" s="236"/>
      <c r="AF439" s="85" t="s">
        <v>8106</v>
      </c>
      <c r="AG439" s="290" t="s">
        <v>192</v>
      </c>
      <c r="AH439" s="290" t="s">
        <v>192</v>
      </c>
    </row>
    <row r="440" spans="1:34" s="297" customFormat="1" ht="15" customHeight="1" x14ac:dyDescent="0.25">
      <c r="A440" s="289">
        <v>891780111</v>
      </c>
      <c r="B440" s="289" t="s">
        <v>54</v>
      </c>
      <c r="C440" s="290" t="s">
        <v>56</v>
      </c>
      <c r="D440" s="289" t="s">
        <v>60</v>
      </c>
      <c r="E440" s="290" t="s">
        <v>8107</v>
      </c>
      <c r="F440" s="289" t="s">
        <v>61</v>
      </c>
      <c r="G440" s="85" t="s">
        <v>63</v>
      </c>
      <c r="H440" s="85" t="s">
        <v>73</v>
      </c>
      <c r="I440" s="237">
        <v>8043000</v>
      </c>
      <c r="J440" s="290"/>
      <c r="K440" s="291"/>
      <c r="L440" s="291"/>
      <c r="M440" s="292">
        <f t="shared" si="18"/>
        <v>8043000</v>
      </c>
      <c r="N440" s="85">
        <v>1082903162</v>
      </c>
      <c r="O440" s="85" t="s">
        <v>8108</v>
      </c>
      <c r="P440" s="85" t="s">
        <v>8109</v>
      </c>
      <c r="Q440" s="293">
        <v>44967</v>
      </c>
      <c r="R440" s="293">
        <v>44967</v>
      </c>
      <c r="S440" s="293">
        <v>45084</v>
      </c>
      <c r="T440" s="293"/>
      <c r="U440" s="293"/>
      <c r="V440" s="293"/>
      <c r="W440" s="294"/>
      <c r="X440" s="237">
        <v>8043000</v>
      </c>
      <c r="Y440" s="295">
        <f t="shared" si="19"/>
        <v>0</v>
      </c>
      <c r="Z440" s="296">
        <f t="shared" si="20"/>
        <v>1</v>
      </c>
      <c r="AA440" s="85">
        <v>57297693</v>
      </c>
      <c r="AB440" s="85" t="s">
        <v>5446</v>
      </c>
      <c r="AC440" s="290" t="s">
        <v>196</v>
      </c>
      <c r="AD440" s="290" t="s">
        <v>196</v>
      </c>
      <c r="AE440" s="236"/>
      <c r="AF440" s="85" t="s">
        <v>8110</v>
      </c>
      <c r="AG440" s="290" t="s">
        <v>192</v>
      </c>
      <c r="AH440" s="290" t="s">
        <v>192</v>
      </c>
    </row>
    <row r="441" spans="1:34" s="297" customFormat="1" ht="15" customHeight="1" x14ac:dyDescent="0.25">
      <c r="A441" s="289">
        <v>891780111</v>
      </c>
      <c r="B441" s="289" t="s">
        <v>54</v>
      </c>
      <c r="C441" s="290" t="s">
        <v>56</v>
      </c>
      <c r="D441" s="289" t="s">
        <v>60</v>
      </c>
      <c r="E441" s="290" t="s">
        <v>8111</v>
      </c>
      <c r="F441" s="289" t="s">
        <v>61</v>
      </c>
      <c r="G441" s="85" t="s">
        <v>63</v>
      </c>
      <c r="H441" s="85" t="s">
        <v>73</v>
      </c>
      <c r="I441" s="237">
        <v>8423000</v>
      </c>
      <c r="J441" s="290">
        <v>1</v>
      </c>
      <c r="K441" s="291">
        <v>1457000</v>
      </c>
      <c r="L441" s="291"/>
      <c r="M441" s="292">
        <f t="shared" si="18"/>
        <v>9880000</v>
      </c>
      <c r="N441" s="85">
        <v>36729283</v>
      </c>
      <c r="O441" s="85" t="s">
        <v>8112</v>
      </c>
      <c r="P441" s="85" t="s">
        <v>8113</v>
      </c>
      <c r="Q441" s="293">
        <v>44967</v>
      </c>
      <c r="R441" s="293">
        <v>44967</v>
      </c>
      <c r="S441" s="293">
        <v>45084</v>
      </c>
      <c r="T441" s="293"/>
      <c r="U441" s="293"/>
      <c r="V441" s="293"/>
      <c r="W441" s="294">
        <v>45107</v>
      </c>
      <c r="X441" s="237">
        <v>9880000</v>
      </c>
      <c r="Y441" s="295">
        <f t="shared" si="19"/>
        <v>0</v>
      </c>
      <c r="Z441" s="296">
        <f t="shared" si="20"/>
        <v>1</v>
      </c>
      <c r="AA441" s="85">
        <v>36718996</v>
      </c>
      <c r="AB441" s="85" t="s">
        <v>6686</v>
      </c>
      <c r="AC441" s="290" t="s">
        <v>196</v>
      </c>
      <c r="AD441" s="290" t="s">
        <v>196</v>
      </c>
      <c r="AE441" s="236"/>
      <c r="AF441" s="85" t="s">
        <v>8114</v>
      </c>
      <c r="AG441" s="290" t="s">
        <v>192</v>
      </c>
      <c r="AH441" s="290" t="s">
        <v>192</v>
      </c>
    </row>
    <row r="442" spans="1:34" s="297" customFormat="1" ht="15" customHeight="1" x14ac:dyDescent="0.25">
      <c r="A442" s="289">
        <v>891780111</v>
      </c>
      <c r="B442" s="289" t="s">
        <v>54</v>
      </c>
      <c r="C442" s="290" t="s">
        <v>56</v>
      </c>
      <c r="D442" s="289" t="s">
        <v>60</v>
      </c>
      <c r="E442" s="290" t="s">
        <v>8115</v>
      </c>
      <c r="F442" s="289" t="s">
        <v>61</v>
      </c>
      <c r="G442" s="85" t="s">
        <v>63</v>
      </c>
      <c r="H442" s="85" t="s">
        <v>73</v>
      </c>
      <c r="I442" s="237">
        <v>8043000</v>
      </c>
      <c r="J442" s="290"/>
      <c r="K442" s="291"/>
      <c r="L442" s="291"/>
      <c r="M442" s="292">
        <f t="shared" si="18"/>
        <v>8043000</v>
      </c>
      <c r="N442" s="85">
        <v>1007558518</v>
      </c>
      <c r="O442" s="85" t="s">
        <v>8116</v>
      </c>
      <c r="P442" s="85" t="s">
        <v>7576</v>
      </c>
      <c r="Q442" s="293">
        <v>44967</v>
      </c>
      <c r="R442" s="293">
        <v>44967</v>
      </c>
      <c r="S442" s="293">
        <v>45084</v>
      </c>
      <c r="T442" s="293"/>
      <c r="U442" s="293"/>
      <c r="V442" s="293"/>
      <c r="W442" s="294"/>
      <c r="X442" s="237">
        <v>8043000</v>
      </c>
      <c r="Y442" s="295">
        <f t="shared" si="19"/>
        <v>0</v>
      </c>
      <c r="Z442" s="296">
        <f t="shared" si="20"/>
        <v>1</v>
      </c>
      <c r="AA442" s="85">
        <v>57297693</v>
      </c>
      <c r="AB442" s="85" t="s">
        <v>5446</v>
      </c>
      <c r="AC442" s="290" t="s">
        <v>196</v>
      </c>
      <c r="AD442" s="290" t="s">
        <v>196</v>
      </c>
      <c r="AE442" s="236"/>
      <c r="AF442" s="85" t="s">
        <v>8117</v>
      </c>
      <c r="AG442" s="290" t="s">
        <v>192</v>
      </c>
      <c r="AH442" s="290" t="s">
        <v>192</v>
      </c>
    </row>
    <row r="443" spans="1:34" s="297" customFormat="1" ht="15" customHeight="1" x14ac:dyDescent="0.25">
      <c r="A443" s="289">
        <v>891780111</v>
      </c>
      <c r="B443" s="289" t="s">
        <v>54</v>
      </c>
      <c r="C443" s="290" t="s">
        <v>56</v>
      </c>
      <c r="D443" s="289" t="s">
        <v>60</v>
      </c>
      <c r="E443" s="290" t="s">
        <v>8118</v>
      </c>
      <c r="F443" s="289" t="s">
        <v>61</v>
      </c>
      <c r="G443" s="85" t="s">
        <v>63</v>
      </c>
      <c r="H443" s="85" t="s">
        <v>73</v>
      </c>
      <c r="I443" s="237">
        <v>13123000</v>
      </c>
      <c r="J443" s="290">
        <v>1</v>
      </c>
      <c r="K443" s="291">
        <v>2377000</v>
      </c>
      <c r="L443" s="291"/>
      <c r="M443" s="292">
        <f t="shared" si="18"/>
        <v>15500000</v>
      </c>
      <c r="N443" s="85">
        <v>1082892888</v>
      </c>
      <c r="O443" s="85" t="s">
        <v>8119</v>
      </c>
      <c r="P443" s="85" t="s">
        <v>8081</v>
      </c>
      <c r="Q443" s="293">
        <v>44967</v>
      </c>
      <c r="R443" s="293">
        <v>44967</v>
      </c>
      <c r="S443" s="293">
        <v>45084</v>
      </c>
      <c r="T443" s="293"/>
      <c r="U443" s="293"/>
      <c r="V443" s="293"/>
      <c r="W443" s="294">
        <v>45107</v>
      </c>
      <c r="X443" s="237">
        <v>15500000</v>
      </c>
      <c r="Y443" s="295">
        <f t="shared" si="19"/>
        <v>0</v>
      </c>
      <c r="Z443" s="296">
        <f t="shared" si="20"/>
        <v>1</v>
      </c>
      <c r="AA443" s="85">
        <v>85449357</v>
      </c>
      <c r="AB443" s="85" t="s">
        <v>6553</v>
      </c>
      <c r="AC443" s="290" t="s">
        <v>196</v>
      </c>
      <c r="AD443" s="290" t="s">
        <v>196</v>
      </c>
      <c r="AE443" s="236"/>
      <c r="AF443" s="85" t="s">
        <v>8120</v>
      </c>
      <c r="AG443" s="290" t="s">
        <v>192</v>
      </c>
      <c r="AH443" s="290" t="s">
        <v>192</v>
      </c>
    </row>
    <row r="444" spans="1:34" s="297" customFormat="1" ht="15" customHeight="1" x14ac:dyDescent="0.25">
      <c r="A444" s="289">
        <v>891780111</v>
      </c>
      <c r="B444" s="289" t="s">
        <v>54</v>
      </c>
      <c r="C444" s="290" t="s">
        <v>56</v>
      </c>
      <c r="D444" s="289" t="s">
        <v>60</v>
      </c>
      <c r="E444" s="290" t="s">
        <v>8121</v>
      </c>
      <c r="F444" s="289" t="s">
        <v>61</v>
      </c>
      <c r="G444" s="85" t="s">
        <v>63</v>
      </c>
      <c r="H444" s="85" t="s">
        <v>73</v>
      </c>
      <c r="I444" s="237">
        <v>8043000</v>
      </c>
      <c r="J444" s="290">
        <v>1</v>
      </c>
      <c r="K444" s="291">
        <v>1457000</v>
      </c>
      <c r="L444" s="291"/>
      <c r="M444" s="292">
        <f t="shared" si="18"/>
        <v>9500000</v>
      </c>
      <c r="N444" s="85">
        <v>1084738546</v>
      </c>
      <c r="O444" s="85" t="s">
        <v>8122</v>
      </c>
      <c r="P444" s="85" t="s">
        <v>8123</v>
      </c>
      <c r="Q444" s="293">
        <v>44967</v>
      </c>
      <c r="R444" s="293">
        <v>44967</v>
      </c>
      <c r="S444" s="293">
        <v>45084</v>
      </c>
      <c r="T444" s="293"/>
      <c r="U444" s="293"/>
      <c r="V444" s="293"/>
      <c r="W444" s="294">
        <v>45107</v>
      </c>
      <c r="X444" s="237">
        <v>9500000</v>
      </c>
      <c r="Y444" s="295">
        <f t="shared" si="19"/>
        <v>0</v>
      </c>
      <c r="Z444" s="296">
        <f t="shared" si="20"/>
        <v>1</v>
      </c>
      <c r="AA444" s="85">
        <v>57297693</v>
      </c>
      <c r="AB444" s="85" t="s">
        <v>5446</v>
      </c>
      <c r="AC444" s="290" t="s">
        <v>196</v>
      </c>
      <c r="AD444" s="290" t="s">
        <v>196</v>
      </c>
      <c r="AE444" s="236"/>
      <c r="AF444" s="85" t="s">
        <v>8124</v>
      </c>
      <c r="AG444" s="290" t="s">
        <v>192</v>
      </c>
      <c r="AH444" s="290" t="s">
        <v>192</v>
      </c>
    </row>
    <row r="445" spans="1:34" s="297" customFormat="1" ht="15" customHeight="1" x14ac:dyDescent="0.25">
      <c r="A445" s="289">
        <v>891780111</v>
      </c>
      <c r="B445" s="289" t="s">
        <v>54</v>
      </c>
      <c r="C445" s="290" t="s">
        <v>56</v>
      </c>
      <c r="D445" s="289" t="s">
        <v>60</v>
      </c>
      <c r="E445" s="290" t="s">
        <v>8125</v>
      </c>
      <c r="F445" s="289" t="s">
        <v>61</v>
      </c>
      <c r="G445" s="85" t="s">
        <v>63</v>
      </c>
      <c r="H445" s="85" t="s">
        <v>73</v>
      </c>
      <c r="I445" s="237">
        <v>13123000</v>
      </c>
      <c r="J445" s="290">
        <v>1</v>
      </c>
      <c r="K445" s="291">
        <v>2377000</v>
      </c>
      <c r="L445" s="291"/>
      <c r="M445" s="292">
        <f t="shared" si="18"/>
        <v>15500000</v>
      </c>
      <c r="N445" s="85">
        <v>1004360507</v>
      </c>
      <c r="O445" s="85" t="s">
        <v>8126</v>
      </c>
      <c r="P445" s="85" t="s">
        <v>8127</v>
      </c>
      <c r="Q445" s="293">
        <v>44967</v>
      </c>
      <c r="R445" s="293">
        <v>44967</v>
      </c>
      <c r="S445" s="293">
        <v>45084</v>
      </c>
      <c r="T445" s="293"/>
      <c r="U445" s="293"/>
      <c r="V445" s="293"/>
      <c r="W445" s="294">
        <v>45107</v>
      </c>
      <c r="X445" s="237">
        <v>15500000</v>
      </c>
      <c r="Y445" s="295">
        <f t="shared" si="19"/>
        <v>0</v>
      </c>
      <c r="Z445" s="296">
        <f t="shared" si="20"/>
        <v>1</v>
      </c>
      <c r="AA445" s="85">
        <v>85449357</v>
      </c>
      <c r="AB445" s="85" t="s">
        <v>6553</v>
      </c>
      <c r="AC445" s="290" t="s">
        <v>196</v>
      </c>
      <c r="AD445" s="290" t="s">
        <v>196</v>
      </c>
      <c r="AE445" s="236"/>
      <c r="AF445" s="85" t="s">
        <v>8128</v>
      </c>
      <c r="AG445" s="290" t="s">
        <v>192</v>
      </c>
      <c r="AH445" s="290" t="s">
        <v>192</v>
      </c>
    </row>
    <row r="446" spans="1:34" s="297" customFormat="1" ht="15" customHeight="1" x14ac:dyDescent="0.25">
      <c r="A446" s="289">
        <v>891780111</v>
      </c>
      <c r="B446" s="289" t="s">
        <v>54</v>
      </c>
      <c r="C446" s="290" t="s">
        <v>56</v>
      </c>
      <c r="D446" s="289" t="s">
        <v>60</v>
      </c>
      <c r="E446" s="290" t="s">
        <v>8129</v>
      </c>
      <c r="F446" s="289" t="s">
        <v>61</v>
      </c>
      <c r="G446" s="85" t="s">
        <v>63</v>
      </c>
      <c r="H446" s="85" t="s">
        <v>73</v>
      </c>
      <c r="I446" s="237">
        <v>10167000</v>
      </c>
      <c r="J446" s="290">
        <v>1</v>
      </c>
      <c r="K446" s="291">
        <v>1917000</v>
      </c>
      <c r="L446" s="291"/>
      <c r="M446" s="292">
        <f t="shared" si="18"/>
        <v>12084000</v>
      </c>
      <c r="N446" s="85">
        <v>52769336</v>
      </c>
      <c r="O446" s="85" t="s">
        <v>8130</v>
      </c>
      <c r="P446" s="85" t="s">
        <v>8131</v>
      </c>
      <c r="Q446" s="293">
        <v>44967</v>
      </c>
      <c r="R446" s="293">
        <v>44967</v>
      </c>
      <c r="S446" s="293">
        <v>45084</v>
      </c>
      <c r="T446" s="293"/>
      <c r="U446" s="293"/>
      <c r="V446" s="293"/>
      <c r="W446" s="294">
        <v>45107</v>
      </c>
      <c r="X446" s="237">
        <v>12084000</v>
      </c>
      <c r="Y446" s="295">
        <f t="shared" si="19"/>
        <v>0</v>
      </c>
      <c r="Z446" s="296">
        <f t="shared" si="20"/>
        <v>1</v>
      </c>
      <c r="AA446" s="85">
        <v>93400727</v>
      </c>
      <c r="AB446" s="85" t="s">
        <v>6418</v>
      </c>
      <c r="AC446" s="290" t="s">
        <v>196</v>
      </c>
      <c r="AD446" s="290" t="s">
        <v>196</v>
      </c>
      <c r="AE446" s="236"/>
      <c r="AF446" s="85" t="s">
        <v>8132</v>
      </c>
      <c r="AG446" s="290" t="s">
        <v>192</v>
      </c>
      <c r="AH446" s="290" t="s">
        <v>192</v>
      </c>
    </row>
    <row r="447" spans="1:34" s="297" customFormat="1" ht="15" customHeight="1" x14ac:dyDescent="0.25">
      <c r="A447" s="289">
        <v>891780111</v>
      </c>
      <c r="B447" s="289" t="s">
        <v>54</v>
      </c>
      <c r="C447" s="290" t="s">
        <v>56</v>
      </c>
      <c r="D447" s="289" t="s">
        <v>60</v>
      </c>
      <c r="E447" s="290" t="s">
        <v>8133</v>
      </c>
      <c r="F447" s="289" t="s">
        <v>61</v>
      </c>
      <c r="G447" s="85" t="s">
        <v>63</v>
      </c>
      <c r="H447" s="85" t="s">
        <v>73</v>
      </c>
      <c r="I447" s="237">
        <v>8043000</v>
      </c>
      <c r="J447" s="290"/>
      <c r="K447" s="291"/>
      <c r="L447" s="291"/>
      <c r="M447" s="292">
        <f t="shared" si="18"/>
        <v>8043000</v>
      </c>
      <c r="N447" s="85">
        <v>1221971298</v>
      </c>
      <c r="O447" s="85" t="s">
        <v>8134</v>
      </c>
      <c r="P447" s="85" t="s">
        <v>8135</v>
      </c>
      <c r="Q447" s="293">
        <v>44967</v>
      </c>
      <c r="R447" s="293">
        <v>44967</v>
      </c>
      <c r="S447" s="293">
        <v>45084</v>
      </c>
      <c r="T447" s="293"/>
      <c r="U447" s="293"/>
      <c r="V447" s="293"/>
      <c r="W447" s="294"/>
      <c r="X447" s="237">
        <v>8043000</v>
      </c>
      <c r="Y447" s="295">
        <f t="shared" si="19"/>
        <v>0</v>
      </c>
      <c r="Z447" s="296">
        <f t="shared" si="20"/>
        <v>1</v>
      </c>
      <c r="AA447" s="85">
        <v>57297693</v>
      </c>
      <c r="AB447" s="85" t="s">
        <v>5446</v>
      </c>
      <c r="AC447" s="290" t="s">
        <v>196</v>
      </c>
      <c r="AD447" s="290" t="s">
        <v>196</v>
      </c>
      <c r="AE447" s="236"/>
      <c r="AF447" s="85" t="s">
        <v>8136</v>
      </c>
      <c r="AG447" s="290" t="s">
        <v>192</v>
      </c>
      <c r="AH447" s="290" t="s">
        <v>192</v>
      </c>
    </row>
    <row r="448" spans="1:34" s="297" customFormat="1" ht="15" customHeight="1" x14ac:dyDescent="0.25">
      <c r="A448" s="289">
        <v>891780111</v>
      </c>
      <c r="B448" s="289" t="s">
        <v>54</v>
      </c>
      <c r="C448" s="290" t="s">
        <v>56</v>
      </c>
      <c r="D448" s="289" t="s">
        <v>60</v>
      </c>
      <c r="E448" s="290" t="s">
        <v>8137</v>
      </c>
      <c r="F448" s="289" t="s">
        <v>61</v>
      </c>
      <c r="G448" s="85" t="s">
        <v>63</v>
      </c>
      <c r="H448" s="85" t="s">
        <v>73</v>
      </c>
      <c r="I448" s="237">
        <v>8800000</v>
      </c>
      <c r="J448" s="290"/>
      <c r="K448" s="291"/>
      <c r="L448" s="291"/>
      <c r="M448" s="292">
        <f t="shared" si="18"/>
        <v>8800000</v>
      </c>
      <c r="N448" s="85">
        <v>1083039302</v>
      </c>
      <c r="O448" s="85" t="s">
        <v>8138</v>
      </c>
      <c r="P448" s="85" t="s">
        <v>8139</v>
      </c>
      <c r="Q448" s="293">
        <v>44967</v>
      </c>
      <c r="R448" s="293">
        <v>44967</v>
      </c>
      <c r="S448" s="293">
        <v>45084</v>
      </c>
      <c r="T448" s="293"/>
      <c r="U448" s="293"/>
      <c r="V448" s="293"/>
      <c r="W448" s="294"/>
      <c r="X448" s="237">
        <v>8800000</v>
      </c>
      <c r="Y448" s="295">
        <f t="shared" si="19"/>
        <v>0</v>
      </c>
      <c r="Z448" s="296">
        <f t="shared" si="20"/>
        <v>1</v>
      </c>
      <c r="AA448" s="85">
        <v>57297693</v>
      </c>
      <c r="AB448" s="85" t="s">
        <v>5446</v>
      </c>
      <c r="AC448" s="290" t="s">
        <v>196</v>
      </c>
      <c r="AD448" s="290" t="s">
        <v>196</v>
      </c>
      <c r="AE448" s="236"/>
      <c r="AF448" s="85" t="s">
        <v>8140</v>
      </c>
      <c r="AG448" s="290" t="s">
        <v>192</v>
      </c>
      <c r="AH448" s="290" t="s">
        <v>192</v>
      </c>
    </row>
    <row r="449" spans="1:34" s="297" customFormat="1" ht="15" customHeight="1" x14ac:dyDescent="0.25">
      <c r="A449" s="289">
        <v>891780111</v>
      </c>
      <c r="B449" s="289" t="s">
        <v>54</v>
      </c>
      <c r="C449" s="290" t="s">
        <v>56</v>
      </c>
      <c r="D449" s="289" t="s">
        <v>60</v>
      </c>
      <c r="E449" s="290" t="s">
        <v>8141</v>
      </c>
      <c r="F449" s="289" t="s">
        <v>61</v>
      </c>
      <c r="G449" s="85" t="s">
        <v>63</v>
      </c>
      <c r="H449" s="85" t="s">
        <v>73</v>
      </c>
      <c r="I449" s="237">
        <v>11853000</v>
      </c>
      <c r="J449" s="290">
        <v>1</v>
      </c>
      <c r="K449" s="291"/>
      <c r="L449" s="291">
        <v>9053000</v>
      </c>
      <c r="M449" s="292">
        <f t="shared" si="18"/>
        <v>2800000</v>
      </c>
      <c r="N449" s="85">
        <v>92642274</v>
      </c>
      <c r="O449" s="85" t="s">
        <v>8142</v>
      </c>
      <c r="P449" s="85" t="s">
        <v>8143</v>
      </c>
      <c r="Q449" s="293">
        <v>44967</v>
      </c>
      <c r="R449" s="293">
        <v>44967</v>
      </c>
      <c r="S449" s="293">
        <v>45084</v>
      </c>
      <c r="T449" s="293"/>
      <c r="U449" s="293"/>
      <c r="V449" s="293"/>
      <c r="W449" s="294">
        <v>44986</v>
      </c>
      <c r="X449" s="237">
        <v>2800000</v>
      </c>
      <c r="Y449" s="295">
        <f t="shared" si="19"/>
        <v>0</v>
      </c>
      <c r="Z449" s="296">
        <f t="shared" si="20"/>
        <v>1</v>
      </c>
      <c r="AA449" s="85">
        <v>57297693</v>
      </c>
      <c r="AB449" s="85" t="s">
        <v>5446</v>
      </c>
      <c r="AC449" s="290" t="s">
        <v>196</v>
      </c>
      <c r="AD449" s="290" t="s">
        <v>196</v>
      </c>
      <c r="AE449" s="236"/>
      <c r="AF449" s="85" t="s">
        <v>8144</v>
      </c>
      <c r="AG449" s="290" t="s">
        <v>192</v>
      </c>
      <c r="AH449" s="290" t="s">
        <v>192</v>
      </c>
    </row>
    <row r="450" spans="1:34" s="297" customFormat="1" ht="15" customHeight="1" x14ac:dyDescent="0.25">
      <c r="A450" s="289">
        <v>891780111</v>
      </c>
      <c r="B450" s="289" t="s">
        <v>54</v>
      </c>
      <c r="C450" s="290" t="s">
        <v>56</v>
      </c>
      <c r="D450" s="289" t="s">
        <v>60</v>
      </c>
      <c r="E450" s="290" t="s">
        <v>8145</v>
      </c>
      <c r="F450" s="289" t="s">
        <v>61</v>
      </c>
      <c r="G450" s="85" t="s">
        <v>63</v>
      </c>
      <c r="H450" s="85" t="s">
        <v>73</v>
      </c>
      <c r="I450" s="237">
        <v>1833000</v>
      </c>
      <c r="J450" s="290"/>
      <c r="K450" s="291"/>
      <c r="L450" s="291"/>
      <c r="M450" s="292">
        <f t="shared" si="18"/>
        <v>1833000</v>
      </c>
      <c r="N450" s="85">
        <v>1082931831</v>
      </c>
      <c r="O450" s="85" t="s">
        <v>8146</v>
      </c>
      <c r="P450" s="85" t="s">
        <v>8147</v>
      </c>
      <c r="Q450" s="293">
        <v>44967</v>
      </c>
      <c r="R450" s="293">
        <v>44967</v>
      </c>
      <c r="S450" s="293">
        <v>44985</v>
      </c>
      <c r="T450" s="293"/>
      <c r="U450" s="293"/>
      <c r="V450" s="293"/>
      <c r="W450" s="294"/>
      <c r="X450" s="237">
        <v>1833000</v>
      </c>
      <c r="Y450" s="295">
        <f t="shared" si="19"/>
        <v>0</v>
      </c>
      <c r="Z450" s="296">
        <f t="shared" si="20"/>
        <v>1</v>
      </c>
      <c r="AA450" s="85">
        <v>93400727</v>
      </c>
      <c r="AB450" s="85" t="s">
        <v>6418</v>
      </c>
      <c r="AC450" s="290" t="s">
        <v>196</v>
      </c>
      <c r="AD450" s="290" t="s">
        <v>196</v>
      </c>
      <c r="AE450" s="236"/>
      <c r="AF450" s="85" t="s">
        <v>8148</v>
      </c>
      <c r="AG450" s="290" t="s">
        <v>192</v>
      </c>
      <c r="AH450" s="290" t="s">
        <v>192</v>
      </c>
    </row>
    <row r="451" spans="1:34" s="297" customFormat="1" ht="15" customHeight="1" x14ac:dyDescent="0.25">
      <c r="A451" s="289">
        <v>891780111</v>
      </c>
      <c r="B451" s="289" t="s">
        <v>54</v>
      </c>
      <c r="C451" s="290" t="s">
        <v>56</v>
      </c>
      <c r="D451" s="289" t="s">
        <v>60</v>
      </c>
      <c r="E451" s="290" t="s">
        <v>8149</v>
      </c>
      <c r="F451" s="289" t="s">
        <v>61</v>
      </c>
      <c r="G451" s="85" t="s">
        <v>63</v>
      </c>
      <c r="H451" s="85" t="s">
        <v>73</v>
      </c>
      <c r="I451" s="237">
        <v>13123000</v>
      </c>
      <c r="J451" s="290">
        <v>1</v>
      </c>
      <c r="K451" s="291">
        <v>1653000</v>
      </c>
      <c r="L451" s="291"/>
      <c r="M451" s="292">
        <f t="shared" si="18"/>
        <v>14776000</v>
      </c>
      <c r="N451" s="85">
        <v>32896015</v>
      </c>
      <c r="O451" s="85" t="s">
        <v>8150</v>
      </c>
      <c r="P451" s="85" t="s">
        <v>8151</v>
      </c>
      <c r="Q451" s="293">
        <v>44967</v>
      </c>
      <c r="R451" s="293">
        <v>44967</v>
      </c>
      <c r="S451" s="293">
        <v>45084</v>
      </c>
      <c r="T451" s="293"/>
      <c r="U451" s="293"/>
      <c r="V451" s="293"/>
      <c r="W451" s="294">
        <v>45100</v>
      </c>
      <c r="X451" s="237">
        <v>14776000</v>
      </c>
      <c r="Y451" s="295">
        <f t="shared" si="19"/>
        <v>0</v>
      </c>
      <c r="Z451" s="296">
        <f t="shared" si="20"/>
        <v>1</v>
      </c>
      <c r="AA451" s="85">
        <v>45507423</v>
      </c>
      <c r="AB451" s="85" t="s">
        <v>6911</v>
      </c>
      <c r="AC451" s="290" t="s">
        <v>196</v>
      </c>
      <c r="AD451" s="290" t="s">
        <v>196</v>
      </c>
      <c r="AE451" s="236"/>
      <c r="AF451" s="85" t="s">
        <v>8152</v>
      </c>
      <c r="AG451" s="290" t="s">
        <v>192</v>
      </c>
      <c r="AH451" s="290" t="s">
        <v>192</v>
      </c>
    </row>
    <row r="452" spans="1:34" s="297" customFormat="1" ht="15" customHeight="1" x14ac:dyDescent="0.25">
      <c r="A452" s="289">
        <v>891780111</v>
      </c>
      <c r="B452" s="289" t="s">
        <v>54</v>
      </c>
      <c r="C452" s="290" t="s">
        <v>57</v>
      </c>
      <c r="D452" s="289" t="s">
        <v>60</v>
      </c>
      <c r="E452" s="290" t="s">
        <v>8153</v>
      </c>
      <c r="F452" s="289" t="s">
        <v>61</v>
      </c>
      <c r="G452" s="85" t="s">
        <v>63</v>
      </c>
      <c r="H452" s="85" t="s">
        <v>73</v>
      </c>
      <c r="I452" s="237">
        <v>16000000</v>
      </c>
      <c r="J452" s="290">
        <v>1</v>
      </c>
      <c r="K452" s="291">
        <v>2667000</v>
      </c>
      <c r="L452" s="291"/>
      <c r="M452" s="292">
        <f t="shared" si="18"/>
        <v>18667000</v>
      </c>
      <c r="N452" s="85">
        <v>1082937823</v>
      </c>
      <c r="O452" s="85" t="s">
        <v>8154</v>
      </c>
      <c r="P452" s="85" t="s">
        <v>8155</v>
      </c>
      <c r="Q452" s="293">
        <v>44967</v>
      </c>
      <c r="R452" s="293">
        <v>44967</v>
      </c>
      <c r="S452" s="293">
        <v>45056</v>
      </c>
      <c r="T452" s="293"/>
      <c r="U452" s="293"/>
      <c r="V452" s="293"/>
      <c r="W452" s="294">
        <v>45077</v>
      </c>
      <c r="X452" s="237">
        <v>18667000</v>
      </c>
      <c r="Y452" s="295">
        <f t="shared" si="19"/>
        <v>0</v>
      </c>
      <c r="Z452" s="296">
        <f t="shared" si="20"/>
        <v>1</v>
      </c>
      <c r="AA452" s="85">
        <v>1192791759</v>
      </c>
      <c r="AB452" s="85" t="s">
        <v>6649</v>
      </c>
      <c r="AC452" s="290" t="s">
        <v>196</v>
      </c>
      <c r="AD452" s="290" t="s">
        <v>196</v>
      </c>
      <c r="AE452" s="236"/>
      <c r="AF452" s="85" t="s">
        <v>8156</v>
      </c>
      <c r="AG452" s="290" t="s">
        <v>192</v>
      </c>
      <c r="AH452" s="290" t="s">
        <v>192</v>
      </c>
    </row>
    <row r="453" spans="1:34" s="297" customFormat="1" ht="15" customHeight="1" x14ac:dyDescent="0.25">
      <c r="A453" s="289">
        <v>891780111</v>
      </c>
      <c r="B453" s="289" t="s">
        <v>54</v>
      </c>
      <c r="C453" s="290" t="s">
        <v>56</v>
      </c>
      <c r="D453" s="289" t="s">
        <v>60</v>
      </c>
      <c r="E453" s="290" t="s">
        <v>8157</v>
      </c>
      <c r="F453" s="289" t="s">
        <v>61</v>
      </c>
      <c r="G453" s="85" t="s">
        <v>63</v>
      </c>
      <c r="H453" s="85" t="s">
        <v>73</v>
      </c>
      <c r="I453" s="237">
        <v>11853000</v>
      </c>
      <c r="J453" s="290">
        <v>1</v>
      </c>
      <c r="K453" s="291">
        <v>2147000</v>
      </c>
      <c r="L453" s="291"/>
      <c r="M453" s="292">
        <f t="shared" ref="M453:M516" si="21">I453+K453-L453</f>
        <v>14000000</v>
      </c>
      <c r="N453" s="85">
        <v>12560564</v>
      </c>
      <c r="O453" s="85" t="s">
        <v>8158</v>
      </c>
      <c r="P453" s="85" t="s">
        <v>8159</v>
      </c>
      <c r="Q453" s="293">
        <v>44967</v>
      </c>
      <c r="R453" s="293">
        <v>44967</v>
      </c>
      <c r="S453" s="293">
        <v>45084</v>
      </c>
      <c r="T453" s="293"/>
      <c r="U453" s="293"/>
      <c r="V453" s="293"/>
      <c r="W453" s="294">
        <v>45107</v>
      </c>
      <c r="X453" s="237">
        <v>14000000</v>
      </c>
      <c r="Y453" s="295">
        <f t="shared" ref="Y453:Y516" si="22">M453-X453</f>
        <v>0</v>
      </c>
      <c r="Z453" s="296">
        <f t="shared" ref="Z453:Z516" si="23">+(X453/M453)</f>
        <v>1</v>
      </c>
      <c r="AA453" s="85">
        <v>36557666</v>
      </c>
      <c r="AB453" s="85" t="s">
        <v>6916</v>
      </c>
      <c r="AC453" s="290" t="s">
        <v>196</v>
      </c>
      <c r="AD453" s="290" t="s">
        <v>196</v>
      </c>
      <c r="AE453" s="236"/>
      <c r="AF453" s="85" t="s">
        <v>8160</v>
      </c>
      <c r="AG453" s="290" t="s">
        <v>192</v>
      </c>
      <c r="AH453" s="290" t="s">
        <v>192</v>
      </c>
    </row>
    <row r="454" spans="1:34" s="297" customFormat="1" ht="15" customHeight="1" x14ac:dyDescent="0.25">
      <c r="A454" s="289">
        <v>891780111</v>
      </c>
      <c r="B454" s="289" t="s">
        <v>54</v>
      </c>
      <c r="C454" s="290" t="s">
        <v>56</v>
      </c>
      <c r="D454" s="289" t="s">
        <v>60</v>
      </c>
      <c r="E454" s="290" t="s">
        <v>8161</v>
      </c>
      <c r="F454" s="289" t="s">
        <v>61</v>
      </c>
      <c r="G454" s="85" t="s">
        <v>63</v>
      </c>
      <c r="H454" s="85" t="s">
        <v>73</v>
      </c>
      <c r="I454" s="237">
        <v>8043000</v>
      </c>
      <c r="J454" s="290">
        <v>1</v>
      </c>
      <c r="K454" s="291">
        <v>570000</v>
      </c>
      <c r="L454" s="291"/>
      <c r="M454" s="292">
        <f t="shared" si="21"/>
        <v>8613000</v>
      </c>
      <c r="N454" s="85">
        <v>57466963</v>
      </c>
      <c r="O454" s="85" t="s">
        <v>8162</v>
      </c>
      <c r="P454" s="85" t="s">
        <v>6617</v>
      </c>
      <c r="Q454" s="293">
        <v>44967</v>
      </c>
      <c r="R454" s="293">
        <v>44967</v>
      </c>
      <c r="S454" s="293">
        <v>45084</v>
      </c>
      <c r="T454" s="293"/>
      <c r="U454" s="293"/>
      <c r="V454" s="293"/>
      <c r="W454" s="294">
        <v>45093</v>
      </c>
      <c r="X454" s="237">
        <v>8613000</v>
      </c>
      <c r="Y454" s="295">
        <f t="shared" si="22"/>
        <v>0</v>
      </c>
      <c r="Z454" s="296">
        <f t="shared" si="23"/>
        <v>1</v>
      </c>
      <c r="AA454" s="85">
        <v>57444673</v>
      </c>
      <c r="AB454" s="85" t="s">
        <v>5370</v>
      </c>
      <c r="AC454" s="290" t="s">
        <v>196</v>
      </c>
      <c r="AD454" s="290" t="s">
        <v>196</v>
      </c>
      <c r="AE454" s="236"/>
      <c r="AF454" s="85" t="s">
        <v>8163</v>
      </c>
      <c r="AG454" s="290" t="s">
        <v>192</v>
      </c>
      <c r="AH454" s="290" t="s">
        <v>192</v>
      </c>
    </row>
    <row r="455" spans="1:34" s="297" customFormat="1" ht="15" customHeight="1" x14ac:dyDescent="0.25">
      <c r="A455" s="289">
        <v>891780111</v>
      </c>
      <c r="B455" s="289" t="s">
        <v>54</v>
      </c>
      <c r="C455" s="290" t="s">
        <v>57</v>
      </c>
      <c r="D455" s="289" t="s">
        <v>60</v>
      </c>
      <c r="E455" s="290" t="s">
        <v>8164</v>
      </c>
      <c r="F455" s="289" t="s">
        <v>61</v>
      </c>
      <c r="G455" s="85" t="s">
        <v>63</v>
      </c>
      <c r="H455" s="85" t="s">
        <v>73</v>
      </c>
      <c r="I455" s="237">
        <v>12250000</v>
      </c>
      <c r="J455" s="290"/>
      <c r="K455" s="291"/>
      <c r="L455" s="291"/>
      <c r="M455" s="292">
        <f t="shared" si="21"/>
        <v>12250000</v>
      </c>
      <c r="N455" s="85">
        <v>1081823159</v>
      </c>
      <c r="O455" s="85" t="s">
        <v>8165</v>
      </c>
      <c r="P455" s="85" t="s">
        <v>8166</v>
      </c>
      <c r="Q455" s="293">
        <v>44967</v>
      </c>
      <c r="R455" s="293">
        <v>44967</v>
      </c>
      <c r="S455" s="293">
        <v>45041</v>
      </c>
      <c r="T455" s="293"/>
      <c r="U455" s="293"/>
      <c r="V455" s="293"/>
      <c r="W455" s="294"/>
      <c r="X455" s="237">
        <v>12250000</v>
      </c>
      <c r="Y455" s="295">
        <f t="shared" si="22"/>
        <v>0</v>
      </c>
      <c r="Z455" s="296">
        <f t="shared" si="23"/>
        <v>1</v>
      </c>
      <c r="AA455" s="85">
        <v>1192791759</v>
      </c>
      <c r="AB455" s="85" t="s">
        <v>6649</v>
      </c>
      <c r="AC455" s="290" t="s">
        <v>196</v>
      </c>
      <c r="AD455" s="290" t="s">
        <v>196</v>
      </c>
      <c r="AE455" s="236"/>
      <c r="AF455" s="85" t="s">
        <v>8167</v>
      </c>
      <c r="AG455" s="290" t="s">
        <v>192</v>
      </c>
      <c r="AH455" s="290" t="s">
        <v>192</v>
      </c>
    </row>
    <row r="456" spans="1:34" s="297" customFormat="1" ht="15" customHeight="1" x14ac:dyDescent="0.25">
      <c r="A456" s="289">
        <v>891780111</v>
      </c>
      <c r="B456" s="289" t="s">
        <v>54</v>
      </c>
      <c r="C456" s="290" t="s">
        <v>57</v>
      </c>
      <c r="D456" s="289" t="s">
        <v>60</v>
      </c>
      <c r="E456" s="290" t="s">
        <v>8168</v>
      </c>
      <c r="F456" s="289" t="s">
        <v>61</v>
      </c>
      <c r="G456" s="85" t="s">
        <v>63</v>
      </c>
      <c r="H456" s="85" t="s">
        <v>73</v>
      </c>
      <c r="I456" s="237">
        <v>10400000</v>
      </c>
      <c r="J456" s="290">
        <v>1</v>
      </c>
      <c r="K456" s="291">
        <v>1733000</v>
      </c>
      <c r="L456" s="291"/>
      <c r="M456" s="292">
        <f t="shared" si="21"/>
        <v>12133000</v>
      </c>
      <c r="N456" s="85">
        <v>1083020916</v>
      </c>
      <c r="O456" s="85" t="s">
        <v>8169</v>
      </c>
      <c r="P456" s="85" t="s">
        <v>8170</v>
      </c>
      <c r="Q456" s="293">
        <v>44967</v>
      </c>
      <c r="R456" s="293">
        <v>44967</v>
      </c>
      <c r="S456" s="293">
        <v>45056</v>
      </c>
      <c r="T456" s="293"/>
      <c r="U456" s="293"/>
      <c r="V456" s="293"/>
      <c r="W456" s="294">
        <v>45077</v>
      </c>
      <c r="X456" s="237">
        <v>12133000</v>
      </c>
      <c r="Y456" s="295">
        <f t="shared" si="22"/>
        <v>0</v>
      </c>
      <c r="Z456" s="296">
        <f t="shared" si="23"/>
        <v>1</v>
      </c>
      <c r="AA456" s="85">
        <v>1192791759</v>
      </c>
      <c r="AB456" s="85" t="s">
        <v>6649</v>
      </c>
      <c r="AC456" s="290" t="s">
        <v>196</v>
      </c>
      <c r="AD456" s="290" t="s">
        <v>196</v>
      </c>
      <c r="AE456" s="236"/>
      <c r="AF456" s="85" t="s">
        <v>8171</v>
      </c>
      <c r="AG456" s="290" t="s">
        <v>192</v>
      </c>
      <c r="AH456" s="290" t="s">
        <v>192</v>
      </c>
    </row>
    <row r="457" spans="1:34" s="297" customFormat="1" ht="15" customHeight="1" x14ac:dyDescent="0.25">
      <c r="A457" s="289">
        <v>891780111</v>
      </c>
      <c r="B457" s="289" t="s">
        <v>54</v>
      </c>
      <c r="C457" s="290" t="s">
        <v>57</v>
      </c>
      <c r="D457" s="289" t="s">
        <v>60</v>
      </c>
      <c r="E457" s="290" t="s">
        <v>8172</v>
      </c>
      <c r="F457" s="289" t="s">
        <v>61</v>
      </c>
      <c r="G457" s="85" t="s">
        <v>63</v>
      </c>
      <c r="H457" s="85" t="s">
        <v>73</v>
      </c>
      <c r="I457" s="237">
        <v>18000000</v>
      </c>
      <c r="J457" s="290">
        <v>1</v>
      </c>
      <c r="K457" s="291">
        <v>3000000</v>
      </c>
      <c r="L457" s="291"/>
      <c r="M457" s="292">
        <f t="shared" si="21"/>
        <v>21000000</v>
      </c>
      <c r="N457" s="85">
        <v>1082982258</v>
      </c>
      <c r="O457" s="85" t="s">
        <v>8173</v>
      </c>
      <c r="P457" s="85" t="s">
        <v>8174</v>
      </c>
      <c r="Q457" s="293">
        <v>44967</v>
      </c>
      <c r="R457" s="293">
        <v>44967</v>
      </c>
      <c r="S457" s="293">
        <v>45056</v>
      </c>
      <c r="T457" s="293"/>
      <c r="U457" s="293"/>
      <c r="V457" s="293"/>
      <c r="W457" s="294">
        <v>45077</v>
      </c>
      <c r="X457" s="237">
        <v>21000000</v>
      </c>
      <c r="Y457" s="295">
        <f t="shared" si="22"/>
        <v>0</v>
      </c>
      <c r="Z457" s="296">
        <f t="shared" si="23"/>
        <v>1</v>
      </c>
      <c r="AA457" s="85">
        <v>1192791759</v>
      </c>
      <c r="AB457" s="85" t="s">
        <v>6649</v>
      </c>
      <c r="AC457" s="290" t="s">
        <v>196</v>
      </c>
      <c r="AD457" s="290" t="s">
        <v>196</v>
      </c>
      <c r="AE457" s="236"/>
      <c r="AF457" s="85" t="s">
        <v>8175</v>
      </c>
      <c r="AG457" s="290" t="s">
        <v>192</v>
      </c>
      <c r="AH457" s="290" t="s">
        <v>192</v>
      </c>
    </row>
    <row r="458" spans="1:34" s="297" customFormat="1" ht="15" customHeight="1" x14ac:dyDescent="0.25">
      <c r="A458" s="289">
        <v>891780111</v>
      </c>
      <c r="B458" s="289" t="s">
        <v>54</v>
      </c>
      <c r="C458" s="290" t="s">
        <v>56</v>
      </c>
      <c r="D458" s="289" t="s">
        <v>60</v>
      </c>
      <c r="E458" s="290" t="s">
        <v>8176</v>
      </c>
      <c r="F458" s="289" t="s">
        <v>61</v>
      </c>
      <c r="G458" s="85" t="s">
        <v>63</v>
      </c>
      <c r="H458" s="85" t="s">
        <v>73</v>
      </c>
      <c r="I458" s="237">
        <v>9313000</v>
      </c>
      <c r="J458" s="290"/>
      <c r="K458" s="291"/>
      <c r="L458" s="291"/>
      <c r="M458" s="292">
        <f t="shared" si="21"/>
        <v>9313000</v>
      </c>
      <c r="N458" s="85">
        <v>84459987</v>
      </c>
      <c r="O458" s="85" t="s">
        <v>8177</v>
      </c>
      <c r="P458" s="85" t="s">
        <v>8178</v>
      </c>
      <c r="Q458" s="293">
        <v>44967</v>
      </c>
      <c r="R458" s="293">
        <v>44967</v>
      </c>
      <c r="S458" s="293">
        <v>45084</v>
      </c>
      <c r="T458" s="293"/>
      <c r="U458" s="293"/>
      <c r="V458" s="293"/>
      <c r="W458" s="294"/>
      <c r="X458" s="237">
        <v>9313000</v>
      </c>
      <c r="Y458" s="295">
        <f t="shared" si="22"/>
        <v>0</v>
      </c>
      <c r="Z458" s="296">
        <f t="shared" si="23"/>
        <v>1</v>
      </c>
      <c r="AA458" s="85">
        <v>1082868728</v>
      </c>
      <c r="AB458" s="85" t="s">
        <v>6010</v>
      </c>
      <c r="AC458" s="290" t="s">
        <v>196</v>
      </c>
      <c r="AD458" s="290" t="s">
        <v>196</v>
      </c>
      <c r="AE458" s="236"/>
      <c r="AF458" s="85" t="s">
        <v>8179</v>
      </c>
      <c r="AG458" s="290" t="s">
        <v>192</v>
      </c>
      <c r="AH458" s="290" t="s">
        <v>192</v>
      </c>
    </row>
    <row r="459" spans="1:34" s="297" customFormat="1" ht="15" customHeight="1" x14ac:dyDescent="0.25">
      <c r="A459" s="289">
        <v>891780111</v>
      </c>
      <c r="B459" s="289" t="s">
        <v>54</v>
      </c>
      <c r="C459" s="290" t="s">
        <v>56</v>
      </c>
      <c r="D459" s="289" t="s">
        <v>60</v>
      </c>
      <c r="E459" s="290" t="s">
        <v>8180</v>
      </c>
      <c r="F459" s="289" t="s">
        <v>61</v>
      </c>
      <c r="G459" s="85" t="s">
        <v>63</v>
      </c>
      <c r="H459" s="85" t="s">
        <v>73</v>
      </c>
      <c r="I459" s="237">
        <v>9313000</v>
      </c>
      <c r="J459" s="290">
        <v>2</v>
      </c>
      <c r="K459" s="291">
        <v>1163000</v>
      </c>
      <c r="L459" s="291"/>
      <c r="M459" s="292">
        <f t="shared" si="21"/>
        <v>10476000</v>
      </c>
      <c r="N459" s="85">
        <v>1083016337</v>
      </c>
      <c r="O459" s="85" t="s">
        <v>8181</v>
      </c>
      <c r="P459" s="85" t="s">
        <v>8182</v>
      </c>
      <c r="Q459" s="293">
        <v>44967</v>
      </c>
      <c r="R459" s="293">
        <v>44967</v>
      </c>
      <c r="S459" s="293">
        <v>45084</v>
      </c>
      <c r="T459" s="293"/>
      <c r="U459" s="293"/>
      <c r="V459" s="293"/>
      <c r="W459" s="294">
        <v>45100</v>
      </c>
      <c r="X459" s="237">
        <v>10486000</v>
      </c>
      <c r="Y459" s="295">
        <f>M459-X459</f>
        <v>-10000</v>
      </c>
      <c r="Z459" s="296">
        <f t="shared" si="23"/>
        <v>1.000954562810233</v>
      </c>
      <c r="AA459" s="85">
        <v>1082868728</v>
      </c>
      <c r="AB459" s="85" t="s">
        <v>6010</v>
      </c>
      <c r="AC459" s="290" t="s">
        <v>196</v>
      </c>
      <c r="AD459" s="290" t="s">
        <v>196</v>
      </c>
      <c r="AE459" s="236"/>
      <c r="AF459" s="85" t="s">
        <v>8183</v>
      </c>
      <c r="AG459" s="290" t="s">
        <v>192</v>
      </c>
      <c r="AH459" s="290" t="s">
        <v>192</v>
      </c>
    </row>
    <row r="460" spans="1:34" s="297" customFormat="1" ht="15" customHeight="1" x14ac:dyDescent="0.25">
      <c r="A460" s="289">
        <v>891780111</v>
      </c>
      <c r="B460" s="289" t="s">
        <v>54</v>
      </c>
      <c r="C460" s="290" t="s">
        <v>56</v>
      </c>
      <c r="D460" s="289" t="s">
        <v>60</v>
      </c>
      <c r="E460" s="290" t="s">
        <v>8184</v>
      </c>
      <c r="F460" s="289" t="s">
        <v>61</v>
      </c>
      <c r="G460" s="85" t="s">
        <v>63</v>
      </c>
      <c r="H460" s="85" t="s">
        <v>73</v>
      </c>
      <c r="I460" s="237">
        <v>9313000</v>
      </c>
      <c r="J460" s="290"/>
      <c r="K460" s="291"/>
      <c r="L460" s="291"/>
      <c r="M460" s="292">
        <f t="shared" si="21"/>
        <v>9313000</v>
      </c>
      <c r="N460" s="85">
        <v>1083041500</v>
      </c>
      <c r="O460" s="85" t="s">
        <v>8185</v>
      </c>
      <c r="P460" s="85" t="s">
        <v>8186</v>
      </c>
      <c r="Q460" s="293">
        <v>44967</v>
      </c>
      <c r="R460" s="293">
        <v>44967</v>
      </c>
      <c r="S460" s="293">
        <v>45084</v>
      </c>
      <c r="T460" s="293"/>
      <c r="U460" s="293"/>
      <c r="V460" s="293"/>
      <c r="W460" s="294"/>
      <c r="X460" s="237">
        <v>9313000</v>
      </c>
      <c r="Y460" s="295">
        <f t="shared" si="22"/>
        <v>0</v>
      </c>
      <c r="Z460" s="296">
        <f t="shared" si="23"/>
        <v>1</v>
      </c>
      <c r="AA460" s="85">
        <v>1082868728</v>
      </c>
      <c r="AB460" s="85" t="s">
        <v>6010</v>
      </c>
      <c r="AC460" s="290" t="s">
        <v>196</v>
      </c>
      <c r="AD460" s="290" t="s">
        <v>196</v>
      </c>
      <c r="AE460" s="236"/>
      <c r="AF460" s="85" t="s">
        <v>8187</v>
      </c>
      <c r="AG460" s="290" t="s">
        <v>192</v>
      </c>
      <c r="AH460" s="290" t="s">
        <v>192</v>
      </c>
    </row>
    <row r="461" spans="1:34" s="297" customFormat="1" ht="15" customHeight="1" x14ac:dyDescent="0.25">
      <c r="A461" s="289">
        <v>891780111</v>
      </c>
      <c r="B461" s="289" t="s">
        <v>54</v>
      </c>
      <c r="C461" s="290" t="s">
        <v>56</v>
      </c>
      <c r="D461" s="289" t="s">
        <v>60</v>
      </c>
      <c r="E461" s="290" t="s">
        <v>8188</v>
      </c>
      <c r="F461" s="289" t="s">
        <v>61</v>
      </c>
      <c r="G461" s="85" t="s">
        <v>63</v>
      </c>
      <c r="H461" s="85" t="s">
        <v>73</v>
      </c>
      <c r="I461" s="237">
        <v>10583000</v>
      </c>
      <c r="J461" s="290"/>
      <c r="K461" s="291"/>
      <c r="L461" s="291"/>
      <c r="M461" s="292">
        <f t="shared" si="21"/>
        <v>10583000</v>
      </c>
      <c r="N461" s="85">
        <v>1083010207</v>
      </c>
      <c r="O461" s="85" t="s">
        <v>8189</v>
      </c>
      <c r="P461" s="85" t="s">
        <v>8190</v>
      </c>
      <c r="Q461" s="293">
        <v>44967</v>
      </c>
      <c r="R461" s="293">
        <v>44967</v>
      </c>
      <c r="S461" s="293">
        <v>45084</v>
      </c>
      <c r="T461" s="293"/>
      <c r="U461" s="293"/>
      <c r="V461" s="293"/>
      <c r="W461" s="294"/>
      <c r="X461" s="237">
        <v>10583000</v>
      </c>
      <c r="Y461" s="295">
        <f t="shared" si="22"/>
        <v>0</v>
      </c>
      <c r="Z461" s="296">
        <f t="shared" si="23"/>
        <v>1</v>
      </c>
      <c r="AA461" s="85">
        <v>1082868728</v>
      </c>
      <c r="AB461" s="85" t="s">
        <v>6010</v>
      </c>
      <c r="AC461" s="290" t="s">
        <v>196</v>
      </c>
      <c r="AD461" s="290" t="s">
        <v>196</v>
      </c>
      <c r="AE461" s="236"/>
      <c r="AF461" s="85" t="s">
        <v>8191</v>
      </c>
      <c r="AG461" s="290" t="s">
        <v>192</v>
      </c>
      <c r="AH461" s="290" t="s">
        <v>192</v>
      </c>
    </row>
    <row r="462" spans="1:34" s="297" customFormat="1" ht="15" customHeight="1" x14ac:dyDescent="0.25">
      <c r="A462" s="289">
        <v>891780111</v>
      </c>
      <c r="B462" s="289" t="s">
        <v>54</v>
      </c>
      <c r="C462" s="290" t="s">
        <v>56</v>
      </c>
      <c r="D462" s="289" t="s">
        <v>60</v>
      </c>
      <c r="E462" s="290" t="s">
        <v>8192</v>
      </c>
      <c r="F462" s="289" t="s">
        <v>61</v>
      </c>
      <c r="G462" s="85" t="s">
        <v>63</v>
      </c>
      <c r="H462" s="85" t="s">
        <v>73</v>
      </c>
      <c r="I462" s="237">
        <v>9313000</v>
      </c>
      <c r="J462" s="290">
        <v>2</v>
      </c>
      <c r="K462" s="291">
        <v>1173000</v>
      </c>
      <c r="L462" s="291"/>
      <c r="M462" s="292">
        <f t="shared" si="21"/>
        <v>10486000</v>
      </c>
      <c r="N462" s="85">
        <v>1082842092</v>
      </c>
      <c r="O462" s="85" t="s">
        <v>8193</v>
      </c>
      <c r="P462" s="85" t="s">
        <v>8194</v>
      </c>
      <c r="Q462" s="293">
        <v>44967</v>
      </c>
      <c r="R462" s="293">
        <v>44967</v>
      </c>
      <c r="S462" s="293">
        <v>45084</v>
      </c>
      <c r="T462" s="293"/>
      <c r="U462" s="293"/>
      <c r="V462" s="293"/>
      <c r="W462" s="294">
        <v>45100</v>
      </c>
      <c r="X462" s="237">
        <v>10486000</v>
      </c>
      <c r="Y462" s="295">
        <f t="shared" si="22"/>
        <v>0</v>
      </c>
      <c r="Z462" s="296">
        <f t="shared" si="23"/>
        <v>1</v>
      </c>
      <c r="AA462" s="85">
        <v>1082868728</v>
      </c>
      <c r="AB462" s="85" t="s">
        <v>6010</v>
      </c>
      <c r="AC462" s="290" t="s">
        <v>196</v>
      </c>
      <c r="AD462" s="290" t="s">
        <v>196</v>
      </c>
      <c r="AE462" s="236"/>
      <c r="AF462" s="85" t="s">
        <v>8195</v>
      </c>
      <c r="AG462" s="290" t="s">
        <v>192</v>
      </c>
      <c r="AH462" s="290" t="s">
        <v>192</v>
      </c>
    </row>
    <row r="463" spans="1:34" s="297" customFormat="1" ht="15" customHeight="1" x14ac:dyDescent="0.25">
      <c r="A463" s="289">
        <v>891780111</v>
      </c>
      <c r="B463" s="289" t="s">
        <v>54</v>
      </c>
      <c r="C463" s="290" t="s">
        <v>56</v>
      </c>
      <c r="D463" s="289" t="s">
        <v>60</v>
      </c>
      <c r="E463" s="290" t="s">
        <v>8196</v>
      </c>
      <c r="F463" s="289" t="s">
        <v>61</v>
      </c>
      <c r="G463" s="85" t="s">
        <v>63</v>
      </c>
      <c r="H463" s="85" t="s">
        <v>73</v>
      </c>
      <c r="I463" s="237">
        <v>14817000</v>
      </c>
      <c r="J463" s="290">
        <v>1</v>
      </c>
      <c r="K463" s="291">
        <v>2683000</v>
      </c>
      <c r="L463" s="291"/>
      <c r="M463" s="292">
        <f t="shared" si="21"/>
        <v>17500000</v>
      </c>
      <c r="N463" s="85">
        <v>1082909660</v>
      </c>
      <c r="O463" s="85" t="s">
        <v>8197</v>
      </c>
      <c r="P463" s="85" t="s">
        <v>8198</v>
      </c>
      <c r="Q463" s="293">
        <v>44967</v>
      </c>
      <c r="R463" s="293">
        <v>44967</v>
      </c>
      <c r="S463" s="293">
        <v>45084</v>
      </c>
      <c r="T463" s="293"/>
      <c r="U463" s="293"/>
      <c r="V463" s="293"/>
      <c r="W463" s="294">
        <v>45107</v>
      </c>
      <c r="X463" s="237">
        <v>17500000</v>
      </c>
      <c r="Y463" s="295">
        <f t="shared" si="22"/>
        <v>0</v>
      </c>
      <c r="Z463" s="296">
        <f t="shared" si="23"/>
        <v>1</v>
      </c>
      <c r="AA463" s="85">
        <v>7634027</v>
      </c>
      <c r="AB463" s="85" t="s">
        <v>7698</v>
      </c>
      <c r="AC463" s="290" t="s">
        <v>196</v>
      </c>
      <c r="AD463" s="290" t="s">
        <v>196</v>
      </c>
      <c r="AE463" s="236"/>
      <c r="AF463" s="85" t="s">
        <v>8199</v>
      </c>
      <c r="AG463" s="290" t="s">
        <v>192</v>
      </c>
      <c r="AH463" s="290" t="s">
        <v>192</v>
      </c>
    </row>
    <row r="464" spans="1:34" s="297" customFormat="1" ht="15" customHeight="1" x14ac:dyDescent="0.25">
      <c r="A464" s="289">
        <v>891780111</v>
      </c>
      <c r="B464" s="289" t="s">
        <v>54</v>
      </c>
      <c r="C464" s="290" t="s">
        <v>56</v>
      </c>
      <c r="D464" s="289" t="s">
        <v>60</v>
      </c>
      <c r="E464" s="290" t="s">
        <v>8200</v>
      </c>
      <c r="F464" s="289" t="s">
        <v>61</v>
      </c>
      <c r="G464" s="85" t="s">
        <v>63</v>
      </c>
      <c r="H464" s="85" t="s">
        <v>73</v>
      </c>
      <c r="I464" s="237">
        <v>8043000</v>
      </c>
      <c r="J464" s="290">
        <v>1</v>
      </c>
      <c r="K464" s="291">
        <v>3230000</v>
      </c>
      <c r="L464" s="291"/>
      <c r="M464" s="292">
        <f t="shared" si="21"/>
        <v>11273000</v>
      </c>
      <c r="N464" s="85">
        <v>57432482</v>
      </c>
      <c r="O464" s="85" t="s">
        <v>8201</v>
      </c>
      <c r="P464" s="85" t="s">
        <v>8202</v>
      </c>
      <c r="Q464" s="293">
        <v>44967</v>
      </c>
      <c r="R464" s="293">
        <v>44967</v>
      </c>
      <c r="S464" s="293">
        <v>45084</v>
      </c>
      <c r="T464" s="293"/>
      <c r="U464" s="293"/>
      <c r="V464" s="293"/>
      <c r="W464" s="294">
        <v>45105</v>
      </c>
      <c r="X464" s="237">
        <v>9500000</v>
      </c>
      <c r="Y464" s="295">
        <f t="shared" si="22"/>
        <v>1773000</v>
      </c>
      <c r="Z464" s="296">
        <f t="shared" si="23"/>
        <v>0.84272154705934532</v>
      </c>
      <c r="AA464" s="85">
        <v>45507423</v>
      </c>
      <c r="AB464" s="85" t="s">
        <v>6911</v>
      </c>
      <c r="AC464" s="290" t="s">
        <v>196</v>
      </c>
      <c r="AD464" s="290" t="s">
        <v>196</v>
      </c>
      <c r="AE464" s="236"/>
      <c r="AF464" s="85" t="s">
        <v>8203</v>
      </c>
      <c r="AG464" s="290" t="s">
        <v>192</v>
      </c>
      <c r="AH464" s="290" t="s">
        <v>192</v>
      </c>
    </row>
    <row r="465" spans="1:34" s="297" customFormat="1" ht="15" customHeight="1" x14ac:dyDescent="0.25">
      <c r="A465" s="289">
        <v>891780111</v>
      </c>
      <c r="B465" s="289" t="s">
        <v>54</v>
      </c>
      <c r="C465" s="290" t="s">
        <v>56</v>
      </c>
      <c r="D465" s="289" t="s">
        <v>60</v>
      </c>
      <c r="E465" s="290" t="s">
        <v>8204</v>
      </c>
      <c r="F465" s="289" t="s">
        <v>61</v>
      </c>
      <c r="G465" s="85" t="s">
        <v>63</v>
      </c>
      <c r="H465" s="85" t="s">
        <v>73</v>
      </c>
      <c r="I465" s="237">
        <v>18203000</v>
      </c>
      <c r="J465" s="290">
        <v>1</v>
      </c>
      <c r="K465" s="291">
        <v>3297000</v>
      </c>
      <c r="L465" s="291"/>
      <c r="M465" s="292">
        <f t="shared" si="21"/>
        <v>21500000</v>
      </c>
      <c r="N465" s="85">
        <v>65742222</v>
      </c>
      <c r="O465" s="85" t="s">
        <v>8205</v>
      </c>
      <c r="P465" s="85" t="s">
        <v>8206</v>
      </c>
      <c r="Q465" s="293">
        <v>44967</v>
      </c>
      <c r="R465" s="293">
        <v>44967</v>
      </c>
      <c r="S465" s="293">
        <v>45084</v>
      </c>
      <c r="T465" s="293"/>
      <c r="U465" s="293"/>
      <c r="V465" s="293"/>
      <c r="W465" s="294">
        <v>45107</v>
      </c>
      <c r="X465" s="237">
        <v>21500000</v>
      </c>
      <c r="Y465" s="295">
        <f t="shared" si="22"/>
        <v>0</v>
      </c>
      <c r="Z465" s="296">
        <f t="shared" si="23"/>
        <v>1</v>
      </c>
      <c r="AA465" s="85">
        <v>57461690</v>
      </c>
      <c r="AB465" s="85" t="s">
        <v>8207</v>
      </c>
      <c r="AC465" s="290" t="s">
        <v>196</v>
      </c>
      <c r="AD465" s="290" t="s">
        <v>196</v>
      </c>
      <c r="AE465" s="236"/>
      <c r="AF465" s="85" t="s">
        <v>8208</v>
      </c>
      <c r="AG465" s="290" t="s">
        <v>192</v>
      </c>
      <c r="AH465" s="290" t="s">
        <v>192</v>
      </c>
    </row>
    <row r="466" spans="1:34" s="297" customFormat="1" ht="15" customHeight="1" x14ac:dyDescent="0.25">
      <c r="A466" s="289">
        <v>891780111</v>
      </c>
      <c r="B466" s="289" t="s">
        <v>54</v>
      </c>
      <c r="C466" s="290" t="s">
        <v>56</v>
      </c>
      <c r="D466" s="289" t="s">
        <v>60</v>
      </c>
      <c r="E466" s="290" t="s">
        <v>8209</v>
      </c>
      <c r="F466" s="289" t="s">
        <v>61</v>
      </c>
      <c r="G466" s="85" t="s">
        <v>63</v>
      </c>
      <c r="H466" s="85" t="s">
        <v>73</v>
      </c>
      <c r="I466" s="237">
        <v>8043000</v>
      </c>
      <c r="J466" s="290">
        <v>1</v>
      </c>
      <c r="K466" s="291">
        <v>1013000</v>
      </c>
      <c r="L466" s="291"/>
      <c r="M466" s="292">
        <f t="shared" si="21"/>
        <v>9056000</v>
      </c>
      <c r="N466" s="85">
        <v>57430388</v>
      </c>
      <c r="O466" s="85" t="s">
        <v>8210</v>
      </c>
      <c r="P466" s="85" t="s">
        <v>8211</v>
      </c>
      <c r="Q466" s="293">
        <v>44967</v>
      </c>
      <c r="R466" s="293">
        <v>44967</v>
      </c>
      <c r="S466" s="293">
        <v>45084</v>
      </c>
      <c r="T466" s="293"/>
      <c r="U466" s="293"/>
      <c r="V466" s="293"/>
      <c r="W466" s="294">
        <v>45100</v>
      </c>
      <c r="X466" s="237">
        <v>9056000</v>
      </c>
      <c r="Y466" s="295">
        <f t="shared" si="22"/>
        <v>0</v>
      </c>
      <c r="Z466" s="296">
        <f t="shared" si="23"/>
        <v>1</v>
      </c>
      <c r="AA466" s="85">
        <v>45507423</v>
      </c>
      <c r="AB466" s="85" t="s">
        <v>6911</v>
      </c>
      <c r="AC466" s="290" t="s">
        <v>196</v>
      </c>
      <c r="AD466" s="290" t="s">
        <v>196</v>
      </c>
      <c r="AE466" s="236"/>
      <c r="AF466" s="85" t="s">
        <v>8212</v>
      </c>
      <c r="AG466" s="290" t="s">
        <v>192</v>
      </c>
      <c r="AH466" s="290" t="s">
        <v>192</v>
      </c>
    </row>
    <row r="467" spans="1:34" s="297" customFormat="1" ht="15" customHeight="1" x14ac:dyDescent="0.25">
      <c r="A467" s="289">
        <v>891780111</v>
      </c>
      <c r="B467" s="289" t="s">
        <v>54</v>
      </c>
      <c r="C467" s="290" t="s">
        <v>56</v>
      </c>
      <c r="D467" s="289" t="s">
        <v>60</v>
      </c>
      <c r="E467" s="290" t="s">
        <v>8213</v>
      </c>
      <c r="F467" s="289" t="s">
        <v>61</v>
      </c>
      <c r="G467" s="85" t="s">
        <v>63</v>
      </c>
      <c r="H467" s="85" t="s">
        <v>73</v>
      </c>
      <c r="I467" s="237">
        <v>8043000</v>
      </c>
      <c r="J467" s="290">
        <v>1</v>
      </c>
      <c r="K467" s="291">
        <v>1013000</v>
      </c>
      <c r="L467" s="291"/>
      <c r="M467" s="292">
        <f t="shared" si="21"/>
        <v>9056000</v>
      </c>
      <c r="N467" s="85">
        <v>57428677</v>
      </c>
      <c r="O467" s="85" t="s">
        <v>8214</v>
      </c>
      <c r="P467" s="85" t="s">
        <v>8093</v>
      </c>
      <c r="Q467" s="293">
        <v>44967</v>
      </c>
      <c r="R467" s="293">
        <v>44967</v>
      </c>
      <c r="S467" s="293">
        <v>45084</v>
      </c>
      <c r="T467" s="293"/>
      <c r="U467" s="293"/>
      <c r="V467" s="293"/>
      <c r="W467" s="294">
        <v>45100</v>
      </c>
      <c r="X467" s="237">
        <v>9056000</v>
      </c>
      <c r="Y467" s="295">
        <f t="shared" si="22"/>
        <v>0</v>
      </c>
      <c r="Z467" s="296">
        <f t="shared" si="23"/>
        <v>1</v>
      </c>
      <c r="AA467" s="85">
        <v>45507423</v>
      </c>
      <c r="AB467" s="85" t="s">
        <v>6911</v>
      </c>
      <c r="AC467" s="290" t="s">
        <v>196</v>
      </c>
      <c r="AD467" s="290" t="s">
        <v>196</v>
      </c>
      <c r="AE467" s="236"/>
      <c r="AF467" s="85" t="s">
        <v>8215</v>
      </c>
      <c r="AG467" s="290" t="s">
        <v>192</v>
      </c>
      <c r="AH467" s="290" t="s">
        <v>192</v>
      </c>
    </row>
    <row r="468" spans="1:34" s="297" customFormat="1" ht="15" customHeight="1" x14ac:dyDescent="0.25">
      <c r="A468" s="289">
        <v>891780111</v>
      </c>
      <c r="B468" s="289" t="s">
        <v>54</v>
      </c>
      <c r="C468" s="290" t="s">
        <v>56</v>
      </c>
      <c r="D468" s="289" t="s">
        <v>60</v>
      </c>
      <c r="E468" s="290" t="s">
        <v>8216</v>
      </c>
      <c r="F468" s="289" t="s">
        <v>61</v>
      </c>
      <c r="G468" s="85" t="s">
        <v>63</v>
      </c>
      <c r="H468" s="85" t="s">
        <v>73</v>
      </c>
      <c r="I468" s="237">
        <v>8043000</v>
      </c>
      <c r="J468" s="290">
        <v>1</v>
      </c>
      <c r="K468" s="291">
        <v>1013000</v>
      </c>
      <c r="L468" s="291"/>
      <c r="M468" s="292">
        <f t="shared" si="21"/>
        <v>9056000</v>
      </c>
      <c r="N468" s="85">
        <v>1085227404</v>
      </c>
      <c r="O468" s="85" t="s">
        <v>8217</v>
      </c>
      <c r="P468" s="85" t="s">
        <v>8105</v>
      </c>
      <c r="Q468" s="293">
        <v>44967</v>
      </c>
      <c r="R468" s="293">
        <v>44967</v>
      </c>
      <c r="S468" s="293">
        <v>45084</v>
      </c>
      <c r="T468" s="293"/>
      <c r="U468" s="293"/>
      <c r="V468" s="293"/>
      <c r="W468" s="294">
        <v>45100</v>
      </c>
      <c r="X468" s="237">
        <v>9056000</v>
      </c>
      <c r="Y468" s="295">
        <f t="shared" si="22"/>
        <v>0</v>
      </c>
      <c r="Z468" s="296">
        <f t="shared" si="23"/>
        <v>1</v>
      </c>
      <c r="AA468" s="85">
        <v>45507423</v>
      </c>
      <c r="AB468" s="85" t="s">
        <v>6911</v>
      </c>
      <c r="AC468" s="290" t="s">
        <v>196</v>
      </c>
      <c r="AD468" s="290" t="s">
        <v>196</v>
      </c>
      <c r="AE468" s="236"/>
      <c r="AF468" s="85" t="s">
        <v>8218</v>
      </c>
      <c r="AG468" s="290" t="s">
        <v>192</v>
      </c>
      <c r="AH468" s="290" t="s">
        <v>192</v>
      </c>
    </row>
    <row r="469" spans="1:34" s="297" customFormat="1" ht="15" customHeight="1" x14ac:dyDescent="0.25">
      <c r="A469" s="289">
        <v>891780111</v>
      </c>
      <c r="B469" s="289" t="s">
        <v>54</v>
      </c>
      <c r="C469" s="290" t="s">
        <v>56</v>
      </c>
      <c r="D469" s="289" t="s">
        <v>60</v>
      </c>
      <c r="E469" s="290" t="s">
        <v>8219</v>
      </c>
      <c r="F469" s="289" t="s">
        <v>61</v>
      </c>
      <c r="G469" s="85" t="s">
        <v>63</v>
      </c>
      <c r="H469" s="85" t="s">
        <v>73</v>
      </c>
      <c r="I469" s="237">
        <v>9313000</v>
      </c>
      <c r="J469" s="290">
        <v>1</v>
      </c>
      <c r="K469" s="291">
        <v>660000</v>
      </c>
      <c r="L469" s="291"/>
      <c r="M469" s="292">
        <f t="shared" si="21"/>
        <v>9973000</v>
      </c>
      <c r="N469" s="85">
        <v>1082842812</v>
      </c>
      <c r="O469" s="85" t="s">
        <v>8220</v>
      </c>
      <c r="P469" s="85" t="s">
        <v>8221</v>
      </c>
      <c r="Q469" s="293">
        <v>44967</v>
      </c>
      <c r="R469" s="293">
        <v>44967</v>
      </c>
      <c r="S469" s="293">
        <v>45084</v>
      </c>
      <c r="T469" s="293"/>
      <c r="U469" s="293"/>
      <c r="V469" s="293"/>
      <c r="W469" s="294">
        <v>45093</v>
      </c>
      <c r="X469" s="237">
        <v>9973000</v>
      </c>
      <c r="Y469" s="295">
        <f t="shared" si="22"/>
        <v>0</v>
      </c>
      <c r="Z469" s="296">
        <f t="shared" si="23"/>
        <v>1</v>
      </c>
      <c r="AA469" s="85">
        <v>1082868728</v>
      </c>
      <c r="AB469" s="85" t="s">
        <v>6010</v>
      </c>
      <c r="AC469" s="290" t="s">
        <v>196</v>
      </c>
      <c r="AD469" s="290" t="s">
        <v>196</v>
      </c>
      <c r="AE469" s="236"/>
      <c r="AF469" s="85" t="s">
        <v>8222</v>
      </c>
      <c r="AG469" s="290" t="s">
        <v>192</v>
      </c>
      <c r="AH469" s="290" t="s">
        <v>192</v>
      </c>
    </row>
    <row r="470" spans="1:34" s="297" customFormat="1" ht="15" customHeight="1" x14ac:dyDescent="0.25">
      <c r="A470" s="289">
        <v>891780111</v>
      </c>
      <c r="B470" s="289" t="s">
        <v>54</v>
      </c>
      <c r="C470" s="290" t="s">
        <v>56</v>
      </c>
      <c r="D470" s="289" t="s">
        <v>60</v>
      </c>
      <c r="E470" s="290" t="s">
        <v>8223</v>
      </c>
      <c r="F470" s="289" t="s">
        <v>61</v>
      </c>
      <c r="G470" s="85" t="s">
        <v>63</v>
      </c>
      <c r="H470" s="85" t="s">
        <v>73</v>
      </c>
      <c r="I470" s="237">
        <v>13123000</v>
      </c>
      <c r="J470" s="290">
        <v>1</v>
      </c>
      <c r="K470" s="291">
        <v>1653000</v>
      </c>
      <c r="L470" s="291"/>
      <c r="M470" s="292">
        <f t="shared" si="21"/>
        <v>14776000</v>
      </c>
      <c r="N470" s="85">
        <v>1124033882</v>
      </c>
      <c r="O470" s="85" t="s">
        <v>8224</v>
      </c>
      <c r="P470" s="85" t="s">
        <v>8225</v>
      </c>
      <c r="Q470" s="293">
        <v>44967</v>
      </c>
      <c r="R470" s="293">
        <v>44967</v>
      </c>
      <c r="S470" s="293">
        <v>45084</v>
      </c>
      <c r="T470" s="293"/>
      <c r="U470" s="293"/>
      <c r="V470" s="293"/>
      <c r="W470" s="294">
        <v>45100</v>
      </c>
      <c r="X470" s="237">
        <v>14776000</v>
      </c>
      <c r="Y470" s="295">
        <f t="shared" si="22"/>
        <v>0</v>
      </c>
      <c r="Z470" s="296">
        <f t="shared" si="23"/>
        <v>1</v>
      </c>
      <c r="AA470" s="85">
        <v>45507423</v>
      </c>
      <c r="AB470" s="85" t="s">
        <v>6911</v>
      </c>
      <c r="AC470" s="290" t="s">
        <v>196</v>
      </c>
      <c r="AD470" s="290" t="s">
        <v>196</v>
      </c>
      <c r="AE470" s="236"/>
      <c r="AF470" s="85" t="s">
        <v>8226</v>
      </c>
      <c r="AG470" s="290" t="s">
        <v>192</v>
      </c>
      <c r="AH470" s="290" t="s">
        <v>192</v>
      </c>
    </row>
    <row r="471" spans="1:34" s="297" customFormat="1" ht="15" customHeight="1" x14ac:dyDescent="0.25">
      <c r="A471" s="289">
        <v>891780111</v>
      </c>
      <c r="B471" s="289" t="s">
        <v>54</v>
      </c>
      <c r="C471" s="290" t="s">
        <v>56</v>
      </c>
      <c r="D471" s="289" t="s">
        <v>60</v>
      </c>
      <c r="E471" s="290" t="s">
        <v>8227</v>
      </c>
      <c r="F471" s="289" t="s">
        <v>61</v>
      </c>
      <c r="G471" s="85" t="s">
        <v>63</v>
      </c>
      <c r="H471" s="85" t="s">
        <v>73</v>
      </c>
      <c r="I471" s="237">
        <v>10583000</v>
      </c>
      <c r="J471" s="290"/>
      <c r="K471" s="291"/>
      <c r="L471" s="291"/>
      <c r="M471" s="292">
        <f t="shared" si="21"/>
        <v>10583000</v>
      </c>
      <c r="N471" s="85">
        <v>1234097322</v>
      </c>
      <c r="O471" s="85" t="s">
        <v>8228</v>
      </c>
      <c r="P471" s="85" t="s">
        <v>8229</v>
      </c>
      <c r="Q471" s="293">
        <v>44967</v>
      </c>
      <c r="R471" s="293">
        <v>44967</v>
      </c>
      <c r="S471" s="293">
        <v>45084</v>
      </c>
      <c r="T471" s="293"/>
      <c r="U471" s="293"/>
      <c r="V471" s="293"/>
      <c r="W471" s="294"/>
      <c r="X471" s="237">
        <v>10000000</v>
      </c>
      <c r="Y471" s="295">
        <f t="shared" si="22"/>
        <v>583000</v>
      </c>
      <c r="Z471" s="296">
        <f t="shared" si="23"/>
        <v>0.94491165076065387</v>
      </c>
      <c r="AA471" s="85">
        <v>85468846</v>
      </c>
      <c r="AB471" s="85" t="s">
        <v>7615</v>
      </c>
      <c r="AC471" s="290" t="s">
        <v>196</v>
      </c>
      <c r="AD471" s="290" t="s">
        <v>196</v>
      </c>
      <c r="AE471" s="236"/>
      <c r="AF471" s="85" t="s">
        <v>8230</v>
      </c>
      <c r="AG471" s="290" t="s">
        <v>192</v>
      </c>
      <c r="AH471" s="290" t="s">
        <v>192</v>
      </c>
    </row>
    <row r="472" spans="1:34" s="297" customFormat="1" ht="15" customHeight="1" x14ac:dyDescent="0.25">
      <c r="A472" s="289">
        <v>891780111</v>
      </c>
      <c r="B472" s="289" t="s">
        <v>54</v>
      </c>
      <c r="C472" s="290" t="s">
        <v>56</v>
      </c>
      <c r="D472" s="289" t="s">
        <v>60</v>
      </c>
      <c r="E472" s="290" t="s">
        <v>8231</v>
      </c>
      <c r="F472" s="289" t="s">
        <v>61</v>
      </c>
      <c r="G472" s="85" t="s">
        <v>63</v>
      </c>
      <c r="H472" s="85" t="s">
        <v>73</v>
      </c>
      <c r="I472" s="237">
        <v>10583000</v>
      </c>
      <c r="J472" s="290"/>
      <c r="K472" s="291"/>
      <c r="L472" s="291"/>
      <c r="M472" s="292">
        <f t="shared" si="21"/>
        <v>10583000</v>
      </c>
      <c r="N472" s="85">
        <v>57432188</v>
      </c>
      <c r="O472" s="85" t="s">
        <v>8232</v>
      </c>
      <c r="P472" s="85" t="s">
        <v>8233</v>
      </c>
      <c r="Q472" s="293">
        <v>44967</v>
      </c>
      <c r="R472" s="293">
        <v>44967</v>
      </c>
      <c r="S472" s="293">
        <v>45084</v>
      </c>
      <c r="T472" s="293"/>
      <c r="U472" s="293"/>
      <c r="V472" s="293"/>
      <c r="W472" s="294"/>
      <c r="X472" s="237">
        <v>10583000</v>
      </c>
      <c r="Y472" s="295">
        <f t="shared" si="22"/>
        <v>0</v>
      </c>
      <c r="Z472" s="296">
        <f t="shared" si="23"/>
        <v>1</v>
      </c>
      <c r="AA472" s="85">
        <v>85468846</v>
      </c>
      <c r="AB472" s="85" t="s">
        <v>7615</v>
      </c>
      <c r="AC472" s="290" t="s">
        <v>196</v>
      </c>
      <c r="AD472" s="290" t="s">
        <v>196</v>
      </c>
      <c r="AE472" s="236"/>
      <c r="AF472" s="85" t="s">
        <v>8234</v>
      </c>
      <c r="AG472" s="290" t="s">
        <v>192</v>
      </c>
      <c r="AH472" s="290" t="s">
        <v>192</v>
      </c>
    </row>
    <row r="473" spans="1:34" s="297" customFormat="1" ht="15" customHeight="1" x14ac:dyDescent="0.25">
      <c r="A473" s="289">
        <v>891780111</v>
      </c>
      <c r="B473" s="289" t="s">
        <v>54</v>
      </c>
      <c r="C473" s="290" t="s">
        <v>56</v>
      </c>
      <c r="D473" s="289" t="s">
        <v>60</v>
      </c>
      <c r="E473" s="290" t="s">
        <v>8235</v>
      </c>
      <c r="F473" s="289" t="s">
        <v>61</v>
      </c>
      <c r="G473" s="85" t="s">
        <v>63</v>
      </c>
      <c r="H473" s="85" t="s">
        <v>73</v>
      </c>
      <c r="I473" s="237">
        <v>9313000</v>
      </c>
      <c r="J473" s="290">
        <v>1</v>
      </c>
      <c r="K473" s="291">
        <v>1173000</v>
      </c>
      <c r="L473" s="291"/>
      <c r="M473" s="292">
        <f t="shared" si="21"/>
        <v>10486000</v>
      </c>
      <c r="N473" s="85">
        <v>36695248</v>
      </c>
      <c r="O473" s="85" t="s">
        <v>8236</v>
      </c>
      <c r="P473" s="85" t="s">
        <v>8237</v>
      </c>
      <c r="Q473" s="293">
        <v>44967</v>
      </c>
      <c r="R473" s="293">
        <v>44967</v>
      </c>
      <c r="S473" s="293">
        <v>45084</v>
      </c>
      <c r="T473" s="293"/>
      <c r="U473" s="293"/>
      <c r="V473" s="293"/>
      <c r="W473" s="294">
        <v>45100</v>
      </c>
      <c r="X473" s="237">
        <v>10486000</v>
      </c>
      <c r="Y473" s="295">
        <f t="shared" si="22"/>
        <v>0</v>
      </c>
      <c r="Z473" s="296">
        <f t="shared" si="23"/>
        <v>1</v>
      </c>
      <c r="AA473" s="85">
        <v>45507423</v>
      </c>
      <c r="AB473" s="85" t="s">
        <v>6911</v>
      </c>
      <c r="AC473" s="290" t="s">
        <v>196</v>
      </c>
      <c r="AD473" s="290" t="s">
        <v>196</v>
      </c>
      <c r="AE473" s="236"/>
      <c r="AF473" s="85" t="s">
        <v>8238</v>
      </c>
      <c r="AG473" s="290" t="s">
        <v>192</v>
      </c>
      <c r="AH473" s="290" t="s">
        <v>192</v>
      </c>
    </row>
    <row r="474" spans="1:34" s="297" customFormat="1" ht="15" customHeight="1" x14ac:dyDescent="0.25">
      <c r="A474" s="289">
        <v>891780111</v>
      </c>
      <c r="B474" s="289" t="s">
        <v>54</v>
      </c>
      <c r="C474" s="290" t="s">
        <v>56</v>
      </c>
      <c r="D474" s="289" t="s">
        <v>60</v>
      </c>
      <c r="E474" s="290" t="s">
        <v>8239</v>
      </c>
      <c r="F474" s="289" t="s">
        <v>61</v>
      </c>
      <c r="G474" s="85" t="s">
        <v>63</v>
      </c>
      <c r="H474" s="85" t="s">
        <v>73</v>
      </c>
      <c r="I474" s="237">
        <v>11853000</v>
      </c>
      <c r="J474" s="290">
        <v>1</v>
      </c>
      <c r="K474" s="291">
        <v>2147000</v>
      </c>
      <c r="L474" s="291"/>
      <c r="M474" s="292">
        <f t="shared" si="21"/>
        <v>14000000</v>
      </c>
      <c r="N474" s="85">
        <v>1118843119</v>
      </c>
      <c r="O474" s="85" t="s">
        <v>8240</v>
      </c>
      <c r="P474" s="85" t="s">
        <v>8241</v>
      </c>
      <c r="Q474" s="293">
        <v>44967</v>
      </c>
      <c r="R474" s="293">
        <v>44967</v>
      </c>
      <c r="S474" s="293">
        <v>45084</v>
      </c>
      <c r="T474" s="293"/>
      <c r="U474" s="293"/>
      <c r="V474" s="293"/>
      <c r="W474" s="294">
        <v>45107</v>
      </c>
      <c r="X474" s="237">
        <v>14000000</v>
      </c>
      <c r="Y474" s="295">
        <f t="shared" si="22"/>
        <v>0</v>
      </c>
      <c r="Z474" s="296">
        <f t="shared" si="23"/>
        <v>1</v>
      </c>
      <c r="AA474" s="85">
        <v>1082863147</v>
      </c>
      <c r="AB474" s="85" t="s">
        <v>7769</v>
      </c>
      <c r="AC474" s="290" t="s">
        <v>196</v>
      </c>
      <c r="AD474" s="290" t="s">
        <v>196</v>
      </c>
      <c r="AE474" s="236"/>
      <c r="AF474" s="85" t="s">
        <v>8242</v>
      </c>
      <c r="AG474" s="290" t="s">
        <v>192</v>
      </c>
      <c r="AH474" s="290" t="s">
        <v>192</v>
      </c>
    </row>
    <row r="475" spans="1:34" s="297" customFormat="1" ht="15" customHeight="1" x14ac:dyDescent="0.25">
      <c r="A475" s="289">
        <v>891780111</v>
      </c>
      <c r="B475" s="289" t="s">
        <v>54</v>
      </c>
      <c r="C475" s="290" t="s">
        <v>56</v>
      </c>
      <c r="D475" s="289" t="s">
        <v>60</v>
      </c>
      <c r="E475" s="290" t="s">
        <v>8243</v>
      </c>
      <c r="F475" s="289" t="s">
        <v>61</v>
      </c>
      <c r="G475" s="85" t="s">
        <v>63</v>
      </c>
      <c r="H475" s="85" t="s">
        <v>73</v>
      </c>
      <c r="I475" s="237">
        <v>15413000</v>
      </c>
      <c r="J475" s="290">
        <v>1</v>
      </c>
      <c r="K475" s="291">
        <v>1587000</v>
      </c>
      <c r="L475" s="291"/>
      <c r="M475" s="292">
        <f t="shared" si="21"/>
        <v>17000000</v>
      </c>
      <c r="N475" s="85">
        <v>40935289</v>
      </c>
      <c r="O475" s="85" t="s">
        <v>8244</v>
      </c>
      <c r="P475" s="85" t="s">
        <v>8245</v>
      </c>
      <c r="Q475" s="293">
        <v>44967</v>
      </c>
      <c r="R475" s="293">
        <v>44967</v>
      </c>
      <c r="S475" s="293">
        <v>45093</v>
      </c>
      <c r="T475" s="293"/>
      <c r="U475" s="293"/>
      <c r="V475" s="293"/>
      <c r="W475" s="294">
        <v>45107</v>
      </c>
      <c r="X475" s="237">
        <v>17000000</v>
      </c>
      <c r="Y475" s="295">
        <f t="shared" si="22"/>
        <v>0</v>
      </c>
      <c r="Z475" s="296">
        <f t="shared" si="23"/>
        <v>1</v>
      </c>
      <c r="AA475" s="85">
        <v>15443332</v>
      </c>
      <c r="AB475" s="85" t="s">
        <v>5907</v>
      </c>
      <c r="AC475" s="290" t="s">
        <v>196</v>
      </c>
      <c r="AD475" s="290" t="s">
        <v>196</v>
      </c>
      <c r="AE475" s="236"/>
      <c r="AF475" s="85" t="s">
        <v>8246</v>
      </c>
      <c r="AG475" s="290" t="s">
        <v>192</v>
      </c>
      <c r="AH475" s="290" t="s">
        <v>192</v>
      </c>
    </row>
    <row r="476" spans="1:34" s="297" customFormat="1" ht="15" customHeight="1" x14ac:dyDescent="0.25">
      <c r="A476" s="289">
        <v>891780111</v>
      </c>
      <c r="B476" s="289" t="s">
        <v>54</v>
      </c>
      <c r="C476" s="290" t="s">
        <v>56</v>
      </c>
      <c r="D476" s="289" t="s">
        <v>60</v>
      </c>
      <c r="E476" s="290" t="s">
        <v>8247</v>
      </c>
      <c r="F476" s="289" t="s">
        <v>61</v>
      </c>
      <c r="G476" s="85" t="s">
        <v>63</v>
      </c>
      <c r="H476" s="85" t="s">
        <v>73</v>
      </c>
      <c r="I476" s="237">
        <v>13123000</v>
      </c>
      <c r="J476" s="290">
        <v>1</v>
      </c>
      <c r="K476" s="291">
        <v>2377000</v>
      </c>
      <c r="L476" s="291"/>
      <c r="M476" s="292">
        <f t="shared" si="21"/>
        <v>15500000</v>
      </c>
      <c r="N476" s="85">
        <v>1082915137</v>
      </c>
      <c r="O476" s="85" t="s">
        <v>8248</v>
      </c>
      <c r="P476" s="85" t="s">
        <v>8249</v>
      </c>
      <c r="Q476" s="293">
        <v>44967</v>
      </c>
      <c r="R476" s="293">
        <v>44967</v>
      </c>
      <c r="S476" s="293">
        <v>45084</v>
      </c>
      <c r="T476" s="293"/>
      <c r="U476" s="293"/>
      <c r="V476" s="293"/>
      <c r="W476" s="294">
        <v>45107</v>
      </c>
      <c r="X476" s="237">
        <v>15500000</v>
      </c>
      <c r="Y476" s="295">
        <f t="shared" si="22"/>
        <v>0</v>
      </c>
      <c r="Z476" s="296">
        <f t="shared" si="23"/>
        <v>1</v>
      </c>
      <c r="AA476" s="85">
        <v>7601831</v>
      </c>
      <c r="AB476" s="85" t="s">
        <v>7383</v>
      </c>
      <c r="AC476" s="290" t="s">
        <v>196</v>
      </c>
      <c r="AD476" s="290" t="s">
        <v>196</v>
      </c>
      <c r="AE476" s="236"/>
      <c r="AF476" s="85" t="s">
        <v>8250</v>
      </c>
      <c r="AG476" s="290" t="s">
        <v>192</v>
      </c>
      <c r="AH476" s="290" t="s">
        <v>192</v>
      </c>
    </row>
    <row r="477" spans="1:34" s="297" customFormat="1" ht="15" customHeight="1" x14ac:dyDescent="0.25">
      <c r="A477" s="289">
        <v>891780111</v>
      </c>
      <c r="B477" s="289" t="s">
        <v>54</v>
      </c>
      <c r="C477" s="290" t="s">
        <v>56</v>
      </c>
      <c r="D477" s="289" t="s">
        <v>60</v>
      </c>
      <c r="E477" s="290" t="s">
        <v>8251</v>
      </c>
      <c r="F477" s="289" t="s">
        <v>61</v>
      </c>
      <c r="G477" s="85" t="s">
        <v>63</v>
      </c>
      <c r="H477" s="85" t="s">
        <v>73</v>
      </c>
      <c r="I477" s="237">
        <v>11853000</v>
      </c>
      <c r="J477" s="290">
        <v>1</v>
      </c>
      <c r="K477" s="291">
        <v>2147000</v>
      </c>
      <c r="L477" s="291"/>
      <c r="M477" s="292">
        <f t="shared" si="21"/>
        <v>14000000</v>
      </c>
      <c r="N477" s="85">
        <v>1083039528</v>
      </c>
      <c r="O477" s="85" t="s">
        <v>8252</v>
      </c>
      <c r="P477" s="85" t="s">
        <v>8241</v>
      </c>
      <c r="Q477" s="293">
        <v>44967</v>
      </c>
      <c r="R477" s="293">
        <v>44967</v>
      </c>
      <c r="S477" s="293">
        <v>45084</v>
      </c>
      <c r="T477" s="293"/>
      <c r="U477" s="293"/>
      <c r="V477" s="293"/>
      <c r="W477" s="294">
        <v>45107</v>
      </c>
      <c r="X477" s="237">
        <v>14000000</v>
      </c>
      <c r="Y477" s="295">
        <f t="shared" si="22"/>
        <v>0</v>
      </c>
      <c r="Z477" s="296">
        <f t="shared" si="23"/>
        <v>1</v>
      </c>
      <c r="AA477" s="85">
        <v>1082863147</v>
      </c>
      <c r="AB477" s="85" t="s">
        <v>7769</v>
      </c>
      <c r="AC477" s="290" t="s">
        <v>196</v>
      </c>
      <c r="AD477" s="290" t="s">
        <v>196</v>
      </c>
      <c r="AE477" s="236"/>
      <c r="AF477" s="85" t="s">
        <v>8253</v>
      </c>
      <c r="AG477" s="290" t="s">
        <v>192</v>
      </c>
      <c r="AH477" s="290" t="s">
        <v>192</v>
      </c>
    </row>
    <row r="478" spans="1:34" s="297" customFormat="1" ht="15" customHeight="1" x14ac:dyDescent="0.25">
      <c r="A478" s="289">
        <v>891780111</v>
      </c>
      <c r="B478" s="289" t="s">
        <v>54</v>
      </c>
      <c r="C478" s="290" t="s">
        <v>56</v>
      </c>
      <c r="D478" s="289" t="s">
        <v>60</v>
      </c>
      <c r="E478" s="290" t="s">
        <v>8254</v>
      </c>
      <c r="F478" s="289" t="s">
        <v>61</v>
      </c>
      <c r="G478" s="85" t="s">
        <v>63</v>
      </c>
      <c r="H478" s="85" t="s">
        <v>73</v>
      </c>
      <c r="I478" s="237">
        <v>11853000</v>
      </c>
      <c r="J478" s="290">
        <v>1</v>
      </c>
      <c r="K478" s="291"/>
      <c r="L478" s="291">
        <v>7093000</v>
      </c>
      <c r="M478" s="292">
        <f t="shared" si="21"/>
        <v>4760000</v>
      </c>
      <c r="N478" s="85">
        <v>1083004536</v>
      </c>
      <c r="O478" s="85" t="s">
        <v>8255</v>
      </c>
      <c r="P478" s="85" t="s">
        <v>8256</v>
      </c>
      <c r="Q478" s="293">
        <v>44967</v>
      </c>
      <c r="R478" s="293">
        <v>44967</v>
      </c>
      <c r="S478" s="293">
        <v>45084</v>
      </c>
      <c r="T478" s="293"/>
      <c r="U478" s="293"/>
      <c r="V478" s="293"/>
      <c r="W478" s="294">
        <v>45006</v>
      </c>
      <c r="X478" s="237">
        <v>4760000</v>
      </c>
      <c r="Y478" s="295">
        <f t="shared" si="22"/>
        <v>0</v>
      </c>
      <c r="Z478" s="296">
        <f t="shared" si="23"/>
        <v>1</v>
      </c>
      <c r="AA478" s="85">
        <v>1082863147</v>
      </c>
      <c r="AB478" s="85" t="s">
        <v>7769</v>
      </c>
      <c r="AC478" s="290" t="s">
        <v>196</v>
      </c>
      <c r="AD478" s="290" t="s">
        <v>196</v>
      </c>
      <c r="AE478" s="236"/>
      <c r="AF478" s="85" t="s">
        <v>8257</v>
      </c>
      <c r="AG478" s="290" t="s">
        <v>192</v>
      </c>
      <c r="AH478" s="290" t="s">
        <v>192</v>
      </c>
    </row>
    <row r="479" spans="1:34" s="297" customFormat="1" ht="15" customHeight="1" x14ac:dyDescent="0.25">
      <c r="A479" s="289">
        <v>891780111</v>
      </c>
      <c r="B479" s="289" t="s">
        <v>54</v>
      </c>
      <c r="C479" s="290" t="s">
        <v>57</v>
      </c>
      <c r="D479" s="289" t="s">
        <v>60</v>
      </c>
      <c r="E479" s="290" t="s">
        <v>8258</v>
      </c>
      <c r="F479" s="289" t="s">
        <v>61</v>
      </c>
      <c r="G479" s="85" t="s">
        <v>63</v>
      </c>
      <c r="H479" s="85" t="s">
        <v>73</v>
      </c>
      <c r="I479" s="237">
        <v>8890000</v>
      </c>
      <c r="J479" s="290"/>
      <c r="K479" s="291"/>
      <c r="L479" s="291"/>
      <c r="M479" s="292">
        <f t="shared" si="21"/>
        <v>8890000</v>
      </c>
      <c r="N479" s="85">
        <v>1083567101</v>
      </c>
      <c r="O479" s="85" t="s">
        <v>6463</v>
      </c>
      <c r="P479" s="85" t="s">
        <v>8259</v>
      </c>
      <c r="Q479" s="293">
        <v>44970</v>
      </c>
      <c r="R479" s="293">
        <v>44970</v>
      </c>
      <c r="S479" s="293">
        <v>45084</v>
      </c>
      <c r="T479" s="293"/>
      <c r="U479" s="293"/>
      <c r="V479" s="293"/>
      <c r="W479" s="294"/>
      <c r="X479" s="237">
        <v>8890000</v>
      </c>
      <c r="Y479" s="295">
        <f t="shared" si="22"/>
        <v>0</v>
      </c>
      <c r="Z479" s="296">
        <f t="shared" si="23"/>
        <v>1</v>
      </c>
      <c r="AA479" s="85">
        <v>36726018</v>
      </c>
      <c r="AB479" s="85" t="s">
        <v>7466</v>
      </c>
      <c r="AC479" s="290" t="s">
        <v>196</v>
      </c>
      <c r="AD479" s="290" t="s">
        <v>196</v>
      </c>
      <c r="AE479" s="236"/>
      <c r="AF479" s="85" t="s">
        <v>8260</v>
      </c>
      <c r="AG479" s="290" t="s">
        <v>192</v>
      </c>
      <c r="AH479" s="290" t="s">
        <v>192</v>
      </c>
    </row>
    <row r="480" spans="1:34" s="297" customFormat="1" ht="15" customHeight="1" x14ac:dyDescent="0.25">
      <c r="A480" s="289">
        <v>891780111</v>
      </c>
      <c r="B480" s="289" t="s">
        <v>54</v>
      </c>
      <c r="C480" s="290" t="s">
        <v>57</v>
      </c>
      <c r="D480" s="289" t="s">
        <v>60</v>
      </c>
      <c r="E480" s="290" t="s">
        <v>8261</v>
      </c>
      <c r="F480" s="289" t="s">
        <v>61</v>
      </c>
      <c r="G480" s="85" t="s">
        <v>63</v>
      </c>
      <c r="H480" s="85" t="s">
        <v>73</v>
      </c>
      <c r="I480" s="237">
        <v>8890000</v>
      </c>
      <c r="J480" s="290"/>
      <c r="K480" s="291"/>
      <c r="L480" s="291"/>
      <c r="M480" s="292">
        <f t="shared" si="21"/>
        <v>8890000</v>
      </c>
      <c r="N480" s="85">
        <v>1082905987</v>
      </c>
      <c r="O480" s="85" t="s">
        <v>6446</v>
      </c>
      <c r="P480" s="85" t="s">
        <v>8262</v>
      </c>
      <c r="Q480" s="293">
        <v>44970</v>
      </c>
      <c r="R480" s="293">
        <v>44970</v>
      </c>
      <c r="S480" s="293">
        <v>45084</v>
      </c>
      <c r="T480" s="293"/>
      <c r="U480" s="293"/>
      <c r="V480" s="293"/>
      <c r="W480" s="294"/>
      <c r="X480" s="237">
        <v>8890000</v>
      </c>
      <c r="Y480" s="295">
        <f t="shared" si="22"/>
        <v>0</v>
      </c>
      <c r="Z480" s="296">
        <f t="shared" si="23"/>
        <v>1</v>
      </c>
      <c r="AA480" s="85">
        <v>36726018</v>
      </c>
      <c r="AB480" s="85" t="s">
        <v>7466</v>
      </c>
      <c r="AC480" s="290" t="s">
        <v>196</v>
      </c>
      <c r="AD480" s="290" t="s">
        <v>196</v>
      </c>
      <c r="AE480" s="236"/>
      <c r="AF480" s="85" t="s">
        <v>8263</v>
      </c>
      <c r="AG480" s="290" t="s">
        <v>192</v>
      </c>
      <c r="AH480" s="290" t="s">
        <v>192</v>
      </c>
    </row>
    <row r="481" spans="1:34" s="297" customFormat="1" ht="15" customHeight="1" x14ac:dyDescent="0.25">
      <c r="A481" s="289">
        <v>891780111</v>
      </c>
      <c r="B481" s="289" t="s">
        <v>54</v>
      </c>
      <c r="C481" s="290" t="s">
        <v>57</v>
      </c>
      <c r="D481" s="289" t="s">
        <v>60</v>
      </c>
      <c r="E481" s="290" t="s">
        <v>8264</v>
      </c>
      <c r="F481" s="289" t="s">
        <v>61</v>
      </c>
      <c r="G481" s="85" t="s">
        <v>63</v>
      </c>
      <c r="H481" s="85" t="s">
        <v>73</v>
      </c>
      <c r="I481" s="237">
        <v>8890000</v>
      </c>
      <c r="J481" s="290">
        <v>1</v>
      </c>
      <c r="K481" s="291">
        <v>1610000</v>
      </c>
      <c r="L481" s="291"/>
      <c r="M481" s="292">
        <f t="shared" si="21"/>
        <v>10500000</v>
      </c>
      <c r="N481" s="85">
        <v>1103111491</v>
      </c>
      <c r="O481" s="85" t="s">
        <v>8265</v>
      </c>
      <c r="P481" s="85" t="s">
        <v>8266</v>
      </c>
      <c r="Q481" s="293">
        <v>44970</v>
      </c>
      <c r="R481" s="293">
        <v>44970</v>
      </c>
      <c r="S481" s="293">
        <v>45084</v>
      </c>
      <c r="T481" s="293"/>
      <c r="U481" s="293"/>
      <c r="V481" s="293"/>
      <c r="W481" s="294">
        <v>45107</v>
      </c>
      <c r="X481" s="237">
        <v>10500000</v>
      </c>
      <c r="Y481" s="295">
        <f t="shared" si="22"/>
        <v>0</v>
      </c>
      <c r="Z481" s="296">
        <f t="shared" si="23"/>
        <v>1</v>
      </c>
      <c r="AA481" s="85">
        <v>36726018</v>
      </c>
      <c r="AB481" s="85" t="s">
        <v>7466</v>
      </c>
      <c r="AC481" s="290" t="s">
        <v>196</v>
      </c>
      <c r="AD481" s="290" t="s">
        <v>196</v>
      </c>
      <c r="AE481" s="236"/>
      <c r="AF481" s="85" t="s">
        <v>8267</v>
      </c>
      <c r="AG481" s="290" t="s">
        <v>192</v>
      </c>
      <c r="AH481" s="290" t="s">
        <v>192</v>
      </c>
    </row>
    <row r="482" spans="1:34" s="297" customFormat="1" ht="15" customHeight="1" x14ac:dyDescent="0.25">
      <c r="A482" s="289">
        <v>891780111</v>
      </c>
      <c r="B482" s="289" t="s">
        <v>54</v>
      </c>
      <c r="C482" s="290" t="s">
        <v>56</v>
      </c>
      <c r="D482" s="289" t="s">
        <v>60</v>
      </c>
      <c r="E482" s="290" t="s">
        <v>8268</v>
      </c>
      <c r="F482" s="289" t="s">
        <v>61</v>
      </c>
      <c r="G482" s="85" t="s">
        <v>63</v>
      </c>
      <c r="H482" s="85" t="s">
        <v>73</v>
      </c>
      <c r="I482" s="237">
        <v>11684000</v>
      </c>
      <c r="J482" s="290"/>
      <c r="K482" s="291"/>
      <c r="L482" s="291"/>
      <c r="M482" s="292">
        <f t="shared" si="21"/>
        <v>11684000</v>
      </c>
      <c r="N482" s="85">
        <v>57296345</v>
      </c>
      <c r="O482" s="85" t="s">
        <v>8269</v>
      </c>
      <c r="P482" s="85" t="s">
        <v>8270</v>
      </c>
      <c r="Q482" s="293">
        <v>44970</v>
      </c>
      <c r="R482" s="293">
        <v>44970</v>
      </c>
      <c r="S482" s="293">
        <v>45084</v>
      </c>
      <c r="T482" s="293"/>
      <c r="U482" s="293"/>
      <c r="V482" s="293"/>
      <c r="W482" s="294"/>
      <c r="X482" s="237">
        <v>11684000</v>
      </c>
      <c r="Y482" s="295">
        <f t="shared" si="22"/>
        <v>0</v>
      </c>
      <c r="Z482" s="296">
        <f t="shared" si="23"/>
        <v>1</v>
      </c>
      <c r="AA482" s="85">
        <v>57461216</v>
      </c>
      <c r="AB482" s="85" t="s">
        <v>6512</v>
      </c>
      <c r="AC482" s="290" t="s">
        <v>196</v>
      </c>
      <c r="AD482" s="290" t="s">
        <v>196</v>
      </c>
      <c r="AE482" s="236"/>
      <c r="AF482" s="85" t="s">
        <v>8271</v>
      </c>
      <c r="AG482" s="290" t="s">
        <v>192</v>
      </c>
      <c r="AH482" s="290" t="s">
        <v>192</v>
      </c>
    </row>
    <row r="483" spans="1:34" s="297" customFormat="1" ht="15" customHeight="1" x14ac:dyDescent="0.25">
      <c r="A483" s="289">
        <v>891780111</v>
      </c>
      <c r="B483" s="289" t="s">
        <v>54</v>
      </c>
      <c r="C483" s="290" t="s">
        <v>57</v>
      </c>
      <c r="D483" s="289" t="s">
        <v>60</v>
      </c>
      <c r="E483" s="290" t="s">
        <v>8272</v>
      </c>
      <c r="F483" s="289" t="s">
        <v>61</v>
      </c>
      <c r="G483" s="85" t="s">
        <v>63</v>
      </c>
      <c r="H483" s="85" t="s">
        <v>73</v>
      </c>
      <c r="I483" s="237">
        <v>10400000</v>
      </c>
      <c r="J483" s="290">
        <v>1</v>
      </c>
      <c r="K483" s="291">
        <v>1733000</v>
      </c>
      <c r="L483" s="291"/>
      <c r="M483" s="292">
        <f t="shared" si="21"/>
        <v>12133000</v>
      </c>
      <c r="N483" s="85">
        <v>1083029737</v>
      </c>
      <c r="O483" s="85" t="s">
        <v>8273</v>
      </c>
      <c r="P483" s="85" t="s">
        <v>8170</v>
      </c>
      <c r="Q483" s="293">
        <v>44970</v>
      </c>
      <c r="R483" s="293">
        <v>44970</v>
      </c>
      <c r="S483" s="293">
        <v>45056</v>
      </c>
      <c r="T483" s="293"/>
      <c r="U483" s="293"/>
      <c r="V483" s="293"/>
      <c r="W483" s="294">
        <v>45077</v>
      </c>
      <c r="X483" s="237">
        <v>12133000</v>
      </c>
      <c r="Y483" s="295">
        <f t="shared" si="22"/>
        <v>0</v>
      </c>
      <c r="Z483" s="296">
        <f t="shared" si="23"/>
        <v>1</v>
      </c>
      <c r="AA483" s="85">
        <v>1192791759</v>
      </c>
      <c r="AB483" s="85" t="s">
        <v>6649</v>
      </c>
      <c r="AC483" s="290" t="s">
        <v>196</v>
      </c>
      <c r="AD483" s="290" t="s">
        <v>196</v>
      </c>
      <c r="AE483" s="236"/>
      <c r="AF483" s="85" t="s">
        <v>8274</v>
      </c>
      <c r="AG483" s="290" t="s">
        <v>192</v>
      </c>
      <c r="AH483" s="290" t="s">
        <v>192</v>
      </c>
    </row>
    <row r="484" spans="1:34" s="297" customFormat="1" ht="15" customHeight="1" x14ac:dyDescent="0.25">
      <c r="A484" s="289">
        <v>891780111</v>
      </c>
      <c r="B484" s="289" t="s">
        <v>54</v>
      </c>
      <c r="C484" s="290" t="s">
        <v>56</v>
      </c>
      <c r="D484" s="289" t="s">
        <v>60</v>
      </c>
      <c r="E484" s="290" t="s">
        <v>8275</v>
      </c>
      <c r="F484" s="289" t="s">
        <v>61</v>
      </c>
      <c r="G484" s="85" t="s">
        <v>63</v>
      </c>
      <c r="H484" s="85" t="s">
        <v>73</v>
      </c>
      <c r="I484" s="237">
        <v>14393000</v>
      </c>
      <c r="J484" s="290">
        <v>1</v>
      </c>
      <c r="K484" s="291">
        <v>2607000</v>
      </c>
      <c r="L484" s="291"/>
      <c r="M484" s="292">
        <f t="shared" si="21"/>
        <v>17000000</v>
      </c>
      <c r="N484" s="85">
        <v>1082908015</v>
      </c>
      <c r="O484" s="85" t="s">
        <v>8276</v>
      </c>
      <c r="P484" s="85" t="s">
        <v>8277</v>
      </c>
      <c r="Q484" s="293">
        <v>44970</v>
      </c>
      <c r="R484" s="293">
        <v>44970</v>
      </c>
      <c r="S484" s="293">
        <v>45084</v>
      </c>
      <c r="T484" s="293"/>
      <c r="U484" s="293"/>
      <c r="V484" s="293"/>
      <c r="W484" s="294">
        <v>45107</v>
      </c>
      <c r="X484" s="237">
        <v>17000000</v>
      </c>
      <c r="Y484" s="295">
        <f t="shared" si="22"/>
        <v>0</v>
      </c>
      <c r="Z484" s="296">
        <f t="shared" si="23"/>
        <v>1</v>
      </c>
      <c r="AA484" s="85">
        <v>7632607</v>
      </c>
      <c r="AB484" s="85" t="s">
        <v>7071</v>
      </c>
      <c r="AC484" s="290" t="s">
        <v>196</v>
      </c>
      <c r="AD484" s="290" t="s">
        <v>196</v>
      </c>
      <c r="AE484" s="236"/>
      <c r="AF484" s="85" t="s">
        <v>8278</v>
      </c>
      <c r="AG484" s="290" t="s">
        <v>192</v>
      </c>
      <c r="AH484" s="290" t="s">
        <v>192</v>
      </c>
    </row>
    <row r="485" spans="1:34" s="297" customFormat="1" ht="15" customHeight="1" x14ac:dyDescent="0.25">
      <c r="A485" s="289">
        <v>891780111</v>
      </c>
      <c r="B485" s="289" t="s">
        <v>54</v>
      </c>
      <c r="C485" s="290" t="s">
        <v>56</v>
      </c>
      <c r="D485" s="289" t="s">
        <v>60</v>
      </c>
      <c r="E485" s="290" t="s">
        <v>8279</v>
      </c>
      <c r="F485" s="289" t="s">
        <v>61</v>
      </c>
      <c r="G485" s="85" t="s">
        <v>63</v>
      </c>
      <c r="H485" s="85" t="s">
        <v>73</v>
      </c>
      <c r="I485" s="237">
        <v>9973000</v>
      </c>
      <c r="J485" s="290"/>
      <c r="K485" s="291"/>
      <c r="L485" s="291"/>
      <c r="M485" s="292">
        <f t="shared" si="21"/>
        <v>9973000</v>
      </c>
      <c r="N485" s="85">
        <v>36548858</v>
      </c>
      <c r="O485" s="85" t="s">
        <v>8280</v>
      </c>
      <c r="P485" s="85" t="s">
        <v>8281</v>
      </c>
      <c r="Q485" s="293">
        <v>44971</v>
      </c>
      <c r="R485" s="293">
        <v>44971</v>
      </c>
      <c r="S485" s="293">
        <v>45093</v>
      </c>
      <c r="T485" s="293"/>
      <c r="U485" s="293"/>
      <c r="V485" s="293"/>
      <c r="W485" s="294"/>
      <c r="X485" s="237">
        <v>9973000</v>
      </c>
      <c r="Y485" s="295">
        <f t="shared" si="22"/>
        <v>0</v>
      </c>
      <c r="Z485" s="296">
        <f t="shared" si="23"/>
        <v>1</v>
      </c>
      <c r="AA485" s="85">
        <v>85465146</v>
      </c>
      <c r="AB485" s="85" t="s">
        <v>6628</v>
      </c>
      <c r="AC485" s="290" t="s">
        <v>196</v>
      </c>
      <c r="AD485" s="290" t="s">
        <v>196</v>
      </c>
      <c r="AE485" s="236"/>
      <c r="AF485" s="85" t="s">
        <v>8282</v>
      </c>
      <c r="AG485" s="290" t="s">
        <v>192</v>
      </c>
      <c r="AH485" s="290" t="s">
        <v>192</v>
      </c>
    </row>
    <row r="486" spans="1:34" s="297" customFormat="1" ht="15" customHeight="1" x14ac:dyDescent="0.25">
      <c r="A486" s="289">
        <v>891780111</v>
      </c>
      <c r="B486" s="289" t="s">
        <v>54</v>
      </c>
      <c r="C486" s="290" t="s">
        <v>56</v>
      </c>
      <c r="D486" s="289" t="s">
        <v>60</v>
      </c>
      <c r="E486" s="290" t="s">
        <v>8283</v>
      </c>
      <c r="F486" s="289" t="s">
        <v>61</v>
      </c>
      <c r="G486" s="85" t="s">
        <v>63</v>
      </c>
      <c r="H486" s="85" t="s">
        <v>73</v>
      </c>
      <c r="I486" s="237">
        <v>9313000</v>
      </c>
      <c r="J486" s="290"/>
      <c r="K486" s="291"/>
      <c r="L486" s="291"/>
      <c r="M486" s="292">
        <f t="shared" si="21"/>
        <v>9313000</v>
      </c>
      <c r="N486" s="85">
        <v>4763789</v>
      </c>
      <c r="O486" s="85" t="s">
        <v>8284</v>
      </c>
      <c r="P486" s="85" t="s">
        <v>7853</v>
      </c>
      <c r="Q486" s="293">
        <v>44971</v>
      </c>
      <c r="R486" s="293">
        <v>44971</v>
      </c>
      <c r="S486" s="293">
        <v>45084</v>
      </c>
      <c r="T486" s="293"/>
      <c r="U486" s="293"/>
      <c r="V486" s="293"/>
      <c r="W486" s="294"/>
      <c r="X486" s="237">
        <v>9313000</v>
      </c>
      <c r="Y486" s="295">
        <f t="shared" si="22"/>
        <v>0</v>
      </c>
      <c r="Z486" s="296">
        <f t="shared" si="23"/>
        <v>1</v>
      </c>
      <c r="AA486" s="85">
        <v>85152695</v>
      </c>
      <c r="AB486" s="85" t="s">
        <v>6984</v>
      </c>
      <c r="AC486" s="290" t="s">
        <v>196</v>
      </c>
      <c r="AD486" s="290" t="s">
        <v>196</v>
      </c>
      <c r="AE486" s="236"/>
      <c r="AF486" s="85" t="s">
        <v>8285</v>
      </c>
      <c r="AG486" s="290" t="s">
        <v>192</v>
      </c>
      <c r="AH486" s="290" t="s">
        <v>192</v>
      </c>
    </row>
    <row r="487" spans="1:34" s="297" customFormat="1" ht="15" customHeight="1" x14ac:dyDescent="0.25">
      <c r="A487" s="289">
        <v>891780111</v>
      </c>
      <c r="B487" s="289" t="s">
        <v>54</v>
      </c>
      <c r="C487" s="290" t="s">
        <v>56</v>
      </c>
      <c r="D487" s="289" t="s">
        <v>60</v>
      </c>
      <c r="E487" s="290" t="s">
        <v>8286</v>
      </c>
      <c r="F487" s="289" t="s">
        <v>61</v>
      </c>
      <c r="G487" s="85" t="s">
        <v>63</v>
      </c>
      <c r="H487" s="85" t="s">
        <v>73</v>
      </c>
      <c r="I487" s="237">
        <v>11853000</v>
      </c>
      <c r="J487" s="290"/>
      <c r="K487" s="291"/>
      <c r="L487" s="291"/>
      <c r="M487" s="292">
        <f t="shared" si="21"/>
        <v>11853000</v>
      </c>
      <c r="N487" s="85">
        <v>1095701829</v>
      </c>
      <c r="O487" s="85" t="s">
        <v>8287</v>
      </c>
      <c r="P487" s="85" t="s">
        <v>8288</v>
      </c>
      <c r="Q487" s="293">
        <v>44971</v>
      </c>
      <c r="R487" s="293">
        <v>44971</v>
      </c>
      <c r="S487" s="293">
        <v>45084</v>
      </c>
      <c r="T487" s="293"/>
      <c r="U487" s="293"/>
      <c r="V487" s="293"/>
      <c r="W487" s="294"/>
      <c r="X487" s="237">
        <v>11853000</v>
      </c>
      <c r="Y487" s="295">
        <f t="shared" si="22"/>
        <v>0</v>
      </c>
      <c r="Z487" s="296">
        <f t="shared" si="23"/>
        <v>1</v>
      </c>
      <c r="AA487" s="85">
        <v>36557666</v>
      </c>
      <c r="AB487" s="85" t="s">
        <v>6916</v>
      </c>
      <c r="AC487" s="290" t="s">
        <v>196</v>
      </c>
      <c r="AD487" s="290" t="s">
        <v>196</v>
      </c>
      <c r="AE487" s="236"/>
      <c r="AF487" s="85" t="s">
        <v>8289</v>
      </c>
      <c r="AG487" s="290" t="s">
        <v>192</v>
      </c>
      <c r="AH487" s="290" t="s">
        <v>192</v>
      </c>
    </row>
    <row r="488" spans="1:34" s="297" customFormat="1" ht="15" customHeight="1" x14ac:dyDescent="0.25">
      <c r="A488" s="289">
        <v>891780111</v>
      </c>
      <c r="B488" s="289" t="s">
        <v>54</v>
      </c>
      <c r="C488" s="290" t="s">
        <v>56</v>
      </c>
      <c r="D488" s="289" t="s">
        <v>60</v>
      </c>
      <c r="E488" s="290" t="s">
        <v>8290</v>
      </c>
      <c r="F488" s="289" t="s">
        <v>61</v>
      </c>
      <c r="G488" s="85" t="s">
        <v>63</v>
      </c>
      <c r="H488" s="85" t="s">
        <v>73</v>
      </c>
      <c r="I488" s="237">
        <v>9313000</v>
      </c>
      <c r="J488" s="290"/>
      <c r="K488" s="291"/>
      <c r="L488" s="291"/>
      <c r="M488" s="292">
        <f t="shared" si="21"/>
        <v>9313000</v>
      </c>
      <c r="N488" s="85">
        <v>1082949505</v>
      </c>
      <c r="O488" s="85" t="s">
        <v>8291</v>
      </c>
      <c r="P488" s="85" t="s">
        <v>8292</v>
      </c>
      <c r="Q488" s="293">
        <v>44971</v>
      </c>
      <c r="R488" s="293">
        <v>44971</v>
      </c>
      <c r="S488" s="293">
        <v>45084</v>
      </c>
      <c r="T488" s="293"/>
      <c r="U488" s="293"/>
      <c r="V488" s="293"/>
      <c r="W488" s="294"/>
      <c r="X488" s="237">
        <v>8800000</v>
      </c>
      <c r="Y488" s="295">
        <f t="shared" si="22"/>
        <v>513000</v>
      </c>
      <c r="Z488" s="296">
        <f t="shared" si="23"/>
        <v>0.94491570922366586</v>
      </c>
      <c r="AA488" s="85">
        <v>36557666</v>
      </c>
      <c r="AB488" s="85" t="s">
        <v>6916</v>
      </c>
      <c r="AC488" s="290" t="s">
        <v>196</v>
      </c>
      <c r="AD488" s="290" t="s">
        <v>196</v>
      </c>
      <c r="AE488" s="236"/>
      <c r="AF488" s="85" t="s">
        <v>8293</v>
      </c>
      <c r="AG488" s="290" t="s">
        <v>192</v>
      </c>
      <c r="AH488" s="290" t="s">
        <v>192</v>
      </c>
    </row>
    <row r="489" spans="1:34" s="297" customFormat="1" ht="15" customHeight="1" x14ac:dyDescent="0.25">
      <c r="A489" s="289">
        <v>891780111</v>
      </c>
      <c r="B489" s="289" t="s">
        <v>54</v>
      </c>
      <c r="C489" s="290" t="s">
        <v>56</v>
      </c>
      <c r="D489" s="289" t="s">
        <v>60</v>
      </c>
      <c r="E489" s="290" t="s">
        <v>8294</v>
      </c>
      <c r="F489" s="289" t="s">
        <v>61</v>
      </c>
      <c r="G489" s="85" t="s">
        <v>63</v>
      </c>
      <c r="H489" s="85" t="s">
        <v>73</v>
      </c>
      <c r="I489" s="237">
        <v>11853000</v>
      </c>
      <c r="J489" s="290">
        <v>1</v>
      </c>
      <c r="K489" s="291"/>
      <c r="L489" s="291">
        <v>5226333</v>
      </c>
      <c r="M489" s="292">
        <f t="shared" si="21"/>
        <v>6626667</v>
      </c>
      <c r="N489" s="85">
        <v>72160630</v>
      </c>
      <c r="O489" s="85" t="s">
        <v>8295</v>
      </c>
      <c r="P489" s="85" t="s">
        <v>8296</v>
      </c>
      <c r="Q489" s="293">
        <v>44971</v>
      </c>
      <c r="R489" s="293">
        <v>44971</v>
      </c>
      <c r="S489" s="293">
        <v>45084</v>
      </c>
      <c r="T489" s="293"/>
      <c r="U489" s="293"/>
      <c r="V489" s="293"/>
      <c r="W489" s="294">
        <v>45028</v>
      </c>
      <c r="X489" s="237">
        <v>6626667</v>
      </c>
      <c r="Y489" s="295">
        <f t="shared" si="22"/>
        <v>0</v>
      </c>
      <c r="Z489" s="296">
        <f t="shared" si="23"/>
        <v>1</v>
      </c>
      <c r="AA489" s="85">
        <v>57441846</v>
      </c>
      <c r="AB489" s="85" t="s">
        <v>6885</v>
      </c>
      <c r="AC489" s="290" t="s">
        <v>196</v>
      </c>
      <c r="AD489" s="290" t="s">
        <v>196</v>
      </c>
      <c r="AE489" s="236"/>
      <c r="AF489" s="85" t="s">
        <v>8297</v>
      </c>
      <c r="AG489" s="290" t="s">
        <v>192</v>
      </c>
      <c r="AH489" s="290" t="s">
        <v>192</v>
      </c>
    </row>
    <row r="490" spans="1:34" s="297" customFormat="1" ht="15" customHeight="1" x14ac:dyDescent="0.25">
      <c r="A490" s="289">
        <v>891780111</v>
      </c>
      <c r="B490" s="289" t="s">
        <v>54</v>
      </c>
      <c r="C490" s="290" t="s">
        <v>56</v>
      </c>
      <c r="D490" s="289" t="s">
        <v>60</v>
      </c>
      <c r="E490" s="290" t="s">
        <v>8298</v>
      </c>
      <c r="F490" s="289" t="s">
        <v>61</v>
      </c>
      <c r="G490" s="85" t="s">
        <v>63</v>
      </c>
      <c r="H490" s="85" t="s">
        <v>73</v>
      </c>
      <c r="I490" s="237">
        <v>9313000</v>
      </c>
      <c r="J490" s="290"/>
      <c r="K490" s="291"/>
      <c r="L490" s="291"/>
      <c r="M490" s="292">
        <f t="shared" si="21"/>
        <v>9313000</v>
      </c>
      <c r="N490" s="85">
        <v>32208778</v>
      </c>
      <c r="O490" s="85" t="s">
        <v>8299</v>
      </c>
      <c r="P490" s="85" t="s">
        <v>8300</v>
      </c>
      <c r="Q490" s="293">
        <v>44971</v>
      </c>
      <c r="R490" s="293">
        <v>44971</v>
      </c>
      <c r="S490" s="293">
        <v>45084</v>
      </c>
      <c r="T490" s="293"/>
      <c r="U490" s="293"/>
      <c r="V490" s="293"/>
      <c r="W490" s="294"/>
      <c r="X490" s="237">
        <v>9313000</v>
      </c>
      <c r="Y490" s="295">
        <f t="shared" si="22"/>
        <v>0</v>
      </c>
      <c r="Z490" s="296">
        <f t="shared" si="23"/>
        <v>1</v>
      </c>
      <c r="AA490" s="85">
        <v>85152695</v>
      </c>
      <c r="AB490" s="85" t="s">
        <v>6984</v>
      </c>
      <c r="AC490" s="290" t="s">
        <v>196</v>
      </c>
      <c r="AD490" s="290" t="s">
        <v>196</v>
      </c>
      <c r="AE490" s="236"/>
      <c r="AF490" s="85" t="s">
        <v>8301</v>
      </c>
      <c r="AG490" s="290" t="s">
        <v>192</v>
      </c>
      <c r="AH490" s="290" t="s">
        <v>192</v>
      </c>
    </row>
    <row r="491" spans="1:34" s="297" customFormat="1" ht="15" customHeight="1" x14ac:dyDescent="0.25">
      <c r="A491" s="289">
        <v>891780111</v>
      </c>
      <c r="B491" s="289" t="s">
        <v>54</v>
      </c>
      <c r="C491" s="290" t="s">
        <v>56</v>
      </c>
      <c r="D491" s="289" t="s">
        <v>60</v>
      </c>
      <c r="E491" s="290" t="s">
        <v>8302</v>
      </c>
      <c r="F491" s="289" t="s">
        <v>61</v>
      </c>
      <c r="G491" s="85" t="s">
        <v>63</v>
      </c>
      <c r="H491" s="85" t="s">
        <v>73</v>
      </c>
      <c r="I491" s="237">
        <v>14817000</v>
      </c>
      <c r="J491" s="290">
        <v>1</v>
      </c>
      <c r="K491" s="291">
        <v>2683000</v>
      </c>
      <c r="L491" s="291"/>
      <c r="M491" s="292">
        <f t="shared" si="21"/>
        <v>17500000</v>
      </c>
      <c r="N491" s="85">
        <v>57427903</v>
      </c>
      <c r="O491" s="85" t="s">
        <v>8303</v>
      </c>
      <c r="P491" s="85" t="s">
        <v>8304</v>
      </c>
      <c r="Q491" s="293">
        <v>44971</v>
      </c>
      <c r="R491" s="293">
        <v>44971</v>
      </c>
      <c r="S491" s="293">
        <v>45084</v>
      </c>
      <c r="T491" s="293"/>
      <c r="U491" s="293"/>
      <c r="V491" s="293"/>
      <c r="W491" s="294">
        <v>45107</v>
      </c>
      <c r="X491" s="237">
        <v>17500000</v>
      </c>
      <c r="Y491" s="295">
        <f t="shared" si="22"/>
        <v>0</v>
      </c>
      <c r="Z491" s="296">
        <f t="shared" si="23"/>
        <v>1</v>
      </c>
      <c r="AA491" s="85">
        <v>57441846</v>
      </c>
      <c r="AB491" s="85" t="s">
        <v>6885</v>
      </c>
      <c r="AC491" s="290" t="s">
        <v>196</v>
      </c>
      <c r="AD491" s="290" t="s">
        <v>196</v>
      </c>
      <c r="AE491" s="236"/>
      <c r="AF491" s="85" t="s">
        <v>8305</v>
      </c>
      <c r="AG491" s="290" t="s">
        <v>192</v>
      </c>
      <c r="AH491" s="290" t="s">
        <v>192</v>
      </c>
    </row>
    <row r="492" spans="1:34" s="297" customFormat="1" ht="15" customHeight="1" x14ac:dyDescent="0.25">
      <c r="A492" s="289">
        <v>891780111</v>
      </c>
      <c r="B492" s="289" t="s">
        <v>54</v>
      </c>
      <c r="C492" s="290" t="s">
        <v>56</v>
      </c>
      <c r="D492" s="289" t="s">
        <v>60</v>
      </c>
      <c r="E492" s="290" t="s">
        <v>8306</v>
      </c>
      <c r="F492" s="289" t="s">
        <v>61</v>
      </c>
      <c r="G492" s="85" t="s">
        <v>63</v>
      </c>
      <c r="H492" s="85" t="s">
        <v>73</v>
      </c>
      <c r="I492" s="237">
        <v>9313000</v>
      </c>
      <c r="J492" s="290"/>
      <c r="K492" s="291"/>
      <c r="L492" s="291"/>
      <c r="M492" s="292">
        <f t="shared" si="21"/>
        <v>9313000</v>
      </c>
      <c r="N492" s="85">
        <v>7628983</v>
      </c>
      <c r="O492" s="85" t="s">
        <v>8307</v>
      </c>
      <c r="P492" s="85" t="s">
        <v>7676</v>
      </c>
      <c r="Q492" s="293">
        <v>44971</v>
      </c>
      <c r="R492" s="293">
        <v>44971</v>
      </c>
      <c r="S492" s="293">
        <v>45084</v>
      </c>
      <c r="T492" s="293"/>
      <c r="U492" s="293"/>
      <c r="V492" s="293"/>
      <c r="W492" s="294"/>
      <c r="X492" s="237">
        <v>9313000</v>
      </c>
      <c r="Y492" s="295">
        <f t="shared" si="22"/>
        <v>0</v>
      </c>
      <c r="Z492" s="296">
        <f t="shared" si="23"/>
        <v>1</v>
      </c>
      <c r="AA492" s="85">
        <v>57297693</v>
      </c>
      <c r="AB492" s="85" t="s">
        <v>5446</v>
      </c>
      <c r="AC492" s="290" t="s">
        <v>196</v>
      </c>
      <c r="AD492" s="290" t="s">
        <v>196</v>
      </c>
      <c r="AE492" s="236"/>
      <c r="AF492" s="85" t="s">
        <v>8308</v>
      </c>
      <c r="AG492" s="290" t="s">
        <v>192</v>
      </c>
      <c r="AH492" s="290" t="s">
        <v>192</v>
      </c>
    </row>
    <row r="493" spans="1:34" s="297" customFormat="1" ht="15" customHeight="1" x14ac:dyDescent="0.25">
      <c r="A493" s="289">
        <v>891780111</v>
      </c>
      <c r="B493" s="289" t="s">
        <v>54</v>
      </c>
      <c r="C493" s="290" t="s">
        <v>56</v>
      </c>
      <c r="D493" s="289" t="s">
        <v>60</v>
      </c>
      <c r="E493" s="290" t="s">
        <v>8309</v>
      </c>
      <c r="F493" s="289" t="s">
        <v>61</v>
      </c>
      <c r="G493" s="85" t="s">
        <v>63</v>
      </c>
      <c r="H493" s="85" t="s">
        <v>73</v>
      </c>
      <c r="I493" s="237">
        <v>11333000</v>
      </c>
      <c r="J493" s="290">
        <v>1</v>
      </c>
      <c r="K493" s="291">
        <v>1167000</v>
      </c>
      <c r="L493" s="291"/>
      <c r="M493" s="292">
        <f t="shared" si="21"/>
        <v>12500000</v>
      </c>
      <c r="N493" s="85">
        <v>1082852952</v>
      </c>
      <c r="O493" s="85" t="s">
        <v>8310</v>
      </c>
      <c r="P493" s="85" t="s">
        <v>8311</v>
      </c>
      <c r="Q493" s="293">
        <v>44971</v>
      </c>
      <c r="R493" s="293">
        <v>44971</v>
      </c>
      <c r="S493" s="293">
        <v>45093</v>
      </c>
      <c r="T493" s="293"/>
      <c r="U493" s="293"/>
      <c r="V493" s="293"/>
      <c r="W493" s="294">
        <v>45107</v>
      </c>
      <c r="X493" s="237">
        <v>12500000</v>
      </c>
      <c r="Y493" s="295">
        <f t="shared" si="22"/>
        <v>0</v>
      </c>
      <c r="Z493" s="296">
        <f t="shared" si="23"/>
        <v>1</v>
      </c>
      <c r="AA493" s="85">
        <v>85465146</v>
      </c>
      <c r="AB493" s="85" t="s">
        <v>6628</v>
      </c>
      <c r="AC493" s="290" t="s">
        <v>196</v>
      </c>
      <c r="AD493" s="290" t="s">
        <v>196</v>
      </c>
      <c r="AE493" s="236"/>
      <c r="AF493" s="85" t="s">
        <v>8312</v>
      </c>
      <c r="AG493" s="290" t="s">
        <v>192</v>
      </c>
      <c r="AH493" s="290" t="s">
        <v>192</v>
      </c>
    </row>
    <row r="494" spans="1:34" s="297" customFormat="1" ht="15" customHeight="1" x14ac:dyDescent="0.25">
      <c r="A494" s="289">
        <v>891780111</v>
      </c>
      <c r="B494" s="289" t="s">
        <v>54</v>
      </c>
      <c r="C494" s="290" t="s">
        <v>56</v>
      </c>
      <c r="D494" s="289" t="s">
        <v>60</v>
      </c>
      <c r="E494" s="290" t="s">
        <v>8313</v>
      </c>
      <c r="F494" s="289" t="s">
        <v>61</v>
      </c>
      <c r="G494" s="85" t="s">
        <v>63</v>
      </c>
      <c r="H494" s="85" t="s">
        <v>73</v>
      </c>
      <c r="I494" s="237">
        <v>14393000</v>
      </c>
      <c r="J494" s="290"/>
      <c r="K494" s="291"/>
      <c r="L494" s="291"/>
      <c r="M494" s="292">
        <f t="shared" si="21"/>
        <v>14393000</v>
      </c>
      <c r="N494" s="85">
        <v>1082863010</v>
      </c>
      <c r="O494" s="85" t="s">
        <v>8314</v>
      </c>
      <c r="P494" s="85" t="s">
        <v>8315</v>
      </c>
      <c r="Q494" s="293">
        <v>44971</v>
      </c>
      <c r="R494" s="293">
        <v>44971</v>
      </c>
      <c r="S494" s="293">
        <v>45084</v>
      </c>
      <c r="T494" s="293"/>
      <c r="U494" s="293"/>
      <c r="V494" s="293"/>
      <c r="W494" s="294"/>
      <c r="X494" s="237">
        <v>14393000</v>
      </c>
      <c r="Y494" s="295">
        <f t="shared" si="22"/>
        <v>0</v>
      </c>
      <c r="Z494" s="296">
        <f t="shared" si="23"/>
        <v>1</v>
      </c>
      <c r="AA494" s="85">
        <v>36557666</v>
      </c>
      <c r="AB494" s="85" t="s">
        <v>6916</v>
      </c>
      <c r="AC494" s="290" t="s">
        <v>196</v>
      </c>
      <c r="AD494" s="290" t="s">
        <v>196</v>
      </c>
      <c r="AE494" s="236"/>
      <c r="AF494" s="85" t="s">
        <v>8316</v>
      </c>
      <c r="AG494" s="290" t="s">
        <v>192</v>
      </c>
      <c r="AH494" s="290" t="s">
        <v>192</v>
      </c>
    </row>
    <row r="495" spans="1:34" s="297" customFormat="1" ht="15" customHeight="1" x14ac:dyDescent="0.25">
      <c r="A495" s="289">
        <v>891780111</v>
      </c>
      <c r="B495" s="289" t="s">
        <v>54</v>
      </c>
      <c r="C495" s="290" t="s">
        <v>56</v>
      </c>
      <c r="D495" s="289" t="s">
        <v>60</v>
      </c>
      <c r="E495" s="290" t="s">
        <v>8317</v>
      </c>
      <c r="F495" s="289" t="s">
        <v>61</v>
      </c>
      <c r="G495" s="85" t="s">
        <v>63</v>
      </c>
      <c r="H495" s="85" t="s">
        <v>73</v>
      </c>
      <c r="I495" s="237">
        <v>9313000</v>
      </c>
      <c r="J495" s="290"/>
      <c r="K495" s="291"/>
      <c r="L495" s="291"/>
      <c r="M495" s="292">
        <f t="shared" si="21"/>
        <v>9313000</v>
      </c>
      <c r="N495" s="85">
        <v>57443455</v>
      </c>
      <c r="O495" s="85" t="s">
        <v>8318</v>
      </c>
      <c r="P495" s="85" t="s">
        <v>8319</v>
      </c>
      <c r="Q495" s="293">
        <v>44971</v>
      </c>
      <c r="R495" s="293">
        <v>44971</v>
      </c>
      <c r="S495" s="293">
        <v>45084</v>
      </c>
      <c r="T495" s="293"/>
      <c r="U495" s="293"/>
      <c r="V495" s="293"/>
      <c r="W495" s="294"/>
      <c r="X495" s="237">
        <v>9313000</v>
      </c>
      <c r="Y495" s="295">
        <f t="shared" si="22"/>
        <v>0</v>
      </c>
      <c r="Z495" s="296">
        <f t="shared" si="23"/>
        <v>1</v>
      </c>
      <c r="AA495" s="85">
        <v>36557666</v>
      </c>
      <c r="AB495" s="85" t="s">
        <v>6916</v>
      </c>
      <c r="AC495" s="290" t="s">
        <v>196</v>
      </c>
      <c r="AD495" s="290" t="s">
        <v>196</v>
      </c>
      <c r="AE495" s="236"/>
      <c r="AF495" s="85" t="s">
        <v>8320</v>
      </c>
      <c r="AG495" s="290" t="s">
        <v>192</v>
      </c>
      <c r="AH495" s="290" t="s">
        <v>192</v>
      </c>
    </row>
    <row r="496" spans="1:34" s="297" customFormat="1" ht="15" customHeight="1" x14ac:dyDescent="0.25">
      <c r="A496" s="289">
        <v>891780111</v>
      </c>
      <c r="B496" s="289" t="s">
        <v>54</v>
      </c>
      <c r="C496" s="290" t="s">
        <v>56</v>
      </c>
      <c r="D496" s="289" t="s">
        <v>60</v>
      </c>
      <c r="E496" s="290" t="s">
        <v>8321</v>
      </c>
      <c r="F496" s="289" t="s">
        <v>61</v>
      </c>
      <c r="G496" s="85" t="s">
        <v>63</v>
      </c>
      <c r="H496" s="85" t="s">
        <v>73</v>
      </c>
      <c r="I496" s="237">
        <v>11853000</v>
      </c>
      <c r="J496" s="290"/>
      <c r="K496" s="291"/>
      <c r="L496" s="291"/>
      <c r="M496" s="292">
        <f t="shared" si="21"/>
        <v>11853000</v>
      </c>
      <c r="N496" s="85">
        <v>1082961721</v>
      </c>
      <c r="O496" s="85" t="s">
        <v>8322</v>
      </c>
      <c r="P496" s="85" t="s">
        <v>8323</v>
      </c>
      <c r="Q496" s="293">
        <v>44971</v>
      </c>
      <c r="R496" s="293">
        <v>44971</v>
      </c>
      <c r="S496" s="293">
        <v>45084</v>
      </c>
      <c r="T496" s="293"/>
      <c r="U496" s="293"/>
      <c r="V496" s="293"/>
      <c r="W496" s="294"/>
      <c r="X496" s="237">
        <v>11853000</v>
      </c>
      <c r="Y496" s="295">
        <f t="shared" si="22"/>
        <v>0</v>
      </c>
      <c r="Z496" s="296">
        <f t="shared" si="23"/>
        <v>1</v>
      </c>
      <c r="AA496" s="85">
        <v>36557666</v>
      </c>
      <c r="AB496" s="85" t="s">
        <v>6916</v>
      </c>
      <c r="AC496" s="290" t="s">
        <v>196</v>
      </c>
      <c r="AD496" s="290" t="s">
        <v>196</v>
      </c>
      <c r="AE496" s="236"/>
      <c r="AF496" s="85" t="s">
        <v>8324</v>
      </c>
      <c r="AG496" s="290" t="s">
        <v>192</v>
      </c>
      <c r="AH496" s="290" t="s">
        <v>192</v>
      </c>
    </row>
    <row r="497" spans="1:34" s="297" customFormat="1" ht="15" customHeight="1" x14ac:dyDescent="0.25">
      <c r="A497" s="289">
        <v>891780111</v>
      </c>
      <c r="B497" s="289" t="s">
        <v>54</v>
      </c>
      <c r="C497" s="290" t="s">
        <v>56</v>
      </c>
      <c r="D497" s="289" t="s">
        <v>60</v>
      </c>
      <c r="E497" s="290" t="s">
        <v>8325</v>
      </c>
      <c r="F497" s="289" t="s">
        <v>61</v>
      </c>
      <c r="G497" s="85" t="s">
        <v>63</v>
      </c>
      <c r="H497" s="85" t="s">
        <v>73</v>
      </c>
      <c r="I497" s="237">
        <v>14393000</v>
      </c>
      <c r="J497" s="290">
        <v>1</v>
      </c>
      <c r="K497" s="291">
        <v>2607000</v>
      </c>
      <c r="L497" s="291"/>
      <c r="M497" s="292">
        <f t="shared" si="21"/>
        <v>17000000</v>
      </c>
      <c r="N497" s="85">
        <v>39142264</v>
      </c>
      <c r="O497" s="85" t="s">
        <v>8326</v>
      </c>
      <c r="P497" s="85" t="s">
        <v>8327</v>
      </c>
      <c r="Q497" s="293">
        <v>44971</v>
      </c>
      <c r="R497" s="293">
        <v>44971</v>
      </c>
      <c r="S497" s="293">
        <v>45084</v>
      </c>
      <c r="T497" s="293"/>
      <c r="U497" s="293"/>
      <c r="V497" s="293"/>
      <c r="W497" s="294">
        <v>45107</v>
      </c>
      <c r="X497" s="237">
        <v>17000000</v>
      </c>
      <c r="Y497" s="295">
        <f t="shared" si="22"/>
        <v>0</v>
      </c>
      <c r="Z497" s="296">
        <f t="shared" si="23"/>
        <v>1</v>
      </c>
      <c r="AA497" s="85">
        <v>12539351</v>
      </c>
      <c r="AB497" s="85" t="s">
        <v>6545</v>
      </c>
      <c r="AC497" s="290" t="s">
        <v>196</v>
      </c>
      <c r="AD497" s="290" t="s">
        <v>196</v>
      </c>
      <c r="AE497" s="236"/>
      <c r="AF497" s="85" t="s">
        <v>8328</v>
      </c>
      <c r="AG497" s="290" t="s">
        <v>192</v>
      </c>
      <c r="AH497" s="290" t="s">
        <v>192</v>
      </c>
    </row>
    <row r="498" spans="1:34" s="297" customFormat="1" ht="15" customHeight="1" x14ac:dyDescent="0.25">
      <c r="A498" s="289">
        <v>891780111</v>
      </c>
      <c r="B498" s="289" t="s">
        <v>54</v>
      </c>
      <c r="C498" s="290" t="s">
        <v>56</v>
      </c>
      <c r="D498" s="289" t="s">
        <v>60</v>
      </c>
      <c r="E498" s="290" t="s">
        <v>8329</v>
      </c>
      <c r="F498" s="289" t="s">
        <v>61</v>
      </c>
      <c r="G498" s="85" t="s">
        <v>63</v>
      </c>
      <c r="H498" s="85" t="s">
        <v>73</v>
      </c>
      <c r="I498" s="237">
        <v>8043000</v>
      </c>
      <c r="J498" s="290">
        <v>1</v>
      </c>
      <c r="K498" s="291">
        <v>1457000</v>
      </c>
      <c r="L498" s="291"/>
      <c r="M498" s="292">
        <f t="shared" si="21"/>
        <v>9500000</v>
      </c>
      <c r="N498" s="85">
        <v>1082410646</v>
      </c>
      <c r="O498" s="85" t="s">
        <v>8330</v>
      </c>
      <c r="P498" s="85" t="s">
        <v>8331</v>
      </c>
      <c r="Q498" s="293">
        <v>44971</v>
      </c>
      <c r="R498" s="293">
        <v>44971</v>
      </c>
      <c r="S498" s="293">
        <v>45084</v>
      </c>
      <c r="T498" s="293"/>
      <c r="U498" s="293"/>
      <c r="V498" s="293"/>
      <c r="W498" s="294">
        <v>45107</v>
      </c>
      <c r="X498" s="237">
        <v>9500000</v>
      </c>
      <c r="Y498" s="295">
        <f t="shared" si="22"/>
        <v>0</v>
      </c>
      <c r="Z498" s="296">
        <f t="shared" si="23"/>
        <v>1</v>
      </c>
      <c r="AA498" s="85">
        <v>57297693</v>
      </c>
      <c r="AB498" s="85" t="s">
        <v>5446</v>
      </c>
      <c r="AC498" s="290" t="s">
        <v>196</v>
      </c>
      <c r="AD498" s="290" t="s">
        <v>196</v>
      </c>
      <c r="AE498" s="236"/>
      <c r="AF498" s="85" t="s">
        <v>8332</v>
      </c>
      <c r="AG498" s="290" t="s">
        <v>192</v>
      </c>
      <c r="AH498" s="290" t="s">
        <v>192</v>
      </c>
    </row>
    <row r="499" spans="1:34" s="297" customFormat="1" ht="15" customHeight="1" x14ac:dyDescent="0.25">
      <c r="A499" s="289">
        <v>891780111</v>
      </c>
      <c r="B499" s="289" t="s">
        <v>54</v>
      </c>
      <c r="C499" s="290" t="s">
        <v>56</v>
      </c>
      <c r="D499" s="289" t="s">
        <v>60</v>
      </c>
      <c r="E499" s="290" t="s">
        <v>8333</v>
      </c>
      <c r="F499" s="289" t="s">
        <v>61</v>
      </c>
      <c r="G499" s="85" t="s">
        <v>63</v>
      </c>
      <c r="H499" s="85" t="s">
        <v>73</v>
      </c>
      <c r="I499" s="237">
        <v>13123000</v>
      </c>
      <c r="J499" s="290"/>
      <c r="K499" s="291"/>
      <c r="L499" s="291"/>
      <c r="M499" s="292">
        <f t="shared" si="21"/>
        <v>13123000</v>
      </c>
      <c r="N499" s="85">
        <v>1082848177</v>
      </c>
      <c r="O499" s="85" t="s">
        <v>8334</v>
      </c>
      <c r="P499" s="85" t="s">
        <v>8335</v>
      </c>
      <c r="Q499" s="293">
        <v>44971</v>
      </c>
      <c r="R499" s="293">
        <v>44971</v>
      </c>
      <c r="S499" s="293">
        <v>45084</v>
      </c>
      <c r="T499" s="293"/>
      <c r="U499" s="293"/>
      <c r="V499" s="293"/>
      <c r="W499" s="294"/>
      <c r="X499" s="237">
        <v>13123000</v>
      </c>
      <c r="Y499" s="295">
        <f t="shared" si="22"/>
        <v>0</v>
      </c>
      <c r="Z499" s="296">
        <f t="shared" si="23"/>
        <v>1</v>
      </c>
      <c r="AA499" s="85">
        <v>85152695</v>
      </c>
      <c r="AB499" s="85" t="s">
        <v>6984</v>
      </c>
      <c r="AC499" s="290" t="s">
        <v>196</v>
      </c>
      <c r="AD499" s="290" t="s">
        <v>196</v>
      </c>
      <c r="AE499" s="236"/>
      <c r="AF499" s="85" t="s">
        <v>8336</v>
      </c>
      <c r="AG499" s="290" t="s">
        <v>192</v>
      </c>
      <c r="AH499" s="290" t="s">
        <v>192</v>
      </c>
    </row>
    <row r="500" spans="1:34" s="297" customFormat="1" ht="15" customHeight="1" x14ac:dyDescent="0.25">
      <c r="A500" s="289">
        <v>891780111</v>
      </c>
      <c r="B500" s="289" t="s">
        <v>54</v>
      </c>
      <c r="C500" s="290" t="s">
        <v>56</v>
      </c>
      <c r="D500" s="289" t="s">
        <v>60</v>
      </c>
      <c r="E500" s="290" t="s">
        <v>8337</v>
      </c>
      <c r="F500" s="289" t="s">
        <v>61</v>
      </c>
      <c r="G500" s="85" t="s">
        <v>63</v>
      </c>
      <c r="H500" s="85" t="s">
        <v>73</v>
      </c>
      <c r="I500" s="237">
        <v>9313000</v>
      </c>
      <c r="J500" s="290"/>
      <c r="K500" s="291"/>
      <c r="L500" s="291"/>
      <c r="M500" s="292">
        <f t="shared" si="21"/>
        <v>9313000</v>
      </c>
      <c r="N500" s="85">
        <v>85477304</v>
      </c>
      <c r="O500" s="85" t="s">
        <v>8338</v>
      </c>
      <c r="P500" s="85" t="s">
        <v>8339</v>
      </c>
      <c r="Q500" s="293">
        <v>44971</v>
      </c>
      <c r="R500" s="293">
        <v>44971</v>
      </c>
      <c r="S500" s="293">
        <v>45084</v>
      </c>
      <c r="T500" s="293"/>
      <c r="U500" s="293"/>
      <c r="V500" s="293"/>
      <c r="W500" s="294"/>
      <c r="X500" s="237">
        <v>9313000</v>
      </c>
      <c r="Y500" s="295">
        <f t="shared" si="22"/>
        <v>0</v>
      </c>
      <c r="Z500" s="296">
        <f t="shared" si="23"/>
        <v>1</v>
      </c>
      <c r="AA500" s="85">
        <v>36557666</v>
      </c>
      <c r="AB500" s="85" t="s">
        <v>6916</v>
      </c>
      <c r="AC500" s="290" t="s">
        <v>196</v>
      </c>
      <c r="AD500" s="290" t="s">
        <v>196</v>
      </c>
      <c r="AE500" s="236"/>
      <c r="AF500" s="85" t="s">
        <v>8340</v>
      </c>
      <c r="AG500" s="290" t="s">
        <v>192</v>
      </c>
      <c r="AH500" s="290" t="s">
        <v>192</v>
      </c>
    </row>
    <row r="501" spans="1:34" s="297" customFormat="1" ht="15" customHeight="1" x14ac:dyDescent="0.25">
      <c r="A501" s="289">
        <v>891780111</v>
      </c>
      <c r="B501" s="289" t="s">
        <v>54</v>
      </c>
      <c r="C501" s="290" t="s">
        <v>56</v>
      </c>
      <c r="D501" s="289" t="s">
        <v>60</v>
      </c>
      <c r="E501" s="290" t="s">
        <v>8341</v>
      </c>
      <c r="F501" s="289" t="s">
        <v>61</v>
      </c>
      <c r="G501" s="85" t="s">
        <v>63</v>
      </c>
      <c r="H501" s="85" t="s">
        <v>73</v>
      </c>
      <c r="I501" s="237">
        <v>9313000</v>
      </c>
      <c r="J501" s="290"/>
      <c r="K501" s="291"/>
      <c r="L501" s="291"/>
      <c r="M501" s="292">
        <f t="shared" si="21"/>
        <v>9313000</v>
      </c>
      <c r="N501" s="85">
        <v>73376946</v>
      </c>
      <c r="O501" s="85" t="s">
        <v>8342</v>
      </c>
      <c r="P501" s="85" t="s">
        <v>8343</v>
      </c>
      <c r="Q501" s="293">
        <v>44971</v>
      </c>
      <c r="R501" s="293">
        <v>44971</v>
      </c>
      <c r="S501" s="293">
        <v>45084</v>
      </c>
      <c r="T501" s="293"/>
      <c r="U501" s="293"/>
      <c r="V501" s="293"/>
      <c r="W501" s="294"/>
      <c r="X501" s="237">
        <v>9313000</v>
      </c>
      <c r="Y501" s="295">
        <f t="shared" si="22"/>
        <v>0</v>
      </c>
      <c r="Z501" s="296">
        <f t="shared" si="23"/>
        <v>1</v>
      </c>
      <c r="AA501" s="85">
        <v>85152695</v>
      </c>
      <c r="AB501" s="85" t="s">
        <v>6984</v>
      </c>
      <c r="AC501" s="290" t="s">
        <v>196</v>
      </c>
      <c r="AD501" s="290" t="s">
        <v>196</v>
      </c>
      <c r="AE501" s="236"/>
      <c r="AF501" s="85" t="s">
        <v>8344</v>
      </c>
      <c r="AG501" s="290" t="s">
        <v>192</v>
      </c>
      <c r="AH501" s="290" t="s">
        <v>192</v>
      </c>
    </row>
    <row r="502" spans="1:34" s="297" customFormat="1" ht="15" customHeight="1" x14ac:dyDescent="0.25">
      <c r="A502" s="289">
        <v>891780111</v>
      </c>
      <c r="B502" s="289" t="s">
        <v>54</v>
      </c>
      <c r="C502" s="290" t="s">
        <v>56</v>
      </c>
      <c r="D502" s="289" t="s">
        <v>60</v>
      </c>
      <c r="E502" s="290" t="s">
        <v>8345</v>
      </c>
      <c r="F502" s="289" t="s">
        <v>61</v>
      </c>
      <c r="G502" s="85" t="s">
        <v>63</v>
      </c>
      <c r="H502" s="85" t="s">
        <v>73</v>
      </c>
      <c r="I502" s="237">
        <v>11333000</v>
      </c>
      <c r="J502" s="290"/>
      <c r="K502" s="291"/>
      <c r="L502" s="291"/>
      <c r="M502" s="292">
        <f t="shared" si="21"/>
        <v>11333000</v>
      </c>
      <c r="N502" s="85">
        <v>4979192</v>
      </c>
      <c r="O502" s="85" t="s">
        <v>8346</v>
      </c>
      <c r="P502" s="85" t="s">
        <v>8347</v>
      </c>
      <c r="Q502" s="293">
        <v>44971</v>
      </c>
      <c r="R502" s="293">
        <v>44971</v>
      </c>
      <c r="S502" s="293">
        <v>45093</v>
      </c>
      <c r="T502" s="293"/>
      <c r="U502" s="293"/>
      <c r="V502" s="293"/>
      <c r="W502" s="294"/>
      <c r="X502" s="237">
        <v>11333000</v>
      </c>
      <c r="Y502" s="295">
        <f t="shared" si="22"/>
        <v>0</v>
      </c>
      <c r="Z502" s="296">
        <f t="shared" si="23"/>
        <v>1</v>
      </c>
      <c r="AA502" s="85">
        <v>85465146</v>
      </c>
      <c r="AB502" s="85" t="s">
        <v>6628</v>
      </c>
      <c r="AC502" s="290" t="s">
        <v>196</v>
      </c>
      <c r="AD502" s="290" t="s">
        <v>196</v>
      </c>
      <c r="AE502" s="236"/>
      <c r="AF502" s="85" t="s">
        <v>8348</v>
      </c>
      <c r="AG502" s="290" t="s">
        <v>192</v>
      </c>
      <c r="AH502" s="290" t="s">
        <v>192</v>
      </c>
    </row>
    <row r="503" spans="1:34" s="297" customFormat="1" ht="15" customHeight="1" x14ac:dyDescent="0.25">
      <c r="A503" s="289">
        <v>891780111</v>
      </c>
      <c r="B503" s="289" t="s">
        <v>54</v>
      </c>
      <c r="C503" s="290" t="s">
        <v>56</v>
      </c>
      <c r="D503" s="289" t="s">
        <v>60</v>
      </c>
      <c r="E503" s="290" t="s">
        <v>8349</v>
      </c>
      <c r="F503" s="289" t="s">
        <v>61</v>
      </c>
      <c r="G503" s="85" t="s">
        <v>63</v>
      </c>
      <c r="H503" s="85" t="s">
        <v>73</v>
      </c>
      <c r="I503" s="237">
        <v>13600000</v>
      </c>
      <c r="J503" s="290">
        <v>1</v>
      </c>
      <c r="K503" s="291">
        <v>2607000</v>
      </c>
      <c r="L503" s="291"/>
      <c r="M503" s="292">
        <f t="shared" si="21"/>
        <v>16207000</v>
      </c>
      <c r="N503" s="85">
        <v>1019025176</v>
      </c>
      <c r="O503" s="85" t="s">
        <v>8350</v>
      </c>
      <c r="P503" s="85" t="s">
        <v>8351</v>
      </c>
      <c r="Q503" s="293">
        <v>44971</v>
      </c>
      <c r="R503" s="293">
        <v>44971</v>
      </c>
      <c r="S503" s="293">
        <v>45084</v>
      </c>
      <c r="T503" s="293"/>
      <c r="U503" s="293"/>
      <c r="V503" s="293"/>
      <c r="W503" s="294">
        <v>45107</v>
      </c>
      <c r="X503" s="237">
        <v>16207000</v>
      </c>
      <c r="Y503" s="295">
        <f t="shared" si="22"/>
        <v>0</v>
      </c>
      <c r="Z503" s="296">
        <f t="shared" si="23"/>
        <v>1</v>
      </c>
      <c r="AA503" s="85">
        <v>7144175</v>
      </c>
      <c r="AB503" s="85" t="s">
        <v>2040</v>
      </c>
      <c r="AC503" s="290" t="s">
        <v>196</v>
      </c>
      <c r="AD503" s="290" t="s">
        <v>196</v>
      </c>
      <c r="AE503" s="236"/>
      <c r="AF503" s="85" t="s">
        <v>8352</v>
      </c>
      <c r="AG503" s="290" t="s">
        <v>192</v>
      </c>
      <c r="AH503" s="290" t="s">
        <v>192</v>
      </c>
    </row>
    <row r="504" spans="1:34" s="297" customFormat="1" ht="15" customHeight="1" x14ac:dyDescent="0.25">
      <c r="A504" s="289">
        <v>891780111</v>
      </c>
      <c r="B504" s="289" t="s">
        <v>54</v>
      </c>
      <c r="C504" s="290" t="s">
        <v>56</v>
      </c>
      <c r="D504" s="289" t="s">
        <v>60</v>
      </c>
      <c r="E504" s="290" t="s">
        <v>8353</v>
      </c>
      <c r="F504" s="289" t="s">
        <v>61</v>
      </c>
      <c r="G504" s="85" t="s">
        <v>63</v>
      </c>
      <c r="H504" s="85" t="s">
        <v>73</v>
      </c>
      <c r="I504" s="237">
        <v>11853000</v>
      </c>
      <c r="J504" s="290">
        <v>1</v>
      </c>
      <c r="K504" s="291">
        <v>2147000</v>
      </c>
      <c r="L504" s="291"/>
      <c r="M504" s="292">
        <f t="shared" si="21"/>
        <v>14000000</v>
      </c>
      <c r="N504" s="85">
        <v>1082983493</v>
      </c>
      <c r="O504" s="85" t="s">
        <v>8354</v>
      </c>
      <c r="P504" s="85" t="s">
        <v>8355</v>
      </c>
      <c r="Q504" s="293">
        <v>44971</v>
      </c>
      <c r="R504" s="293">
        <v>44971</v>
      </c>
      <c r="S504" s="293">
        <v>45084</v>
      </c>
      <c r="T504" s="293"/>
      <c r="U504" s="293"/>
      <c r="V504" s="293"/>
      <c r="W504" s="294">
        <v>45107</v>
      </c>
      <c r="X504" s="237">
        <v>14000000</v>
      </c>
      <c r="Y504" s="295">
        <f t="shared" si="22"/>
        <v>0</v>
      </c>
      <c r="Z504" s="296">
        <f t="shared" si="23"/>
        <v>1</v>
      </c>
      <c r="AA504" s="85">
        <v>36557666</v>
      </c>
      <c r="AB504" s="85" t="s">
        <v>6916</v>
      </c>
      <c r="AC504" s="290" t="s">
        <v>196</v>
      </c>
      <c r="AD504" s="290" t="s">
        <v>196</v>
      </c>
      <c r="AE504" s="236"/>
      <c r="AF504" s="85" t="s">
        <v>8356</v>
      </c>
      <c r="AG504" s="290" t="s">
        <v>192</v>
      </c>
      <c r="AH504" s="290" t="s">
        <v>192</v>
      </c>
    </row>
    <row r="505" spans="1:34" s="297" customFormat="1" ht="15" customHeight="1" x14ac:dyDescent="0.25">
      <c r="A505" s="289">
        <v>891780111</v>
      </c>
      <c r="B505" s="289" t="s">
        <v>54</v>
      </c>
      <c r="C505" s="290" t="s">
        <v>56</v>
      </c>
      <c r="D505" s="289" t="s">
        <v>60</v>
      </c>
      <c r="E505" s="290" t="s">
        <v>8357</v>
      </c>
      <c r="F505" s="289" t="s">
        <v>61</v>
      </c>
      <c r="G505" s="85" t="s">
        <v>63</v>
      </c>
      <c r="H505" s="85" t="s">
        <v>73</v>
      </c>
      <c r="I505" s="237">
        <v>8043000</v>
      </c>
      <c r="J505" s="290">
        <v>1</v>
      </c>
      <c r="K505" s="291">
        <v>1457000</v>
      </c>
      <c r="L505" s="291"/>
      <c r="M505" s="292">
        <f t="shared" si="21"/>
        <v>9500000</v>
      </c>
      <c r="N505" s="85">
        <v>1083557779</v>
      </c>
      <c r="O505" s="85" t="s">
        <v>8358</v>
      </c>
      <c r="P505" s="85" t="s">
        <v>8359</v>
      </c>
      <c r="Q505" s="293">
        <v>44971</v>
      </c>
      <c r="R505" s="293">
        <v>44971</v>
      </c>
      <c r="S505" s="293">
        <v>45084</v>
      </c>
      <c r="T505" s="293"/>
      <c r="U505" s="293"/>
      <c r="V505" s="293"/>
      <c r="W505" s="294">
        <v>45107</v>
      </c>
      <c r="X505" s="237">
        <v>9500000</v>
      </c>
      <c r="Y505" s="295">
        <f t="shared" si="22"/>
        <v>0</v>
      </c>
      <c r="Z505" s="296">
        <f t="shared" si="23"/>
        <v>1</v>
      </c>
      <c r="AA505" s="85">
        <v>36726018</v>
      </c>
      <c r="AB505" s="85" t="s">
        <v>7466</v>
      </c>
      <c r="AC505" s="290" t="s">
        <v>196</v>
      </c>
      <c r="AD505" s="290" t="s">
        <v>196</v>
      </c>
      <c r="AE505" s="236"/>
      <c r="AF505" s="85" t="s">
        <v>8360</v>
      </c>
      <c r="AG505" s="290" t="s">
        <v>192</v>
      </c>
      <c r="AH505" s="290" t="s">
        <v>192</v>
      </c>
    </row>
    <row r="506" spans="1:34" s="297" customFormat="1" ht="15" customHeight="1" x14ac:dyDescent="0.25">
      <c r="A506" s="289">
        <v>891780111</v>
      </c>
      <c r="B506" s="289" t="s">
        <v>54</v>
      </c>
      <c r="C506" s="290" t="s">
        <v>56</v>
      </c>
      <c r="D506" s="289" t="s">
        <v>60</v>
      </c>
      <c r="E506" s="290" t="s">
        <v>8361</v>
      </c>
      <c r="F506" s="289" t="s">
        <v>61</v>
      </c>
      <c r="G506" s="85" t="s">
        <v>63</v>
      </c>
      <c r="H506" s="85" t="s">
        <v>73</v>
      </c>
      <c r="I506" s="237">
        <v>8043000</v>
      </c>
      <c r="J506" s="290">
        <v>1</v>
      </c>
      <c r="K506" s="291">
        <v>1013000</v>
      </c>
      <c r="L506" s="291"/>
      <c r="M506" s="292">
        <f t="shared" si="21"/>
        <v>9056000</v>
      </c>
      <c r="N506" s="85">
        <v>1129534741</v>
      </c>
      <c r="O506" s="85" t="s">
        <v>8362</v>
      </c>
      <c r="P506" s="85" t="s">
        <v>8363</v>
      </c>
      <c r="Q506" s="293">
        <v>44971</v>
      </c>
      <c r="R506" s="293">
        <v>44971</v>
      </c>
      <c r="S506" s="293">
        <v>45084</v>
      </c>
      <c r="T506" s="293"/>
      <c r="U506" s="293"/>
      <c r="V506" s="293"/>
      <c r="W506" s="294">
        <v>45100</v>
      </c>
      <c r="X506" s="237">
        <v>9056000</v>
      </c>
      <c r="Y506" s="295">
        <f t="shared" si="22"/>
        <v>0</v>
      </c>
      <c r="Z506" s="296">
        <f t="shared" si="23"/>
        <v>1</v>
      </c>
      <c r="AA506" s="85">
        <v>45507423</v>
      </c>
      <c r="AB506" s="85" t="s">
        <v>6911</v>
      </c>
      <c r="AC506" s="290" t="s">
        <v>196</v>
      </c>
      <c r="AD506" s="290" t="s">
        <v>196</v>
      </c>
      <c r="AE506" s="236"/>
      <c r="AF506" s="85" t="s">
        <v>8364</v>
      </c>
      <c r="AG506" s="290" t="s">
        <v>192</v>
      </c>
      <c r="AH506" s="290" t="s">
        <v>192</v>
      </c>
    </row>
    <row r="507" spans="1:34" s="297" customFormat="1" ht="15" customHeight="1" x14ac:dyDescent="0.25">
      <c r="A507" s="289">
        <v>891780111</v>
      </c>
      <c r="B507" s="289" t="s">
        <v>54</v>
      </c>
      <c r="C507" s="290" t="s">
        <v>56</v>
      </c>
      <c r="D507" s="289" t="s">
        <v>60</v>
      </c>
      <c r="E507" s="290" t="s">
        <v>8365</v>
      </c>
      <c r="F507" s="289" t="s">
        <v>61</v>
      </c>
      <c r="G507" s="85" t="s">
        <v>63</v>
      </c>
      <c r="H507" s="85" t="s">
        <v>73</v>
      </c>
      <c r="I507" s="237">
        <v>12693000</v>
      </c>
      <c r="J507" s="290"/>
      <c r="K507" s="291"/>
      <c r="L507" s="291"/>
      <c r="M507" s="292">
        <f t="shared" si="21"/>
        <v>12693000</v>
      </c>
      <c r="N507" s="85">
        <v>36718392</v>
      </c>
      <c r="O507" s="85" t="s">
        <v>8366</v>
      </c>
      <c r="P507" s="85" t="s">
        <v>8367</v>
      </c>
      <c r="Q507" s="293">
        <v>44971</v>
      </c>
      <c r="R507" s="293">
        <v>44971</v>
      </c>
      <c r="S507" s="293">
        <v>45093</v>
      </c>
      <c r="T507" s="293"/>
      <c r="U507" s="293"/>
      <c r="V507" s="293"/>
      <c r="W507" s="294">
        <v>45100</v>
      </c>
      <c r="X507" s="237">
        <v>12693000</v>
      </c>
      <c r="Y507" s="295">
        <f t="shared" si="22"/>
        <v>0</v>
      </c>
      <c r="Z507" s="296">
        <f t="shared" si="23"/>
        <v>1</v>
      </c>
      <c r="AA507" s="85">
        <v>85465146</v>
      </c>
      <c r="AB507" s="85" t="s">
        <v>6628</v>
      </c>
      <c r="AC507" s="290" t="s">
        <v>196</v>
      </c>
      <c r="AD507" s="290" t="s">
        <v>196</v>
      </c>
      <c r="AE507" s="236"/>
      <c r="AF507" s="85" t="s">
        <v>8368</v>
      </c>
      <c r="AG507" s="290" t="s">
        <v>192</v>
      </c>
      <c r="AH507" s="290" t="s">
        <v>192</v>
      </c>
    </row>
    <row r="508" spans="1:34" s="297" customFormat="1" ht="15" customHeight="1" x14ac:dyDescent="0.25">
      <c r="A508" s="289">
        <v>891780111</v>
      </c>
      <c r="B508" s="289" t="s">
        <v>54</v>
      </c>
      <c r="C508" s="290" t="s">
        <v>56</v>
      </c>
      <c r="D508" s="289" t="s">
        <v>60</v>
      </c>
      <c r="E508" s="290" t="s">
        <v>8369</v>
      </c>
      <c r="F508" s="289" t="s">
        <v>61</v>
      </c>
      <c r="G508" s="85" t="s">
        <v>63</v>
      </c>
      <c r="H508" s="85" t="s">
        <v>73</v>
      </c>
      <c r="I508" s="237">
        <v>9313000</v>
      </c>
      <c r="J508" s="290">
        <v>1</v>
      </c>
      <c r="K508" s="291">
        <v>1173000</v>
      </c>
      <c r="L508" s="291"/>
      <c r="M508" s="292">
        <f t="shared" si="21"/>
        <v>10486000</v>
      </c>
      <c r="N508" s="85">
        <v>1083033311</v>
      </c>
      <c r="O508" s="85" t="s">
        <v>8370</v>
      </c>
      <c r="P508" s="85" t="s">
        <v>8371</v>
      </c>
      <c r="Q508" s="293">
        <v>44971</v>
      </c>
      <c r="R508" s="293">
        <v>44971</v>
      </c>
      <c r="S508" s="293">
        <v>45084</v>
      </c>
      <c r="T508" s="293"/>
      <c r="U508" s="293"/>
      <c r="V508" s="293"/>
      <c r="W508" s="294">
        <v>45100</v>
      </c>
      <c r="X508" s="237">
        <v>10486000</v>
      </c>
      <c r="Y508" s="295">
        <f t="shared" si="22"/>
        <v>0</v>
      </c>
      <c r="Z508" s="296">
        <f t="shared" si="23"/>
        <v>1</v>
      </c>
      <c r="AA508" s="85">
        <v>1082868728</v>
      </c>
      <c r="AB508" s="85" t="s">
        <v>6010</v>
      </c>
      <c r="AC508" s="290" t="s">
        <v>196</v>
      </c>
      <c r="AD508" s="290" t="s">
        <v>196</v>
      </c>
      <c r="AE508" s="236"/>
      <c r="AF508" s="85" t="s">
        <v>8372</v>
      </c>
      <c r="AG508" s="290" t="s">
        <v>192</v>
      </c>
      <c r="AH508" s="290" t="s">
        <v>192</v>
      </c>
    </row>
    <row r="509" spans="1:34" s="297" customFormat="1" ht="15" customHeight="1" x14ac:dyDescent="0.25">
      <c r="A509" s="289">
        <v>891780111</v>
      </c>
      <c r="B509" s="289" t="s">
        <v>54</v>
      </c>
      <c r="C509" s="290" t="s">
        <v>59</v>
      </c>
      <c r="D509" s="289" t="s">
        <v>60</v>
      </c>
      <c r="E509" s="290" t="s">
        <v>8373</v>
      </c>
      <c r="F509" s="289" t="s">
        <v>61</v>
      </c>
      <c r="G509" s="85" t="s">
        <v>63</v>
      </c>
      <c r="H509" s="85" t="s">
        <v>73</v>
      </c>
      <c r="I509" s="237">
        <v>18000000</v>
      </c>
      <c r="J509" s="290"/>
      <c r="K509" s="291"/>
      <c r="L509" s="291"/>
      <c r="M509" s="292">
        <f t="shared" si="21"/>
        <v>18000000</v>
      </c>
      <c r="N509" s="85">
        <v>1121331196</v>
      </c>
      <c r="O509" s="85" t="s">
        <v>8374</v>
      </c>
      <c r="P509" s="85" t="s">
        <v>8375</v>
      </c>
      <c r="Q509" s="293">
        <v>44974</v>
      </c>
      <c r="R509" s="293">
        <v>44974</v>
      </c>
      <c r="S509" s="293">
        <v>45107</v>
      </c>
      <c r="T509" s="293"/>
      <c r="U509" s="293"/>
      <c r="V509" s="293"/>
      <c r="W509" s="294"/>
      <c r="X509" s="237">
        <v>18000000</v>
      </c>
      <c r="Y509" s="295">
        <f t="shared" si="22"/>
        <v>0</v>
      </c>
      <c r="Z509" s="296">
        <f t="shared" si="23"/>
        <v>1</v>
      </c>
      <c r="AA509" s="85">
        <v>85471791</v>
      </c>
      <c r="AB509" s="85" t="s">
        <v>7172</v>
      </c>
      <c r="AC509" s="290" t="s">
        <v>196</v>
      </c>
      <c r="AD509" s="290" t="s">
        <v>196</v>
      </c>
      <c r="AE509" s="236"/>
      <c r="AF509" s="85" t="s">
        <v>8376</v>
      </c>
      <c r="AG509" s="290" t="s">
        <v>192</v>
      </c>
      <c r="AH509" s="290" t="s">
        <v>192</v>
      </c>
    </row>
    <row r="510" spans="1:34" s="297" customFormat="1" ht="15" customHeight="1" x14ac:dyDescent="0.25">
      <c r="A510" s="289">
        <v>891780111</v>
      </c>
      <c r="B510" s="289" t="s">
        <v>54</v>
      </c>
      <c r="C510" s="290" t="s">
        <v>57</v>
      </c>
      <c r="D510" s="289" t="s">
        <v>60</v>
      </c>
      <c r="E510" s="290" t="s">
        <v>8377</v>
      </c>
      <c r="F510" s="289" t="s">
        <v>61</v>
      </c>
      <c r="G510" s="85" t="s">
        <v>63</v>
      </c>
      <c r="H510" s="85" t="s">
        <v>73</v>
      </c>
      <c r="I510" s="237">
        <v>12250000</v>
      </c>
      <c r="J510" s="290"/>
      <c r="K510" s="291"/>
      <c r="L510" s="291"/>
      <c r="M510" s="292">
        <f t="shared" si="21"/>
        <v>12250000</v>
      </c>
      <c r="N510" s="85">
        <v>1082983016</v>
      </c>
      <c r="O510" s="85" t="s">
        <v>8378</v>
      </c>
      <c r="P510" s="85" t="s">
        <v>8166</v>
      </c>
      <c r="Q510" s="293">
        <v>44974</v>
      </c>
      <c r="R510" s="293">
        <v>44974</v>
      </c>
      <c r="S510" s="293">
        <v>45041</v>
      </c>
      <c r="T510" s="293"/>
      <c r="U510" s="293"/>
      <c r="V510" s="293"/>
      <c r="W510" s="294"/>
      <c r="X510" s="237">
        <v>12250000</v>
      </c>
      <c r="Y510" s="295">
        <f t="shared" si="22"/>
        <v>0</v>
      </c>
      <c r="Z510" s="296">
        <f t="shared" si="23"/>
        <v>1</v>
      </c>
      <c r="AA510" s="85">
        <v>1192791759</v>
      </c>
      <c r="AB510" s="85" t="s">
        <v>6649</v>
      </c>
      <c r="AC510" s="290" t="s">
        <v>196</v>
      </c>
      <c r="AD510" s="290" t="s">
        <v>196</v>
      </c>
      <c r="AE510" s="236"/>
      <c r="AF510" s="85" t="s">
        <v>8379</v>
      </c>
      <c r="AG510" s="290" t="s">
        <v>192</v>
      </c>
      <c r="AH510" s="290" t="s">
        <v>192</v>
      </c>
    </row>
    <row r="511" spans="1:34" s="297" customFormat="1" ht="15" customHeight="1" x14ac:dyDescent="0.25">
      <c r="A511" s="289">
        <v>891780111</v>
      </c>
      <c r="B511" s="289" t="s">
        <v>54</v>
      </c>
      <c r="C511" s="290" t="s">
        <v>56</v>
      </c>
      <c r="D511" s="289" t="s">
        <v>60</v>
      </c>
      <c r="E511" s="290" t="s">
        <v>8380</v>
      </c>
      <c r="F511" s="289" t="s">
        <v>61</v>
      </c>
      <c r="G511" s="85" t="s">
        <v>63</v>
      </c>
      <c r="H511" s="85" t="s">
        <v>73</v>
      </c>
      <c r="I511" s="237">
        <v>8043000</v>
      </c>
      <c r="J511" s="290"/>
      <c r="K511" s="291"/>
      <c r="L511" s="291"/>
      <c r="M511" s="292">
        <f t="shared" si="21"/>
        <v>8043000</v>
      </c>
      <c r="N511" s="85">
        <v>36726629</v>
      </c>
      <c r="O511" s="85" t="s">
        <v>8381</v>
      </c>
      <c r="P511" s="85" t="s">
        <v>8382</v>
      </c>
      <c r="Q511" s="293">
        <v>44974</v>
      </c>
      <c r="R511" s="293">
        <v>44974</v>
      </c>
      <c r="S511" s="293">
        <v>45084</v>
      </c>
      <c r="T511" s="293"/>
      <c r="U511" s="293"/>
      <c r="V511" s="293"/>
      <c r="W511" s="294"/>
      <c r="X511" s="237">
        <v>8043000</v>
      </c>
      <c r="Y511" s="295">
        <f t="shared" si="22"/>
        <v>0</v>
      </c>
      <c r="Z511" s="296">
        <f t="shared" si="23"/>
        <v>1</v>
      </c>
      <c r="AA511" s="85">
        <v>57441846</v>
      </c>
      <c r="AB511" s="85" t="s">
        <v>6885</v>
      </c>
      <c r="AC511" s="290" t="s">
        <v>196</v>
      </c>
      <c r="AD511" s="290" t="s">
        <v>196</v>
      </c>
      <c r="AE511" s="236"/>
      <c r="AF511" s="85" t="s">
        <v>8383</v>
      </c>
      <c r="AG511" s="290" t="s">
        <v>192</v>
      </c>
      <c r="AH511" s="290" t="s">
        <v>192</v>
      </c>
    </row>
    <row r="512" spans="1:34" s="297" customFormat="1" ht="15" customHeight="1" x14ac:dyDescent="0.25">
      <c r="A512" s="289">
        <v>891780111</v>
      </c>
      <c r="B512" s="289" t="s">
        <v>54</v>
      </c>
      <c r="C512" s="290" t="s">
        <v>56</v>
      </c>
      <c r="D512" s="289" t="s">
        <v>60</v>
      </c>
      <c r="E512" s="290" t="s">
        <v>8384</v>
      </c>
      <c r="F512" s="289" t="s">
        <v>61</v>
      </c>
      <c r="G512" s="85" t="s">
        <v>63</v>
      </c>
      <c r="H512" s="85" t="s">
        <v>73</v>
      </c>
      <c r="I512" s="237">
        <v>8043000</v>
      </c>
      <c r="J512" s="290"/>
      <c r="K512" s="291"/>
      <c r="L512" s="291"/>
      <c r="M512" s="292">
        <f t="shared" si="21"/>
        <v>8043000</v>
      </c>
      <c r="N512" s="85">
        <v>9694501</v>
      </c>
      <c r="O512" s="85" t="s">
        <v>8385</v>
      </c>
      <c r="P512" s="85" t="s">
        <v>8386</v>
      </c>
      <c r="Q512" s="293">
        <v>44974</v>
      </c>
      <c r="R512" s="293">
        <v>44974</v>
      </c>
      <c r="S512" s="293">
        <v>45084</v>
      </c>
      <c r="T512" s="293"/>
      <c r="U512" s="293"/>
      <c r="V512" s="293"/>
      <c r="W512" s="294"/>
      <c r="X512" s="237">
        <v>8043000</v>
      </c>
      <c r="Y512" s="295">
        <f t="shared" si="22"/>
        <v>0</v>
      </c>
      <c r="Z512" s="296">
        <f t="shared" si="23"/>
        <v>1</v>
      </c>
      <c r="AA512" s="85">
        <v>79732773</v>
      </c>
      <c r="AB512" s="85" t="s">
        <v>5304</v>
      </c>
      <c r="AC512" s="290" t="s">
        <v>196</v>
      </c>
      <c r="AD512" s="290" t="s">
        <v>196</v>
      </c>
      <c r="AE512" s="236"/>
      <c r="AF512" s="85" t="s">
        <v>8387</v>
      </c>
      <c r="AG512" s="290" t="s">
        <v>192</v>
      </c>
      <c r="AH512" s="290" t="s">
        <v>192</v>
      </c>
    </row>
    <row r="513" spans="1:34" s="297" customFormat="1" ht="15" customHeight="1" x14ac:dyDescent="0.25">
      <c r="A513" s="289">
        <v>891780111</v>
      </c>
      <c r="B513" s="289" t="s">
        <v>54</v>
      </c>
      <c r="C513" s="290" t="s">
        <v>56</v>
      </c>
      <c r="D513" s="289" t="s">
        <v>60</v>
      </c>
      <c r="E513" s="290" t="s">
        <v>8388</v>
      </c>
      <c r="F513" s="289" t="s">
        <v>61</v>
      </c>
      <c r="G513" s="85" t="s">
        <v>63</v>
      </c>
      <c r="H513" s="85" t="s">
        <v>73</v>
      </c>
      <c r="I513" s="237">
        <v>10583000</v>
      </c>
      <c r="J513" s="290"/>
      <c r="K513" s="291"/>
      <c r="L513" s="291"/>
      <c r="M513" s="292">
        <f t="shared" si="21"/>
        <v>10583000</v>
      </c>
      <c r="N513" s="85">
        <v>1128149649</v>
      </c>
      <c r="O513" s="85" t="s">
        <v>8389</v>
      </c>
      <c r="P513" s="85" t="s">
        <v>8390</v>
      </c>
      <c r="Q513" s="293">
        <v>44974</v>
      </c>
      <c r="R513" s="293">
        <v>44974</v>
      </c>
      <c r="S513" s="293">
        <v>45084</v>
      </c>
      <c r="T513" s="293"/>
      <c r="U513" s="293"/>
      <c r="V513" s="293"/>
      <c r="W513" s="294"/>
      <c r="X513" s="237">
        <v>10583000</v>
      </c>
      <c r="Y513" s="295">
        <f t="shared" si="22"/>
        <v>0</v>
      </c>
      <c r="Z513" s="296">
        <f t="shared" si="23"/>
        <v>1</v>
      </c>
      <c r="AA513" s="85">
        <v>57441846</v>
      </c>
      <c r="AB513" s="85" t="s">
        <v>6885</v>
      </c>
      <c r="AC513" s="290" t="s">
        <v>196</v>
      </c>
      <c r="AD513" s="290" t="s">
        <v>196</v>
      </c>
      <c r="AE513" s="236"/>
      <c r="AF513" s="85" t="s">
        <v>8391</v>
      </c>
      <c r="AG513" s="290" t="s">
        <v>192</v>
      </c>
      <c r="AH513" s="290" t="s">
        <v>192</v>
      </c>
    </row>
    <row r="514" spans="1:34" s="297" customFormat="1" ht="15" customHeight="1" x14ac:dyDescent="0.25">
      <c r="A514" s="289">
        <v>891780111</v>
      </c>
      <c r="B514" s="289" t="s">
        <v>54</v>
      </c>
      <c r="C514" s="290" t="s">
        <v>56</v>
      </c>
      <c r="D514" s="289" t="s">
        <v>60</v>
      </c>
      <c r="E514" s="290" t="s">
        <v>8392</v>
      </c>
      <c r="F514" s="289" t="s">
        <v>61</v>
      </c>
      <c r="G514" s="85" t="s">
        <v>63</v>
      </c>
      <c r="H514" s="85" t="s">
        <v>73</v>
      </c>
      <c r="I514" s="237">
        <v>9313000</v>
      </c>
      <c r="J514" s="290"/>
      <c r="K514" s="291"/>
      <c r="L514" s="291"/>
      <c r="M514" s="292">
        <f t="shared" si="21"/>
        <v>9313000</v>
      </c>
      <c r="N514" s="85">
        <v>1003241053</v>
      </c>
      <c r="O514" s="85" t="s">
        <v>8393</v>
      </c>
      <c r="P514" s="85" t="s">
        <v>7642</v>
      </c>
      <c r="Q514" s="293">
        <v>44974</v>
      </c>
      <c r="R514" s="293">
        <v>44974</v>
      </c>
      <c r="S514" s="293">
        <v>45084</v>
      </c>
      <c r="T514" s="293"/>
      <c r="U514" s="293"/>
      <c r="V514" s="293"/>
      <c r="W514" s="294"/>
      <c r="X514" s="237">
        <v>9313000</v>
      </c>
      <c r="Y514" s="295">
        <f t="shared" si="22"/>
        <v>0</v>
      </c>
      <c r="Z514" s="296">
        <f t="shared" si="23"/>
        <v>1</v>
      </c>
      <c r="AA514" s="85">
        <v>57297693</v>
      </c>
      <c r="AB514" s="85" t="s">
        <v>5446</v>
      </c>
      <c r="AC514" s="290" t="s">
        <v>196</v>
      </c>
      <c r="AD514" s="290" t="s">
        <v>196</v>
      </c>
      <c r="AE514" s="236"/>
      <c r="AF514" s="85" t="s">
        <v>8394</v>
      </c>
      <c r="AG514" s="290" t="s">
        <v>192</v>
      </c>
      <c r="AH514" s="290" t="s">
        <v>192</v>
      </c>
    </row>
    <row r="515" spans="1:34" s="297" customFormat="1" ht="15" customHeight="1" x14ac:dyDescent="0.25">
      <c r="A515" s="289">
        <v>891780111</v>
      </c>
      <c r="B515" s="289" t="s">
        <v>54</v>
      </c>
      <c r="C515" s="290" t="s">
        <v>56</v>
      </c>
      <c r="D515" s="289" t="s">
        <v>60</v>
      </c>
      <c r="E515" s="290" t="s">
        <v>8395</v>
      </c>
      <c r="F515" s="289" t="s">
        <v>61</v>
      </c>
      <c r="G515" s="85" t="s">
        <v>63</v>
      </c>
      <c r="H515" s="85" t="s">
        <v>73</v>
      </c>
      <c r="I515" s="237">
        <v>8043000</v>
      </c>
      <c r="J515" s="290">
        <v>1</v>
      </c>
      <c r="K515" s="291">
        <v>1457000</v>
      </c>
      <c r="L515" s="291"/>
      <c r="M515" s="292">
        <f t="shared" si="21"/>
        <v>9500000</v>
      </c>
      <c r="N515" s="85">
        <v>5492235</v>
      </c>
      <c r="O515" s="85" t="s">
        <v>8396</v>
      </c>
      <c r="P515" s="85" t="s">
        <v>8397</v>
      </c>
      <c r="Q515" s="293">
        <v>44974</v>
      </c>
      <c r="R515" s="293">
        <v>44974</v>
      </c>
      <c r="S515" s="293">
        <v>45084</v>
      </c>
      <c r="T515" s="293"/>
      <c r="U515" s="293"/>
      <c r="V515" s="293"/>
      <c r="W515" s="294">
        <v>45107</v>
      </c>
      <c r="X515" s="237">
        <v>9500000</v>
      </c>
      <c r="Y515" s="295">
        <f t="shared" si="22"/>
        <v>0</v>
      </c>
      <c r="Z515" s="296">
        <f t="shared" si="23"/>
        <v>1</v>
      </c>
      <c r="AA515" s="85">
        <v>57444673</v>
      </c>
      <c r="AB515" s="85" t="s">
        <v>5370</v>
      </c>
      <c r="AC515" s="290" t="s">
        <v>196</v>
      </c>
      <c r="AD515" s="290" t="s">
        <v>196</v>
      </c>
      <c r="AE515" s="236"/>
      <c r="AF515" s="85" t="s">
        <v>8398</v>
      </c>
      <c r="AG515" s="290" t="s">
        <v>192</v>
      </c>
      <c r="AH515" s="290" t="s">
        <v>192</v>
      </c>
    </row>
    <row r="516" spans="1:34" s="297" customFormat="1" ht="15" customHeight="1" x14ac:dyDescent="0.25">
      <c r="A516" s="289">
        <v>891780111</v>
      </c>
      <c r="B516" s="289" t="s">
        <v>54</v>
      </c>
      <c r="C516" s="290" t="s">
        <v>56</v>
      </c>
      <c r="D516" s="289" t="s">
        <v>60</v>
      </c>
      <c r="E516" s="290" t="s">
        <v>8399</v>
      </c>
      <c r="F516" s="289" t="s">
        <v>61</v>
      </c>
      <c r="G516" s="85" t="s">
        <v>63</v>
      </c>
      <c r="H516" s="85" t="s">
        <v>73</v>
      </c>
      <c r="I516" s="237">
        <v>7473000</v>
      </c>
      <c r="J516" s="290"/>
      <c r="K516" s="291"/>
      <c r="L516" s="291"/>
      <c r="M516" s="292">
        <f t="shared" si="21"/>
        <v>7473000</v>
      </c>
      <c r="N516" s="85">
        <v>1082976757</v>
      </c>
      <c r="O516" s="85" t="s">
        <v>8400</v>
      </c>
      <c r="P516" s="85" t="s">
        <v>8386</v>
      </c>
      <c r="Q516" s="293">
        <v>44974</v>
      </c>
      <c r="R516" s="293">
        <v>44974</v>
      </c>
      <c r="S516" s="293">
        <v>45084</v>
      </c>
      <c r="T516" s="293"/>
      <c r="U516" s="293"/>
      <c r="V516" s="293"/>
      <c r="W516" s="294"/>
      <c r="X516" s="237">
        <v>7473000</v>
      </c>
      <c r="Y516" s="295">
        <f t="shared" si="22"/>
        <v>0</v>
      </c>
      <c r="Z516" s="296">
        <f t="shared" si="23"/>
        <v>1</v>
      </c>
      <c r="AA516" s="85">
        <v>79732773</v>
      </c>
      <c r="AB516" s="85" t="s">
        <v>5304</v>
      </c>
      <c r="AC516" s="290" t="s">
        <v>196</v>
      </c>
      <c r="AD516" s="290" t="s">
        <v>196</v>
      </c>
      <c r="AE516" s="236"/>
      <c r="AF516" s="85" t="s">
        <v>8401</v>
      </c>
      <c r="AG516" s="290" t="s">
        <v>192</v>
      </c>
      <c r="AH516" s="290" t="s">
        <v>192</v>
      </c>
    </row>
    <row r="517" spans="1:34" s="297" customFormat="1" ht="15" customHeight="1" x14ac:dyDescent="0.25">
      <c r="A517" s="289">
        <v>891780111</v>
      </c>
      <c r="B517" s="289" t="s">
        <v>54</v>
      </c>
      <c r="C517" s="290" t="s">
        <v>56</v>
      </c>
      <c r="D517" s="289" t="s">
        <v>60</v>
      </c>
      <c r="E517" s="290" t="s">
        <v>8402</v>
      </c>
      <c r="F517" s="289" t="s">
        <v>61</v>
      </c>
      <c r="G517" s="85" t="s">
        <v>63</v>
      </c>
      <c r="H517" s="85" t="s">
        <v>73</v>
      </c>
      <c r="I517" s="237">
        <v>9313000</v>
      </c>
      <c r="J517" s="290">
        <v>1</v>
      </c>
      <c r="K517" s="291">
        <v>1687000</v>
      </c>
      <c r="L517" s="291"/>
      <c r="M517" s="292">
        <f t="shared" ref="M517:M580" si="24">I517+K517-L517</f>
        <v>11000000</v>
      </c>
      <c r="N517" s="85">
        <v>85150692</v>
      </c>
      <c r="O517" s="85" t="s">
        <v>8403</v>
      </c>
      <c r="P517" s="85" t="s">
        <v>8404</v>
      </c>
      <c r="Q517" s="293">
        <v>44974</v>
      </c>
      <c r="R517" s="293">
        <v>44974</v>
      </c>
      <c r="S517" s="293">
        <v>45084</v>
      </c>
      <c r="T517" s="293"/>
      <c r="U517" s="293"/>
      <c r="V517" s="293"/>
      <c r="W517" s="294">
        <v>45107</v>
      </c>
      <c r="X517" s="237">
        <v>11000000</v>
      </c>
      <c r="Y517" s="295">
        <f t="shared" ref="Y517:Y580" si="25">M517-X517</f>
        <v>0</v>
      </c>
      <c r="Z517" s="296">
        <f t="shared" ref="Z517:Z580" si="26">+(X517/M517)</f>
        <v>1</v>
      </c>
      <c r="AA517" s="85">
        <v>57297693</v>
      </c>
      <c r="AB517" s="85" t="s">
        <v>5446</v>
      </c>
      <c r="AC517" s="290" t="s">
        <v>196</v>
      </c>
      <c r="AD517" s="290" t="s">
        <v>196</v>
      </c>
      <c r="AE517" s="236"/>
      <c r="AF517" s="85" t="s">
        <v>8405</v>
      </c>
      <c r="AG517" s="290" t="s">
        <v>192</v>
      </c>
      <c r="AH517" s="290" t="s">
        <v>192</v>
      </c>
    </row>
    <row r="518" spans="1:34" s="297" customFormat="1" ht="15" customHeight="1" x14ac:dyDescent="0.25">
      <c r="A518" s="289">
        <v>891780111</v>
      </c>
      <c r="B518" s="289" t="s">
        <v>54</v>
      </c>
      <c r="C518" s="290" t="s">
        <v>57</v>
      </c>
      <c r="D518" s="289" t="s">
        <v>60</v>
      </c>
      <c r="E518" s="290" t="s">
        <v>8406</v>
      </c>
      <c r="F518" s="289" t="s">
        <v>61</v>
      </c>
      <c r="G518" s="85" t="s">
        <v>63</v>
      </c>
      <c r="H518" s="85" t="s">
        <v>73</v>
      </c>
      <c r="I518" s="237">
        <v>12250000</v>
      </c>
      <c r="J518" s="290"/>
      <c r="K518" s="291"/>
      <c r="L518" s="291"/>
      <c r="M518" s="292">
        <f t="shared" si="24"/>
        <v>12250000</v>
      </c>
      <c r="N518" s="85">
        <v>7602961</v>
      </c>
      <c r="O518" s="85" t="s">
        <v>8407</v>
      </c>
      <c r="P518" s="85" t="s">
        <v>8408</v>
      </c>
      <c r="Q518" s="293">
        <v>44974</v>
      </c>
      <c r="R518" s="293">
        <v>44974</v>
      </c>
      <c r="S518" s="293">
        <v>45041</v>
      </c>
      <c r="T518" s="293"/>
      <c r="U518" s="293"/>
      <c r="V518" s="293"/>
      <c r="W518" s="294"/>
      <c r="X518" s="237">
        <v>9333000</v>
      </c>
      <c r="Y518" s="295">
        <f t="shared" si="25"/>
        <v>2917000</v>
      </c>
      <c r="Z518" s="296">
        <f t="shared" si="26"/>
        <v>0.76187755102040822</v>
      </c>
      <c r="AA518" s="85">
        <v>1192791759</v>
      </c>
      <c r="AB518" s="85" t="s">
        <v>6649</v>
      </c>
      <c r="AC518" s="290" t="s">
        <v>196</v>
      </c>
      <c r="AD518" s="290" t="s">
        <v>196</v>
      </c>
      <c r="AE518" s="236"/>
      <c r="AF518" s="85" t="s">
        <v>8409</v>
      </c>
      <c r="AG518" s="290" t="s">
        <v>192</v>
      </c>
      <c r="AH518" s="290" t="s">
        <v>192</v>
      </c>
    </row>
    <row r="519" spans="1:34" s="297" customFormat="1" ht="15" customHeight="1" x14ac:dyDescent="0.25">
      <c r="A519" s="289">
        <v>891780111</v>
      </c>
      <c r="B519" s="289" t="s">
        <v>54</v>
      </c>
      <c r="C519" s="290" t="s">
        <v>56</v>
      </c>
      <c r="D519" s="289" t="s">
        <v>60</v>
      </c>
      <c r="E519" s="290" t="s">
        <v>8410</v>
      </c>
      <c r="F519" s="289" t="s">
        <v>61</v>
      </c>
      <c r="G519" s="85" t="s">
        <v>63</v>
      </c>
      <c r="H519" s="85" t="s">
        <v>73</v>
      </c>
      <c r="I519" s="237">
        <v>8043000</v>
      </c>
      <c r="J519" s="290">
        <v>1</v>
      </c>
      <c r="K519" s="291">
        <v>1013000</v>
      </c>
      <c r="L519" s="291"/>
      <c r="M519" s="292">
        <f t="shared" si="24"/>
        <v>9056000</v>
      </c>
      <c r="N519" s="85">
        <v>1082889011</v>
      </c>
      <c r="O519" s="85" t="s">
        <v>8411</v>
      </c>
      <c r="P519" s="85" t="s">
        <v>8412</v>
      </c>
      <c r="Q519" s="293">
        <v>44974</v>
      </c>
      <c r="R519" s="293">
        <v>44974</v>
      </c>
      <c r="S519" s="293">
        <v>45084</v>
      </c>
      <c r="T519" s="293"/>
      <c r="U519" s="293"/>
      <c r="V519" s="293"/>
      <c r="W519" s="294">
        <v>45100</v>
      </c>
      <c r="X519" s="237">
        <v>9056000</v>
      </c>
      <c r="Y519" s="295">
        <f t="shared" si="25"/>
        <v>0</v>
      </c>
      <c r="Z519" s="296">
        <f t="shared" si="26"/>
        <v>1</v>
      </c>
      <c r="AA519" s="85">
        <v>45507423</v>
      </c>
      <c r="AB519" s="85" t="s">
        <v>6911</v>
      </c>
      <c r="AC519" s="290" t="s">
        <v>196</v>
      </c>
      <c r="AD519" s="290" t="s">
        <v>196</v>
      </c>
      <c r="AE519" s="236"/>
      <c r="AF519" s="85" t="s">
        <v>8413</v>
      </c>
      <c r="AG519" s="290" t="s">
        <v>192</v>
      </c>
      <c r="AH519" s="290" t="s">
        <v>192</v>
      </c>
    </row>
    <row r="520" spans="1:34" s="297" customFormat="1" ht="15" customHeight="1" x14ac:dyDescent="0.25">
      <c r="A520" s="289">
        <v>891780111</v>
      </c>
      <c r="B520" s="289" t="s">
        <v>54</v>
      </c>
      <c r="C520" s="290" t="s">
        <v>56</v>
      </c>
      <c r="D520" s="289" t="s">
        <v>60</v>
      </c>
      <c r="E520" s="290" t="s">
        <v>8414</v>
      </c>
      <c r="F520" s="289" t="s">
        <v>61</v>
      </c>
      <c r="G520" s="85" t="s">
        <v>63</v>
      </c>
      <c r="H520" s="85" t="s">
        <v>73</v>
      </c>
      <c r="I520" s="237">
        <v>11853000</v>
      </c>
      <c r="J520" s="290">
        <v>1</v>
      </c>
      <c r="K520" s="291">
        <v>2147000</v>
      </c>
      <c r="L520" s="291"/>
      <c r="M520" s="292">
        <f t="shared" si="24"/>
        <v>14000000</v>
      </c>
      <c r="N520" s="85">
        <v>57432322</v>
      </c>
      <c r="O520" s="85" t="s">
        <v>8415</v>
      </c>
      <c r="P520" s="85" t="s">
        <v>8416</v>
      </c>
      <c r="Q520" s="293">
        <v>44974</v>
      </c>
      <c r="R520" s="293">
        <v>44974</v>
      </c>
      <c r="S520" s="293">
        <v>45084</v>
      </c>
      <c r="T520" s="293"/>
      <c r="U520" s="293"/>
      <c r="V520" s="293"/>
      <c r="W520" s="294">
        <v>45107</v>
      </c>
      <c r="X520" s="237">
        <v>14000000</v>
      </c>
      <c r="Y520" s="295">
        <f t="shared" si="25"/>
        <v>0</v>
      </c>
      <c r="Z520" s="296">
        <f t="shared" si="26"/>
        <v>1</v>
      </c>
      <c r="AA520" s="85">
        <v>72221403</v>
      </c>
      <c r="AB520" s="85" t="s">
        <v>7423</v>
      </c>
      <c r="AC520" s="290" t="s">
        <v>196</v>
      </c>
      <c r="AD520" s="290" t="s">
        <v>196</v>
      </c>
      <c r="AE520" s="236"/>
      <c r="AF520" s="85" t="s">
        <v>8417</v>
      </c>
      <c r="AG520" s="290" t="s">
        <v>192</v>
      </c>
      <c r="AH520" s="290" t="s">
        <v>192</v>
      </c>
    </row>
    <row r="521" spans="1:34" s="297" customFormat="1" ht="15" customHeight="1" x14ac:dyDescent="0.25">
      <c r="A521" s="289">
        <v>891780111</v>
      </c>
      <c r="B521" s="289" t="s">
        <v>54</v>
      </c>
      <c r="C521" s="290" t="s">
        <v>56</v>
      </c>
      <c r="D521" s="289" t="s">
        <v>60</v>
      </c>
      <c r="E521" s="290" t="s">
        <v>8418</v>
      </c>
      <c r="F521" s="289" t="s">
        <v>61</v>
      </c>
      <c r="G521" s="85" t="s">
        <v>63</v>
      </c>
      <c r="H521" s="85" t="s">
        <v>73</v>
      </c>
      <c r="I521" s="237">
        <v>10583000</v>
      </c>
      <c r="J521" s="290">
        <v>1</v>
      </c>
      <c r="K521" s="291">
        <v>1917000</v>
      </c>
      <c r="L521" s="291"/>
      <c r="M521" s="292">
        <f t="shared" si="24"/>
        <v>12500000</v>
      </c>
      <c r="N521" s="85">
        <v>1082997554</v>
      </c>
      <c r="O521" s="85" t="s">
        <v>8419</v>
      </c>
      <c r="P521" s="85" t="s">
        <v>8420</v>
      </c>
      <c r="Q521" s="293">
        <v>44974</v>
      </c>
      <c r="R521" s="293">
        <v>44974</v>
      </c>
      <c r="S521" s="293">
        <v>45084</v>
      </c>
      <c r="T521" s="293"/>
      <c r="U521" s="293"/>
      <c r="V521" s="293"/>
      <c r="W521" s="294">
        <v>45107</v>
      </c>
      <c r="X521" s="237">
        <v>12500000</v>
      </c>
      <c r="Y521" s="295">
        <f t="shared" si="25"/>
        <v>0</v>
      </c>
      <c r="Z521" s="296">
        <f t="shared" si="26"/>
        <v>1</v>
      </c>
      <c r="AA521" s="85">
        <v>1098669877</v>
      </c>
      <c r="AB521" s="85" t="s">
        <v>8421</v>
      </c>
      <c r="AC521" s="290" t="s">
        <v>196</v>
      </c>
      <c r="AD521" s="290" t="s">
        <v>196</v>
      </c>
      <c r="AE521" s="236"/>
      <c r="AF521" s="85" t="s">
        <v>8422</v>
      </c>
      <c r="AG521" s="290" t="s">
        <v>192</v>
      </c>
      <c r="AH521" s="290" t="s">
        <v>192</v>
      </c>
    </row>
    <row r="522" spans="1:34" s="297" customFormat="1" ht="15" customHeight="1" x14ac:dyDescent="0.25">
      <c r="A522" s="289">
        <v>891780111</v>
      </c>
      <c r="B522" s="289" t="s">
        <v>54</v>
      </c>
      <c r="C522" s="290" t="s">
        <v>56</v>
      </c>
      <c r="D522" s="289" t="s">
        <v>60</v>
      </c>
      <c r="E522" s="290" t="s">
        <v>8423</v>
      </c>
      <c r="F522" s="289" t="s">
        <v>61</v>
      </c>
      <c r="G522" s="85" t="s">
        <v>63</v>
      </c>
      <c r="H522" s="85" t="s">
        <v>73</v>
      </c>
      <c r="I522" s="237">
        <v>8043000</v>
      </c>
      <c r="J522" s="290">
        <v>1</v>
      </c>
      <c r="K522" s="291">
        <v>570000</v>
      </c>
      <c r="L522" s="291"/>
      <c r="M522" s="292">
        <f t="shared" si="24"/>
        <v>8613000</v>
      </c>
      <c r="N522" s="85">
        <v>1083028723</v>
      </c>
      <c r="O522" s="85" t="s">
        <v>8424</v>
      </c>
      <c r="P522" s="85" t="s">
        <v>6617</v>
      </c>
      <c r="Q522" s="293">
        <v>44974</v>
      </c>
      <c r="R522" s="293">
        <v>44974</v>
      </c>
      <c r="S522" s="293">
        <v>45084</v>
      </c>
      <c r="T522" s="293"/>
      <c r="U522" s="293"/>
      <c r="V522" s="293"/>
      <c r="W522" s="294">
        <v>45093</v>
      </c>
      <c r="X522" s="237">
        <v>8613000</v>
      </c>
      <c r="Y522" s="295">
        <f t="shared" si="25"/>
        <v>0</v>
      </c>
      <c r="Z522" s="296">
        <f t="shared" si="26"/>
        <v>1</v>
      </c>
      <c r="AA522" s="85">
        <v>57444673</v>
      </c>
      <c r="AB522" s="85" t="s">
        <v>5370</v>
      </c>
      <c r="AC522" s="290" t="s">
        <v>196</v>
      </c>
      <c r="AD522" s="290" t="s">
        <v>196</v>
      </c>
      <c r="AE522" s="236"/>
      <c r="AF522" s="85" t="s">
        <v>8425</v>
      </c>
      <c r="AG522" s="290" t="s">
        <v>192</v>
      </c>
      <c r="AH522" s="290" t="s">
        <v>192</v>
      </c>
    </row>
    <row r="523" spans="1:34" s="297" customFormat="1" ht="15" customHeight="1" x14ac:dyDescent="0.25">
      <c r="A523" s="289">
        <v>891780111</v>
      </c>
      <c r="B523" s="289" t="s">
        <v>54</v>
      </c>
      <c r="C523" s="290" t="s">
        <v>56</v>
      </c>
      <c r="D523" s="289" t="s">
        <v>60</v>
      </c>
      <c r="E523" s="290" t="s">
        <v>8426</v>
      </c>
      <c r="F523" s="289" t="s">
        <v>61</v>
      </c>
      <c r="G523" s="85" t="s">
        <v>63</v>
      </c>
      <c r="H523" s="85" t="s">
        <v>73</v>
      </c>
      <c r="I523" s="237">
        <v>14393000</v>
      </c>
      <c r="J523" s="290">
        <v>1</v>
      </c>
      <c r="K523" s="291">
        <v>2607000</v>
      </c>
      <c r="L523" s="291"/>
      <c r="M523" s="292">
        <f t="shared" si="24"/>
        <v>17000000</v>
      </c>
      <c r="N523" s="85">
        <v>1082934147</v>
      </c>
      <c r="O523" s="85" t="s">
        <v>8427</v>
      </c>
      <c r="P523" s="85" t="s">
        <v>8428</v>
      </c>
      <c r="Q523" s="293">
        <v>44974</v>
      </c>
      <c r="R523" s="293">
        <v>44974</v>
      </c>
      <c r="S523" s="293">
        <v>45084</v>
      </c>
      <c r="T523" s="293"/>
      <c r="U523" s="293"/>
      <c r="V523" s="293"/>
      <c r="W523" s="294">
        <v>45107</v>
      </c>
      <c r="X523" s="237">
        <v>17000000</v>
      </c>
      <c r="Y523" s="295">
        <f t="shared" si="25"/>
        <v>0</v>
      </c>
      <c r="Z523" s="296">
        <f t="shared" si="26"/>
        <v>1</v>
      </c>
      <c r="AA523" s="85">
        <v>12560219</v>
      </c>
      <c r="AB523" s="85" t="s">
        <v>516</v>
      </c>
      <c r="AC523" s="290" t="s">
        <v>196</v>
      </c>
      <c r="AD523" s="290" t="s">
        <v>196</v>
      </c>
      <c r="AE523" s="236"/>
      <c r="AF523" s="85" t="s">
        <v>8429</v>
      </c>
      <c r="AG523" s="290" t="s">
        <v>192</v>
      </c>
      <c r="AH523" s="290" t="s">
        <v>192</v>
      </c>
    </row>
    <row r="524" spans="1:34" s="297" customFormat="1" ht="15" customHeight="1" x14ac:dyDescent="0.25">
      <c r="A524" s="289">
        <v>891780111</v>
      </c>
      <c r="B524" s="289" t="s">
        <v>54</v>
      </c>
      <c r="C524" s="290" t="s">
        <v>56</v>
      </c>
      <c r="D524" s="289" t="s">
        <v>60</v>
      </c>
      <c r="E524" s="290" t="s">
        <v>8430</v>
      </c>
      <c r="F524" s="289" t="s">
        <v>61</v>
      </c>
      <c r="G524" s="85" t="s">
        <v>63</v>
      </c>
      <c r="H524" s="85" t="s">
        <v>73</v>
      </c>
      <c r="I524" s="237">
        <v>10583000</v>
      </c>
      <c r="J524" s="290"/>
      <c r="K524" s="291"/>
      <c r="L524" s="291"/>
      <c r="M524" s="292">
        <f t="shared" si="24"/>
        <v>10583000</v>
      </c>
      <c r="N524" s="85">
        <v>49758019</v>
      </c>
      <c r="O524" s="85" t="s">
        <v>8431</v>
      </c>
      <c r="P524" s="85" t="s">
        <v>8432</v>
      </c>
      <c r="Q524" s="293">
        <v>44974</v>
      </c>
      <c r="R524" s="293">
        <v>44974</v>
      </c>
      <c r="S524" s="293">
        <v>45084</v>
      </c>
      <c r="T524" s="293"/>
      <c r="U524" s="293"/>
      <c r="V524" s="293"/>
      <c r="W524" s="294"/>
      <c r="X524" s="237">
        <v>10583000</v>
      </c>
      <c r="Y524" s="295">
        <f t="shared" si="25"/>
        <v>0</v>
      </c>
      <c r="Z524" s="296">
        <f t="shared" si="26"/>
        <v>1</v>
      </c>
      <c r="AA524" s="85">
        <v>57441846</v>
      </c>
      <c r="AB524" s="85" t="s">
        <v>6885</v>
      </c>
      <c r="AC524" s="290" t="s">
        <v>196</v>
      </c>
      <c r="AD524" s="290" t="s">
        <v>196</v>
      </c>
      <c r="AE524" s="236"/>
      <c r="AF524" s="85" t="s">
        <v>8433</v>
      </c>
      <c r="AG524" s="290" t="s">
        <v>192</v>
      </c>
      <c r="AH524" s="290" t="s">
        <v>192</v>
      </c>
    </row>
    <row r="525" spans="1:34" s="297" customFormat="1" ht="15" customHeight="1" x14ac:dyDescent="0.25">
      <c r="A525" s="289">
        <v>891780111</v>
      </c>
      <c r="B525" s="289" t="s">
        <v>54</v>
      </c>
      <c r="C525" s="290" t="s">
        <v>56</v>
      </c>
      <c r="D525" s="289" t="s">
        <v>60</v>
      </c>
      <c r="E525" s="290" t="s">
        <v>8434</v>
      </c>
      <c r="F525" s="289" t="s">
        <v>61</v>
      </c>
      <c r="G525" s="85" t="s">
        <v>63</v>
      </c>
      <c r="H525" s="85" t="s">
        <v>73</v>
      </c>
      <c r="I525" s="237">
        <v>9313000</v>
      </c>
      <c r="J525" s="290"/>
      <c r="K525" s="291"/>
      <c r="L525" s="291"/>
      <c r="M525" s="292">
        <f t="shared" si="24"/>
        <v>9313000</v>
      </c>
      <c r="N525" s="85">
        <v>36724297</v>
      </c>
      <c r="O525" s="85" t="s">
        <v>8435</v>
      </c>
      <c r="P525" s="85" t="s">
        <v>8436</v>
      </c>
      <c r="Q525" s="293">
        <v>44974</v>
      </c>
      <c r="R525" s="293">
        <v>44974</v>
      </c>
      <c r="S525" s="293">
        <v>45084</v>
      </c>
      <c r="T525" s="293"/>
      <c r="U525" s="293"/>
      <c r="V525" s="293"/>
      <c r="W525" s="294"/>
      <c r="X525" s="237">
        <v>9313000</v>
      </c>
      <c r="Y525" s="295">
        <f t="shared" si="25"/>
        <v>0</v>
      </c>
      <c r="Z525" s="296">
        <f t="shared" si="26"/>
        <v>1</v>
      </c>
      <c r="AA525" s="85">
        <v>57441846</v>
      </c>
      <c r="AB525" s="85" t="s">
        <v>6885</v>
      </c>
      <c r="AC525" s="290" t="s">
        <v>196</v>
      </c>
      <c r="AD525" s="290" t="s">
        <v>196</v>
      </c>
      <c r="AE525" s="236"/>
      <c r="AF525" s="85" t="s">
        <v>8437</v>
      </c>
      <c r="AG525" s="290" t="s">
        <v>192</v>
      </c>
      <c r="AH525" s="290" t="s">
        <v>192</v>
      </c>
    </row>
    <row r="526" spans="1:34" s="297" customFormat="1" ht="15" customHeight="1" x14ac:dyDescent="0.25">
      <c r="A526" s="289">
        <v>891780111</v>
      </c>
      <c r="B526" s="289" t="s">
        <v>54</v>
      </c>
      <c r="C526" s="290" t="s">
        <v>56</v>
      </c>
      <c r="D526" s="289" t="s">
        <v>60</v>
      </c>
      <c r="E526" s="290" t="s">
        <v>8438</v>
      </c>
      <c r="F526" s="289" t="s">
        <v>61</v>
      </c>
      <c r="G526" s="85" t="s">
        <v>63</v>
      </c>
      <c r="H526" s="85" t="s">
        <v>73</v>
      </c>
      <c r="I526" s="237">
        <v>9313000</v>
      </c>
      <c r="J526" s="290">
        <v>1</v>
      </c>
      <c r="K526" s="291">
        <v>1687000</v>
      </c>
      <c r="L526" s="291"/>
      <c r="M526" s="292">
        <f t="shared" si="24"/>
        <v>11000000</v>
      </c>
      <c r="N526" s="85">
        <v>1049615490</v>
      </c>
      <c r="O526" s="85" t="s">
        <v>8439</v>
      </c>
      <c r="P526" s="85" t="s">
        <v>8440</v>
      </c>
      <c r="Q526" s="293">
        <v>44974</v>
      </c>
      <c r="R526" s="293">
        <v>44974</v>
      </c>
      <c r="S526" s="293">
        <v>45084</v>
      </c>
      <c r="T526" s="293"/>
      <c r="U526" s="293"/>
      <c r="V526" s="293"/>
      <c r="W526" s="294">
        <v>45107</v>
      </c>
      <c r="X526" s="237">
        <v>11000000</v>
      </c>
      <c r="Y526" s="295">
        <f t="shared" si="25"/>
        <v>0</v>
      </c>
      <c r="Z526" s="296">
        <f t="shared" si="26"/>
        <v>1</v>
      </c>
      <c r="AA526" s="85">
        <v>30766322</v>
      </c>
      <c r="AB526" s="85" t="s">
        <v>7598</v>
      </c>
      <c r="AC526" s="290" t="s">
        <v>196</v>
      </c>
      <c r="AD526" s="290" t="s">
        <v>196</v>
      </c>
      <c r="AE526" s="236"/>
      <c r="AF526" s="85" t="s">
        <v>8441</v>
      </c>
      <c r="AG526" s="290" t="s">
        <v>192</v>
      </c>
      <c r="AH526" s="290" t="s">
        <v>192</v>
      </c>
    </row>
    <row r="527" spans="1:34" s="297" customFormat="1" ht="15" customHeight="1" x14ac:dyDescent="0.25">
      <c r="A527" s="289">
        <v>891780111</v>
      </c>
      <c r="B527" s="289" t="s">
        <v>54</v>
      </c>
      <c r="C527" s="290" t="s">
        <v>56</v>
      </c>
      <c r="D527" s="289" t="s">
        <v>60</v>
      </c>
      <c r="E527" s="290" t="s">
        <v>8442</v>
      </c>
      <c r="F527" s="289" t="s">
        <v>61</v>
      </c>
      <c r="G527" s="85" t="s">
        <v>63</v>
      </c>
      <c r="H527" s="85" t="s">
        <v>73</v>
      </c>
      <c r="I527" s="237">
        <v>9583000</v>
      </c>
      <c r="J527" s="290">
        <v>1</v>
      </c>
      <c r="K527" s="291">
        <v>1917000</v>
      </c>
      <c r="L527" s="291"/>
      <c r="M527" s="292">
        <f t="shared" si="24"/>
        <v>11500000</v>
      </c>
      <c r="N527" s="85">
        <v>1102880046</v>
      </c>
      <c r="O527" s="85" t="s">
        <v>8443</v>
      </c>
      <c r="P527" s="85" t="s">
        <v>8444</v>
      </c>
      <c r="Q527" s="293">
        <v>44974</v>
      </c>
      <c r="R527" s="293">
        <v>44974</v>
      </c>
      <c r="S527" s="293">
        <v>45084</v>
      </c>
      <c r="T527" s="293"/>
      <c r="U527" s="293"/>
      <c r="V527" s="293"/>
      <c r="W527" s="294">
        <v>45107</v>
      </c>
      <c r="X527" s="237">
        <v>11500000</v>
      </c>
      <c r="Y527" s="295">
        <f t="shared" si="25"/>
        <v>0</v>
      </c>
      <c r="Z527" s="296">
        <f t="shared" si="26"/>
        <v>1</v>
      </c>
      <c r="AA527" s="85">
        <v>21400608</v>
      </c>
      <c r="AB527" s="85" t="s">
        <v>8445</v>
      </c>
      <c r="AC527" s="290" t="s">
        <v>196</v>
      </c>
      <c r="AD527" s="290" t="s">
        <v>196</v>
      </c>
      <c r="AE527" s="236"/>
      <c r="AF527" s="85" t="s">
        <v>8446</v>
      </c>
      <c r="AG527" s="290" t="s">
        <v>192</v>
      </c>
      <c r="AH527" s="290" t="s">
        <v>192</v>
      </c>
    </row>
    <row r="528" spans="1:34" s="297" customFormat="1" ht="15" customHeight="1" x14ac:dyDescent="0.25">
      <c r="A528" s="289">
        <v>891780111</v>
      </c>
      <c r="B528" s="289" t="s">
        <v>54</v>
      </c>
      <c r="C528" s="290" t="s">
        <v>56</v>
      </c>
      <c r="D528" s="289" t="s">
        <v>60</v>
      </c>
      <c r="E528" s="290" t="s">
        <v>8447</v>
      </c>
      <c r="F528" s="289" t="s">
        <v>61</v>
      </c>
      <c r="G528" s="85" t="s">
        <v>63</v>
      </c>
      <c r="H528" s="85" t="s">
        <v>73</v>
      </c>
      <c r="I528" s="237">
        <v>10173000</v>
      </c>
      <c r="J528" s="290">
        <v>1</v>
      </c>
      <c r="K528" s="291">
        <v>2147000</v>
      </c>
      <c r="L528" s="291"/>
      <c r="M528" s="292">
        <f t="shared" si="24"/>
        <v>12320000</v>
      </c>
      <c r="N528" s="85">
        <v>1083025029</v>
      </c>
      <c r="O528" s="85" t="s">
        <v>8448</v>
      </c>
      <c r="P528" s="85" t="s">
        <v>8449</v>
      </c>
      <c r="Q528" s="293">
        <v>44974</v>
      </c>
      <c r="R528" s="293">
        <v>44978</v>
      </c>
      <c r="S528" s="293">
        <v>45084</v>
      </c>
      <c r="T528" s="293"/>
      <c r="U528" s="293"/>
      <c r="V528" s="293"/>
      <c r="W528" s="294">
        <v>45107</v>
      </c>
      <c r="X528" s="237">
        <v>12320000</v>
      </c>
      <c r="Y528" s="295">
        <f t="shared" si="25"/>
        <v>0</v>
      </c>
      <c r="Z528" s="296">
        <f t="shared" si="26"/>
        <v>1</v>
      </c>
      <c r="AA528" s="85">
        <v>21400608</v>
      </c>
      <c r="AB528" s="85" t="s">
        <v>8445</v>
      </c>
      <c r="AC528" s="290" t="s">
        <v>196</v>
      </c>
      <c r="AD528" s="290" t="s">
        <v>196</v>
      </c>
      <c r="AE528" s="236"/>
      <c r="AF528" s="85" t="s">
        <v>8450</v>
      </c>
      <c r="AG528" s="290" t="s">
        <v>192</v>
      </c>
      <c r="AH528" s="290" t="s">
        <v>192</v>
      </c>
    </row>
    <row r="529" spans="1:34" s="297" customFormat="1" ht="15" customHeight="1" x14ac:dyDescent="0.25">
      <c r="A529" s="289">
        <v>891780111</v>
      </c>
      <c r="B529" s="289" t="s">
        <v>54</v>
      </c>
      <c r="C529" s="290" t="s">
        <v>56</v>
      </c>
      <c r="D529" s="289" t="s">
        <v>60</v>
      </c>
      <c r="E529" s="290" t="s">
        <v>8451</v>
      </c>
      <c r="F529" s="289" t="s">
        <v>61</v>
      </c>
      <c r="G529" s="85" t="s">
        <v>63</v>
      </c>
      <c r="H529" s="85" t="s">
        <v>73</v>
      </c>
      <c r="I529" s="237">
        <v>11677000</v>
      </c>
      <c r="J529" s="290">
        <v>1</v>
      </c>
      <c r="K529" s="291">
        <v>2376000</v>
      </c>
      <c r="L529" s="291"/>
      <c r="M529" s="292">
        <f t="shared" si="24"/>
        <v>14053000</v>
      </c>
      <c r="N529" s="85">
        <v>1066000092</v>
      </c>
      <c r="O529" s="85" t="s">
        <v>8452</v>
      </c>
      <c r="P529" s="85" t="s">
        <v>8453</v>
      </c>
      <c r="Q529" s="293">
        <v>44974</v>
      </c>
      <c r="R529" s="293">
        <v>44974</v>
      </c>
      <c r="S529" s="293">
        <v>45084</v>
      </c>
      <c r="T529" s="293"/>
      <c r="U529" s="293"/>
      <c r="V529" s="293"/>
      <c r="W529" s="294">
        <v>45107</v>
      </c>
      <c r="X529" s="237">
        <v>14053000</v>
      </c>
      <c r="Y529" s="295">
        <f t="shared" si="25"/>
        <v>0</v>
      </c>
      <c r="Z529" s="296">
        <f t="shared" si="26"/>
        <v>1</v>
      </c>
      <c r="AA529" s="85">
        <v>21400608</v>
      </c>
      <c r="AB529" s="85" t="s">
        <v>8445</v>
      </c>
      <c r="AC529" s="290" t="s">
        <v>196</v>
      </c>
      <c r="AD529" s="290" t="s">
        <v>196</v>
      </c>
      <c r="AE529" s="236"/>
      <c r="AF529" s="85" t="s">
        <v>8454</v>
      </c>
      <c r="AG529" s="290" t="s">
        <v>192</v>
      </c>
      <c r="AH529" s="290" t="s">
        <v>192</v>
      </c>
    </row>
    <row r="530" spans="1:34" s="297" customFormat="1" ht="15" customHeight="1" x14ac:dyDescent="0.25">
      <c r="A530" s="289">
        <v>891780111</v>
      </c>
      <c r="B530" s="289" t="s">
        <v>54</v>
      </c>
      <c r="C530" s="290" t="s">
        <v>56</v>
      </c>
      <c r="D530" s="289" t="s">
        <v>60</v>
      </c>
      <c r="E530" s="290" t="s">
        <v>8455</v>
      </c>
      <c r="F530" s="289" t="s">
        <v>61</v>
      </c>
      <c r="G530" s="85" t="s">
        <v>63</v>
      </c>
      <c r="H530" s="85" t="s">
        <v>73</v>
      </c>
      <c r="I530" s="237">
        <v>11057000</v>
      </c>
      <c r="J530" s="290">
        <v>1</v>
      </c>
      <c r="K530" s="291">
        <v>930000</v>
      </c>
      <c r="L530" s="291"/>
      <c r="M530" s="292">
        <f t="shared" si="24"/>
        <v>11987000</v>
      </c>
      <c r="N530" s="85">
        <v>12563787</v>
      </c>
      <c r="O530" s="85" t="s">
        <v>8456</v>
      </c>
      <c r="P530" s="85" t="s">
        <v>8457</v>
      </c>
      <c r="Q530" s="293">
        <v>44974</v>
      </c>
      <c r="R530" s="293">
        <v>44978</v>
      </c>
      <c r="S530" s="293">
        <v>45084</v>
      </c>
      <c r="T530" s="293"/>
      <c r="U530" s="293"/>
      <c r="V530" s="293"/>
      <c r="W530" s="294">
        <v>45093</v>
      </c>
      <c r="X530" s="237">
        <v>11987000</v>
      </c>
      <c r="Y530" s="295">
        <f t="shared" si="25"/>
        <v>0</v>
      </c>
      <c r="Z530" s="296">
        <f t="shared" si="26"/>
        <v>1</v>
      </c>
      <c r="AA530" s="85">
        <v>39058006</v>
      </c>
      <c r="AB530" s="85" t="s">
        <v>6699</v>
      </c>
      <c r="AC530" s="290" t="s">
        <v>196</v>
      </c>
      <c r="AD530" s="290" t="s">
        <v>196</v>
      </c>
      <c r="AE530" s="236"/>
      <c r="AF530" s="85" t="s">
        <v>8458</v>
      </c>
      <c r="AG530" s="290" t="s">
        <v>192</v>
      </c>
      <c r="AH530" s="290" t="s">
        <v>192</v>
      </c>
    </row>
    <row r="531" spans="1:34" s="297" customFormat="1" ht="15" customHeight="1" x14ac:dyDescent="0.25">
      <c r="A531" s="289">
        <v>891780111</v>
      </c>
      <c r="B531" s="289" t="s">
        <v>54</v>
      </c>
      <c r="C531" s="290" t="s">
        <v>56</v>
      </c>
      <c r="D531" s="289" t="s">
        <v>60</v>
      </c>
      <c r="E531" s="290" t="s">
        <v>8459</v>
      </c>
      <c r="F531" s="289" t="s">
        <v>61</v>
      </c>
      <c r="G531" s="85" t="s">
        <v>63</v>
      </c>
      <c r="H531" s="85" t="s">
        <v>73</v>
      </c>
      <c r="I531" s="237">
        <v>8043000</v>
      </c>
      <c r="J531" s="290"/>
      <c r="K531" s="291"/>
      <c r="L531" s="291"/>
      <c r="M531" s="292">
        <f t="shared" si="24"/>
        <v>8043000</v>
      </c>
      <c r="N531" s="85">
        <v>1083026785</v>
      </c>
      <c r="O531" s="85" t="s">
        <v>8460</v>
      </c>
      <c r="P531" s="85" t="s">
        <v>8461</v>
      </c>
      <c r="Q531" s="293">
        <v>44974</v>
      </c>
      <c r="R531" s="293">
        <v>44974</v>
      </c>
      <c r="S531" s="293">
        <v>45084</v>
      </c>
      <c r="T531" s="293"/>
      <c r="U531" s="293"/>
      <c r="V531" s="293"/>
      <c r="W531" s="294"/>
      <c r="X531" s="237">
        <v>5700000</v>
      </c>
      <c r="Y531" s="295">
        <f t="shared" si="25"/>
        <v>2343000</v>
      </c>
      <c r="Z531" s="296">
        <f t="shared" si="26"/>
        <v>0.70869078701976873</v>
      </c>
      <c r="AA531" s="85">
        <v>41947381</v>
      </c>
      <c r="AB531" s="85" t="s">
        <v>6440</v>
      </c>
      <c r="AC531" s="290" t="s">
        <v>196</v>
      </c>
      <c r="AD531" s="290" t="s">
        <v>196</v>
      </c>
      <c r="AE531" s="236"/>
      <c r="AF531" s="85" t="s">
        <v>8462</v>
      </c>
      <c r="AG531" s="290" t="s">
        <v>192</v>
      </c>
      <c r="AH531" s="290" t="s">
        <v>192</v>
      </c>
    </row>
    <row r="532" spans="1:34" s="297" customFormat="1" ht="15" customHeight="1" x14ac:dyDescent="0.25">
      <c r="A532" s="289">
        <v>891780111</v>
      </c>
      <c r="B532" s="289" t="s">
        <v>54</v>
      </c>
      <c r="C532" s="290" t="s">
        <v>56</v>
      </c>
      <c r="D532" s="289" t="s">
        <v>60</v>
      </c>
      <c r="E532" s="290" t="s">
        <v>8463</v>
      </c>
      <c r="F532" s="289" t="s">
        <v>61</v>
      </c>
      <c r="G532" s="85" t="s">
        <v>63</v>
      </c>
      <c r="H532" s="85" t="s">
        <v>73</v>
      </c>
      <c r="I532" s="237">
        <v>25823000</v>
      </c>
      <c r="J532" s="290">
        <v>1</v>
      </c>
      <c r="K532" s="291">
        <v>4677000</v>
      </c>
      <c r="L532" s="291"/>
      <c r="M532" s="292">
        <f t="shared" si="24"/>
        <v>30500000</v>
      </c>
      <c r="N532" s="85">
        <v>85450384</v>
      </c>
      <c r="O532" s="85" t="s">
        <v>8464</v>
      </c>
      <c r="P532" s="85" t="s">
        <v>8465</v>
      </c>
      <c r="Q532" s="293">
        <v>44974</v>
      </c>
      <c r="R532" s="293">
        <v>44974</v>
      </c>
      <c r="S532" s="293">
        <v>45084</v>
      </c>
      <c r="T532" s="293"/>
      <c r="U532" s="293"/>
      <c r="V532" s="293"/>
      <c r="W532" s="294">
        <v>45107</v>
      </c>
      <c r="X532" s="237">
        <v>30500000</v>
      </c>
      <c r="Y532" s="295">
        <f t="shared" si="25"/>
        <v>0</v>
      </c>
      <c r="Z532" s="296">
        <f t="shared" si="26"/>
        <v>1</v>
      </c>
      <c r="AA532" s="85">
        <v>85455983</v>
      </c>
      <c r="AB532" s="85" t="s">
        <v>6413</v>
      </c>
      <c r="AC532" s="290" t="s">
        <v>196</v>
      </c>
      <c r="AD532" s="290" t="s">
        <v>196</v>
      </c>
      <c r="AE532" s="236"/>
      <c r="AF532" s="85" t="s">
        <v>8466</v>
      </c>
      <c r="AG532" s="290" t="s">
        <v>192</v>
      </c>
      <c r="AH532" s="290" t="s">
        <v>192</v>
      </c>
    </row>
    <row r="533" spans="1:34" s="297" customFormat="1" ht="15" customHeight="1" x14ac:dyDescent="0.25">
      <c r="A533" s="289">
        <v>891780111</v>
      </c>
      <c r="B533" s="289" t="s">
        <v>54</v>
      </c>
      <c r="C533" s="290" t="s">
        <v>57</v>
      </c>
      <c r="D533" s="289" t="s">
        <v>60</v>
      </c>
      <c r="E533" s="290" t="s">
        <v>8467</v>
      </c>
      <c r="F533" s="289" t="s">
        <v>61</v>
      </c>
      <c r="G533" s="85" t="s">
        <v>63</v>
      </c>
      <c r="H533" s="85" t="s">
        <v>73</v>
      </c>
      <c r="I533" s="237">
        <v>7920000</v>
      </c>
      <c r="J533" s="290"/>
      <c r="K533" s="291"/>
      <c r="L533" s="291"/>
      <c r="M533" s="292">
        <f t="shared" si="24"/>
        <v>7920000</v>
      </c>
      <c r="N533" s="85">
        <v>1082942857</v>
      </c>
      <c r="O533" s="85" t="s">
        <v>8468</v>
      </c>
      <c r="P533" s="85" t="s">
        <v>8469</v>
      </c>
      <c r="Q533" s="293">
        <v>44974</v>
      </c>
      <c r="R533" s="293">
        <v>44974</v>
      </c>
      <c r="S533" s="293">
        <v>45077</v>
      </c>
      <c r="T533" s="293"/>
      <c r="U533" s="293"/>
      <c r="V533" s="293"/>
      <c r="W533" s="294"/>
      <c r="X533" s="237">
        <v>7920000</v>
      </c>
      <c r="Y533" s="295">
        <f t="shared" si="25"/>
        <v>0</v>
      </c>
      <c r="Z533" s="296">
        <f t="shared" si="26"/>
        <v>1</v>
      </c>
      <c r="AA533" s="85">
        <v>1082868728</v>
      </c>
      <c r="AB533" s="85" t="s">
        <v>6010</v>
      </c>
      <c r="AC533" s="290" t="s">
        <v>196</v>
      </c>
      <c r="AD533" s="290" t="s">
        <v>196</v>
      </c>
      <c r="AE533" s="236"/>
      <c r="AF533" s="85" t="s">
        <v>8470</v>
      </c>
      <c r="AG533" s="290" t="s">
        <v>192</v>
      </c>
      <c r="AH533" s="290" t="s">
        <v>192</v>
      </c>
    </row>
    <row r="534" spans="1:34" s="297" customFormat="1" ht="15" customHeight="1" x14ac:dyDescent="0.25">
      <c r="A534" s="289">
        <v>891780111</v>
      </c>
      <c r="B534" s="289" t="s">
        <v>54</v>
      </c>
      <c r="C534" s="290" t="s">
        <v>57</v>
      </c>
      <c r="D534" s="289" t="s">
        <v>60</v>
      </c>
      <c r="E534" s="290" t="s">
        <v>8471</v>
      </c>
      <c r="F534" s="289" t="s">
        <v>61</v>
      </c>
      <c r="G534" s="85" t="s">
        <v>63</v>
      </c>
      <c r="H534" s="85" t="s">
        <v>73</v>
      </c>
      <c r="I534" s="237">
        <v>7200000</v>
      </c>
      <c r="J534" s="290">
        <v>1</v>
      </c>
      <c r="K534" s="291">
        <v>2000000</v>
      </c>
      <c r="L534" s="291"/>
      <c r="M534" s="292">
        <f t="shared" si="24"/>
        <v>9200000</v>
      </c>
      <c r="N534" s="85">
        <v>1003241055</v>
      </c>
      <c r="O534" s="85" t="s">
        <v>8472</v>
      </c>
      <c r="P534" s="85" t="s">
        <v>8473</v>
      </c>
      <c r="Q534" s="293">
        <v>44974</v>
      </c>
      <c r="R534" s="293">
        <v>44974</v>
      </c>
      <c r="S534" s="293">
        <v>45077</v>
      </c>
      <c r="T534" s="293"/>
      <c r="U534" s="293"/>
      <c r="V534" s="293"/>
      <c r="W534" s="294">
        <v>45107</v>
      </c>
      <c r="X534" s="237">
        <v>9200000</v>
      </c>
      <c r="Y534" s="295">
        <f t="shared" si="25"/>
        <v>0</v>
      </c>
      <c r="Z534" s="296">
        <f t="shared" si="26"/>
        <v>1</v>
      </c>
      <c r="AA534" s="85">
        <v>1082868728</v>
      </c>
      <c r="AB534" s="85" t="s">
        <v>6010</v>
      </c>
      <c r="AC534" s="290" t="s">
        <v>196</v>
      </c>
      <c r="AD534" s="290" t="s">
        <v>196</v>
      </c>
      <c r="AE534" s="236"/>
      <c r="AF534" s="85" t="s">
        <v>8474</v>
      </c>
      <c r="AG534" s="290" t="s">
        <v>192</v>
      </c>
      <c r="AH534" s="290" t="s">
        <v>192</v>
      </c>
    </row>
    <row r="535" spans="1:34" s="297" customFormat="1" ht="15" customHeight="1" x14ac:dyDescent="0.25">
      <c r="A535" s="289">
        <v>891780111</v>
      </c>
      <c r="B535" s="289" t="s">
        <v>54</v>
      </c>
      <c r="C535" s="290" t="s">
        <v>56</v>
      </c>
      <c r="D535" s="289" t="s">
        <v>60</v>
      </c>
      <c r="E535" s="290" t="s">
        <v>8475</v>
      </c>
      <c r="F535" s="289" t="s">
        <v>61</v>
      </c>
      <c r="G535" s="85" t="s">
        <v>63</v>
      </c>
      <c r="H535" s="85" t="s">
        <v>73</v>
      </c>
      <c r="I535" s="237">
        <v>12277000</v>
      </c>
      <c r="J535" s="290">
        <v>1</v>
      </c>
      <c r="K535" s="291">
        <v>2223000</v>
      </c>
      <c r="L535" s="291"/>
      <c r="M535" s="292">
        <f t="shared" si="24"/>
        <v>14500000</v>
      </c>
      <c r="N535" s="85">
        <v>1082954069</v>
      </c>
      <c r="O535" s="85" t="s">
        <v>8476</v>
      </c>
      <c r="P535" s="85" t="s">
        <v>8477</v>
      </c>
      <c r="Q535" s="293">
        <v>44978</v>
      </c>
      <c r="R535" s="293">
        <v>44978</v>
      </c>
      <c r="S535" s="293">
        <v>45084</v>
      </c>
      <c r="T535" s="293"/>
      <c r="U535" s="293"/>
      <c r="V535" s="293"/>
      <c r="W535" s="294">
        <v>45107</v>
      </c>
      <c r="X535" s="237">
        <v>14500000</v>
      </c>
      <c r="Y535" s="295">
        <f t="shared" si="25"/>
        <v>0</v>
      </c>
      <c r="Z535" s="296">
        <f t="shared" si="26"/>
        <v>1</v>
      </c>
      <c r="AA535" s="85">
        <v>72175281</v>
      </c>
      <c r="AB535" s="85" t="s">
        <v>6507</v>
      </c>
      <c r="AC535" s="290" t="s">
        <v>196</v>
      </c>
      <c r="AD535" s="290" t="s">
        <v>196</v>
      </c>
      <c r="AE535" s="236"/>
      <c r="AF535" s="85" t="s">
        <v>8478</v>
      </c>
      <c r="AG535" s="290" t="s">
        <v>192</v>
      </c>
      <c r="AH535" s="290" t="s">
        <v>192</v>
      </c>
    </row>
    <row r="536" spans="1:34" s="297" customFormat="1" ht="15" customHeight="1" x14ac:dyDescent="0.25">
      <c r="A536" s="289">
        <v>891780111</v>
      </c>
      <c r="B536" s="289" t="s">
        <v>54</v>
      </c>
      <c r="C536" s="290" t="s">
        <v>56</v>
      </c>
      <c r="D536" s="289" t="s">
        <v>60</v>
      </c>
      <c r="E536" s="290" t="s">
        <v>8479</v>
      </c>
      <c r="F536" s="289" t="s">
        <v>61</v>
      </c>
      <c r="G536" s="85" t="s">
        <v>63</v>
      </c>
      <c r="H536" s="85" t="s">
        <v>73</v>
      </c>
      <c r="I536" s="237">
        <v>9500000</v>
      </c>
      <c r="J536" s="290">
        <v>1</v>
      </c>
      <c r="K536" s="291">
        <v>1917000</v>
      </c>
      <c r="L536" s="291"/>
      <c r="M536" s="292">
        <f t="shared" si="24"/>
        <v>11417000</v>
      </c>
      <c r="N536" s="85">
        <v>36719605</v>
      </c>
      <c r="O536" s="85" t="s">
        <v>8480</v>
      </c>
      <c r="P536" s="85" t="s">
        <v>8481</v>
      </c>
      <c r="Q536" s="293">
        <v>44978</v>
      </c>
      <c r="R536" s="293">
        <v>44978</v>
      </c>
      <c r="S536" s="293">
        <v>45084</v>
      </c>
      <c r="T536" s="293"/>
      <c r="U536" s="293"/>
      <c r="V536" s="293"/>
      <c r="W536" s="294">
        <v>45107</v>
      </c>
      <c r="X536" s="237">
        <v>11417000</v>
      </c>
      <c r="Y536" s="295">
        <f t="shared" si="25"/>
        <v>0</v>
      </c>
      <c r="Z536" s="296">
        <f t="shared" si="26"/>
        <v>1</v>
      </c>
      <c r="AA536" s="85">
        <v>93400727</v>
      </c>
      <c r="AB536" s="85" t="s">
        <v>6418</v>
      </c>
      <c r="AC536" s="290" t="s">
        <v>196</v>
      </c>
      <c r="AD536" s="290" t="s">
        <v>196</v>
      </c>
      <c r="AE536" s="236"/>
      <c r="AF536" s="85" t="s">
        <v>8482</v>
      </c>
      <c r="AG536" s="290" t="s">
        <v>192</v>
      </c>
      <c r="AH536" s="290" t="s">
        <v>192</v>
      </c>
    </row>
    <row r="537" spans="1:34" s="297" customFormat="1" ht="15" customHeight="1" x14ac:dyDescent="0.25">
      <c r="A537" s="289">
        <v>891780111</v>
      </c>
      <c r="B537" s="289" t="s">
        <v>54</v>
      </c>
      <c r="C537" s="290" t="s">
        <v>56</v>
      </c>
      <c r="D537" s="289" t="s">
        <v>60</v>
      </c>
      <c r="E537" s="290" t="s">
        <v>8483</v>
      </c>
      <c r="F537" s="289" t="s">
        <v>61</v>
      </c>
      <c r="G537" s="85" t="s">
        <v>63</v>
      </c>
      <c r="H537" s="85" t="s">
        <v>73</v>
      </c>
      <c r="I537" s="237">
        <v>8043000</v>
      </c>
      <c r="J537" s="290"/>
      <c r="K537" s="291"/>
      <c r="L537" s="291"/>
      <c r="M537" s="292">
        <f t="shared" si="24"/>
        <v>8043000</v>
      </c>
      <c r="N537" s="85">
        <v>1084731269</v>
      </c>
      <c r="O537" s="85" t="s">
        <v>8484</v>
      </c>
      <c r="P537" s="85" t="s">
        <v>8485</v>
      </c>
      <c r="Q537" s="293">
        <v>44978</v>
      </c>
      <c r="R537" s="293">
        <v>44978</v>
      </c>
      <c r="S537" s="293">
        <v>45084</v>
      </c>
      <c r="T537" s="293"/>
      <c r="U537" s="293"/>
      <c r="V537" s="293"/>
      <c r="W537" s="294"/>
      <c r="X537" s="237">
        <v>8043000</v>
      </c>
      <c r="Y537" s="295">
        <f t="shared" si="25"/>
        <v>0</v>
      </c>
      <c r="Z537" s="296">
        <f t="shared" si="26"/>
        <v>1</v>
      </c>
      <c r="AA537" s="85">
        <v>57297693</v>
      </c>
      <c r="AB537" s="85" t="s">
        <v>5446</v>
      </c>
      <c r="AC537" s="290" t="s">
        <v>196</v>
      </c>
      <c r="AD537" s="290" t="s">
        <v>196</v>
      </c>
      <c r="AE537" s="236"/>
      <c r="AF537" s="85" t="s">
        <v>8486</v>
      </c>
      <c r="AG537" s="290" t="s">
        <v>192</v>
      </c>
      <c r="AH537" s="290" t="s">
        <v>192</v>
      </c>
    </row>
    <row r="538" spans="1:34" s="297" customFormat="1" ht="15" customHeight="1" x14ac:dyDescent="0.25">
      <c r="A538" s="289">
        <v>891780111</v>
      </c>
      <c r="B538" s="289" t="s">
        <v>54</v>
      </c>
      <c r="C538" s="290" t="s">
        <v>56</v>
      </c>
      <c r="D538" s="289" t="s">
        <v>60</v>
      </c>
      <c r="E538" s="290" t="s">
        <v>8487</v>
      </c>
      <c r="F538" s="289" t="s">
        <v>61</v>
      </c>
      <c r="G538" s="85" t="s">
        <v>63</v>
      </c>
      <c r="H538" s="85" t="s">
        <v>73</v>
      </c>
      <c r="I538" s="237">
        <v>15767000</v>
      </c>
      <c r="J538" s="290">
        <v>1</v>
      </c>
      <c r="K538" s="291">
        <v>3296000</v>
      </c>
      <c r="L538" s="291"/>
      <c r="M538" s="292">
        <f t="shared" si="24"/>
        <v>19063000</v>
      </c>
      <c r="N538" s="85">
        <v>1004188433</v>
      </c>
      <c r="O538" s="85" t="s">
        <v>6556</v>
      </c>
      <c r="P538" s="85" t="s">
        <v>8488</v>
      </c>
      <c r="Q538" s="293">
        <v>44978</v>
      </c>
      <c r="R538" s="293">
        <v>44978</v>
      </c>
      <c r="S538" s="293">
        <v>45084</v>
      </c>
      <c r="T538" s="293"/>
      <c r="U538" s="293"/>
      <c r="V538" s="293"/>
      <c r="W538" s="294">
        <v>45107</v>
      </c>
      <c r="X538" s="237">
        <v>19063000</v>
      </c>
      <c r="Y538" s="295">
        <f t="shared" si="25"/>
        <v>0</v>
      </c>
      <c r="Z538" s="296">
        <f t="shared" si="26"/>
        <v>1</v>
      </c>
      <c r="AA538" s="85">
        <v>85471791</v>
      </c>
      <c r="AB538" s="85" t="s">
        <v>7172</v>
      </c>
      <c r="AC538" s="290" t="s">
        <v>196</v>
      </c>
      <c r="AD538" s="290" t="s">
        <v>196</v>
      </c>
      <c r="AE538" s="236"/>
      <c r="AF538" s="85" t="s">
        <v>8489</v>
      </c>
      <c r="AG538" s="290" t="s">
        <v>192</v>
      </c>
      <c r="AH538" s="290" t="s">
        <v>192</v>
      </c>
    </row>
    <row r="539" spans="1:34" s="297" customFormat="1" ht="15" customHeight="1" x14ac:dyDescent="0.25">
      <c r="A539" s="289">
        <v>891780111</v>
      </c>
      <c r="B539" s="289" t="s">
        <v>54</v>
      </c>
      <c r="C539" s="290" t="s">
        <v>57</v>
      </c>
      <c r="D539" s="289" t="s">
        <v>60</v>
      </c>
      <c r="E539" s="290" t="s">
        <v>8490</v>
      </c>
      <c r="F539" s="289" t="s">
        <v>61</v>
      </c>
      <c r="G539" s="85" t="s">
        <v>63</v>
      </c>
      <c r="H539" s="85" t="s">
        <v>73</v>
      </c>
      <c r="I539" s="237">
        <v>7920000</v>
      </c>
      <c r="J539" s="290"/>
      <c r="K539" s="291"/>
      <c r="L539" s="291"/>
      <c r="M539" s="292">
        <f t="shared" si="24"/>
        <v>7920000</v>
      </c>
      <c r="N539" s="85">
        <v>1082838879</v>
      </c>
      <c r="O539" s="85" t="s">
        <v>8491</v>
      </c>
      <c r="P539" s="85" t="s">
        <v>8492</v>
      </c>
      <c r="Q539" s="293">
        <v>44981</v>
      </c>
      <c r="R539" s="293">
        <v>44981</v>
      </c>
      <c r="S539" s="293">
        <v>45077</v>
      </c>
      <c r="T539" s="293"/>
      <c r="U539" s="293"/>
      <c r="V539" s="293"/>
      <c r="W539" s="294"/>
      <c r="X539" s="237">
        <v>7920000</v>
      </c>
      <c r="Y539" s="295">
        <f t="shared" si="25"/>
        <v>0</v>
      </c>
      <c r="Z539" s="296">
        <f t="shared" si="26"/>
        <v>1</v>
      </c>
      <c r="AA539" s="85">
        <v>1082868728</v>
      </c>
      <c r="AB539" s="85" t="s">
        <v>6010</v>
      </c>
      <c r="AC539" s="290" t="s">
        <v>196</v>
      </c>
      <c r="AD539" s="290" t="s">
        <v>196</v>
      </c>
      <c r="AE539" s="236"/>
      <c r="AF539" s="85" t="s">
        <v>8493</v>
      </c>
      <c r="AG539" s="290" t="s">
        <v>192</v>
      </c>
      <c r="AH539" s="290" t="s">
        <v>192</v>
      </c>
    </row>
    <row r="540" spans="1:34" s="297" customFormat="1" ht="15" customHeight="1" x14ac:dyDescent="0.25">
      <c r="A540" s="289">
        <v>891780111</v>
      </c>
      <c r="B540" s="289" t="s">
        <v>54</v>
      </c>
      <c r="C540" s="290" t="s">
        <v>59</v>
      </c>
      <c r="D540" s="289" t="s">
        <v>60</v>
      </c>
      <c r="E540" s="290" t="s">
        <v>8494</v>
      </c>
      <c r="F540" s="289" t="s">
        <v>61</v>
      </c>
      <c r="G540" s="85" t="s">
        <v>63</v>
      </c>
      <c r="H540" s="85" t="s">
        <v>73</v>
      </c>
      <c r="I540" s="237">
        <v>17050000</v>
      </c>
      <c r="J540" s="290"/>
      <c r="K540" s="291"/>
      <c r="L540" s="291"/>
      <c r="M540" s="292">
        <f t="shared" si="24"/>
        <v>17050000</v>
      </c>
      <c r="N540" s="85">
        <v>57440427</v>
      </c>
      <c r="O540" s="85" t="s">
        <v>8495</v>
      </c>
      <c r="P540" s="85" t="s">
        <v>8496</v>
      </c>
      <c r="Q540" s="293">
        <v>44981</v>
      </c>
      <c r="R540" s="293">
        <v>44981</v>
      </c>
      <c r="S540" s="293">
        <v>45138</v>
      </c>
      <c r="T540" s="293"/>
      <c r="U540" s="293"/>
      <c r="V540" s="293"/>
      <c r="W540" s="294"/>
      <c r="X540" s="237">
        <v>13950000</v>
      </c>
      <c r="Y540" s="295">
        <f t="shared" si="25"/>
        <v>3100000</v>
      </c>
      <c r="Z540" s="296">
        <f t="shared" si="26"/>
        <v>0.81818181818181823</v>
      </c>
      <c r="AA540" s="85">
        <v>85471791</v>
      </c>
      <c r="AB540" s="85" t="s">
        <v>7172</v>
      </c>
      <c r="AC540" s="290" t="s">
        <v>196</v>
      </c>
      <c r="AD540" s="290" t="s">
        <v>196</v>
      </c>
      <c r="AE540" s="236"/>
      <c r="AF540" s="85" t="s">
        <v>8497</v>
      </c>
      <c r="AG540" s="290" t="s">
        <v>192</v>
      </c>
      <c r="AH540" s="290" t="s">
        <v>192</v>
      </c>
    </row>
    <row r="541" spans="1:34" s="297" customFormat="1" ht="15" customHeight="1" x14ac:dyDescent="0.25">
      <c r="A541" s="289">
        <v>891780111</v>
      </c>
      <c r="B541" s="289" t="s">
        <v>54</v>
      </c>
      <c r="C541" s="290" t="s">
        <v>57</v>
      </c>
      <c r="D541" s="289" t="s">
        <v>60</v>
      </c>
      <c r="E541" s="290" t="s">
        <v>8498</v>
      </c>
      <c r="F541" s="289" t="s">
        <v>61</v>
      </c>
      <c r="G541" s="85" t="s">
        <v>63</v>
      </c>
      <c r="H541" s="85" t="s">
        <v>73</v>
      </c>
      <c r="I541" s="237">
        <v>13123000</v>
      </c>
      <c r="J541" s="290">
        <v>1</v>
      </c>
      <c r="K541" s="291">
        <f>VLOOKUP(E541,[8]NOVEDADES!F$20:K$32,6,0)</f>
        <v>395890</v>
      </c>
      <c r="L541" s="291"/>
      <c r="M541" s="292">
        <f t="shared" si="24"/>
        <v>13518890</v>
      </c>
      <c r="N541" s="85">
        <v>1082985398</v>
      </c>
      <c r="O541" s="85" t="s">
        <v>8499</v>
      </c>
      <c r="P541" s="85" t="s">
        <v>8500</v>
      </c>
      <c r="Q541" s="293">
        <v>44986</v>
      </c>
      <c r="R541" s="293">
        <v>44986</v>
      </c>
      <c r="S541" s="293">
        <v>45084</v>
      </c>
      <c r="T541" s="293"/>
      <c r="U541" s="293"/>
      <c r="V541" s="293"/>
      <c r="W541" s="294"/>
      <c r="X541" s="237">
        <v>9627110</v>
      </c>
      <c r="Y541" s="295">
        <f t="shared" si="25"/>
        <v>3891780</v>
      </c>
      <c r="Z541" s="296">
        <f t="shared" si="26"/>
        <v>0.71212281481689699</v>
      </c>
      <c r="AA541" s="85">
        <v>72175281</v>
      </c>
      <c r="AB541" s="85" t="s">
        <v>6507</v>
      </c>
      <c r="AC541" s="290" t="s">
        <v>196</v>
      </c>
      <c r="AD541" s="290" t="s">
        <v>196</v>
      </c>
      <c r="AE541" s="236"/>
      <c r="AF541" s="85" t="s">
        <v>8501</v>
      </c>
      <c r="AG541" s="290" t="s">
        <v>192</v>
      </c>
      <c r="AH541" s="290" t="s">
        <v>192</v>
      </c>
    </row>
    <row r="542" spans="1:34" s="297" customFormat="1" ht="15" customHeight="1" x14ac:dyDescent="0.25">
      <c r="A542" s="289">
        <v>891780111</v>
      </c>
      <c r="B542" s="289" t="s">
        <v>54</v>
      </c>
      <c r="C542" s="290" t="s">
        <v>57</v>
      </c>
      <c r="D542" s="289" t="s">
        <v>60</v>
      </c>
      <c r="E542" s="290" t="s">
        <v>8502</v>
      </c>
      <c r="F542" s="289" t="s">
        <v>61</v>
      </c>
      <c r="G542" s="85" t="s">
        <v>63</v>
      </c>
      <c r="H542" s="85" t="s">
        <v>73</v>
      </c>
      <c r="I542" s="237">
        <v>10583000</v>
      </c>
      <c r="J542" s="290">
        <v>1</v>
      </c>
      <c r="K542" s="291">
        <f>VLOOKUP(E542,[8]NOVEDADES!F$20:K$32,6,0)</f>
        <v>370370</v>
      </c>
      <c r="L542" s="291"/>
      <c r="M542" s="292">
        <f t="shared" si="24"/>
        <v>10953370</v>
      </c>
      <c r="N542" s="85">
        <v>1140858868</v>
      </c>
      <c r="O542" s="85" t="s">
        <v>8503</v>
      </c>
      <c r="P542" s="85" t="s">
        <v>8504</v>
      </c>
      <c r="Q542" s="293">
        <v>44986</v>
      </c>
      <c r="R542" s="293">
        <v>44986</v>
      </c>
      <c r="S542" s="293">
        <v>45084</v>
      </c>
      <c r="T542" s="293"/>
      <c r="U542" s="293"/>
      <c r="V542" s="293"/>
      <c r="W542" s="294"/>
      <c r="X542" s="237">
        <v>7712630</v>
      </c>
      <c r="Y542" s="295">
        <f t="shared" si="25"/>
        <v>3240740</v>
      </c>
      <c r="Z542" s="296">
        <f t="shared" si="26"/>
        <v>0.70413306589661451</v>
      </c>
      <c r="AA542" s="85">
        <v>85154788</v>
      </c>
      <c r="AB542" s="85" t="s">
        <v>8505</v>
      </c>
      <c r="AC542" s="290" t="s">
        <v>196</v>
      </c>
      <c r="AD542" s="290" t="s">
        <v>196</v>
      </c>
      <c r="AE542" s="236"/>
      <c r="AF542" s="85" t="s">
        <v>8506</v>
      </c>
      <c r="AG542" s="290" t="s">
        <v>192</v>
      </c>
      <c r="AH542" s="290" t="s">
        <v>192</v>
      </c>
    </row>
    <row r="543" spans="1:34" s="297" customFormat="1" ht="15" customHeight="1" x14ac:dyDescent="0.25">
      <c r="A543" s="289">
        <v>891780111</v>
      </c>
      <c r="B543" s="289" t="s">
        <v>54</v>
      </c>
      <c r="C543" s="290" t="s">
        <v>57</v>
      </c>
      <c r="D543" s="289" t="s">
        <v>60</v>
      </c>
      <c r="E543" s="290" t="s">
        <v>8507</v>
      </c>
      <c r="F543" s="289" t="s">
        <v>61</v>
      </c>
      <c r="G543" s="85" t="s">
        <v>63</v>
      </c>
      <c r="H543" s="85" t="s">
        <v>73</v>
      </c>
      <c r="I543" s="237">
        <v>11853000</v>
      </c>
      <c r="J543" s="290">
        <v>1</v>
      </c>
      <c r="K543" s="291">
        <f>VLOOKUP(E543,[8]NOVEDADES!F$20:K$32,6,0)</f>
        <v>376860</v>
      </c>
      <c r="L543" s="291"/>
      <c r="M543" s="292">
        <f t="shared" si="24"/>
        <v>12229860</v>
      </c>
      <c r="N543" s="85">
        <v>1082905227</v>
      </c>
      <c r="O543" s="85" t="s">
        <v>8508</v>
      </c>
      <c r="P543" s="85" t="s">
        <v>8509</v>
      </c>
      <c r="Q543" s="293">
        <v>44986</v>
      </c>
      <c r="R543" s="293">
        <v>44986</v>
      </c>
      <c r="S543" s="293">
        <v>45084</v>
      </c>
      <c r="T543" s="293"/>
      <c r="U543" s="293"/>
      <c r="V543" s="293"/>
      <c r="W543" s="294"/>
      <c r="X543" s="237">
        <v>8676140</v>
      </c>
      <c r="Y543" s="295">
        <f t="shared" si="25"/>
        <v>3553720</v>
      </c>
      <c r="Z543" s="296">
        <f t="shared" si="26"/>
        <v>0.70942267532089498</v>
      </c>
      <c r="AA543" s="85">
        <v>72175281</v>
      </c>
      <c r="AB543" s="85" t="s">
        <v>6507</v>
      </c>
      <c r="AC543" s="290" t="s">
        <v>196</v>
      </c>
      <c r="AD543" s="290" t="s">
        <v>196</v>
      </c>
      <c r="AE543" s="236"/>
      <c r="AF543" s="85" t="s">
        <v>8510</v>
      </c>
      <c r="AG543" s="290" t="s">
        <v>192</v>
      </c>
      <c r="AH543" s="290" t="s">
        <v>192</v>
      </c>
    </row>
    <row r="544" spans="1:34" s="297" customFormat="1" ht="15" customHeight="1" x14ac:dyDescent="0.25">
      <c r="A544" s="289">
        <v>891780111</v>
      </c>
      <c r="B544" s="289" t="s">
        <v>54</v>
      </c>
      <c r="C544" s="290" t="s">
        <v>57</v>
      </c>
      <c r="D544" s="289" t="s">
        <v>60</v>
      </c>
      <c r="E544" s="290" t="s">
        <v>8511</v>
      </c>
      <c r="F544" s="289" t="s">
        <v>61</v>
      </c>
      <c r="G544" s="85" t="s">
        <v>63</v>
      </c>
      <c r="H544" s="85" t="s">
        <v>73</v>
      </c>
      <c r="I544" s="237">
        <v>13123000</v>
      </c>
      <c r="J544" s="290">
        <v>2</v>
      </c>
      <c r="K544" s="291">
        <v>2775970</v>
      </c>
      <c r="L544" s="291"/>
      <c r="M544" s="292">
        <f t="shared" si="24"/>
        <v>15898970</v>
      </c>
      <c r="N544" s="85">
        <v>1083017229</v>
      </c>
      <c r="O544" s="85" t="s">
        <v>8512</v>
      </c>
      <c r="P544" s="85" t="s">
        <v>8513</v>
      </c>
      <c r="Q544" s="293">
        <v>44986</v>
      </c>
      <c r="R544" s="293">
        <v>44986</v>
      </c>
      <c r="S544" s="293">
        <v>45084</v>
      </c>
      <c r="T544" s="293"/>
      <c r="U544" s="293"/>
      <c r="V544" s="293"/>
      <c r="W544" s="294">
        <v>45107</v>
      </c>
      <c r="X544" s="237">
        <v>12001030</v>
      </c>
      <c r="Y544" s="295">
        <f t="shared" si="25"/>
        <v>3897940</v>
      </c>
      <c r="Z544" s="296">
        <f t="shared" si="26"/>
        <v>0.75483065884142175</v>
      </c>
      <c r="AA544" s="85">
        <v>72175281</v>
      </c>
      <c r="AB544" s="85" t="s">
        <v>6507</v>
      </c>
      <c r="AC544" s="290" t="s">
        <v>196</v>
      </c>
      <c r="AD544" s="290" t="s">
        <v>196</v>
      </c>
      <c r="AE544" s="236"/>
      <c r="AF544" s="85" t="s">
        <v>8514</v>
      </c>
      <c r="AG544" s="290" t="s">
        <v>192</v>
      </c>
      <c r="AH544" s="290" t="s">
        <v>192</v>
      </c>
    </row>
    <row r="545" spans="1:34" s="297" customFormat="1" ht="15" customHeight="1" x14ac:dyDescent="0.25">
      <c r="A545" s="289">
        <v>891780111</v>
      </c>
      <c r="B545" s="289" t="s">
        <v>54</v>
      </c>
      <c r="C545" s="290" t="s">
        <v>57</v>
      </c>
      <c r="D545" s="289" t="s">
        <v>60</v>
      </c>
      <c r="E545" s="290" t="s">
        <v>8515</v>
      </c>
      <c r="F545" s="289" t="s">
        <v>61</v>
      </c>
      <c r="G545" s="85" t="s">
        <v>63</v>
      </c>
      <c r="H545" s="85" t="s">
        <v>73</v>
      </c>
      <c r="I545" s="237">
        <v>11853000</v>
      </c>
      <c r="J545" s="290">
        <v>2</v>
      </c>
      <c r="K545" s="291">
        <v>2517370</v>
      </c>
      <c r="L545" s="291"/>
      <c r="M545" s="292">
        <f t="shared" si="24"/>
        <v>14370370</v>
      </c>
      <c r="N545" s="85">
        <v>1082976463</v>
      </c>
      <c r="O545" s="85" t="s">
        <v>8516</v>
      </c>
      <c r="P545" s="85" t="s">
        <v>8517</v>
      </c>
      <c r="Q545" s="293">
        <v>44986</v>
      </c>
      <c r="R545" s="293">
        <v>44986</v>
      </c>
      <c r="S545" s="293">
        <v>45084</v>
      </c>
      <c r="T545" s="293"/>
      <c r="U545" s="293"/>
      <c r="V545" s="293"/>
      <c r="W545" s="294">
        <v>45107</v>
      </c>
      <c r="X545" s="237">
        <v>10829630</v>
      </c>
      <c r="Y545" s="295">
        <f t="shared" si="25"/>
        <v>3540740</v>
      </c>
      <c r="Z545" s="296">
        <f t="shared" si="26"/>
        <v>0.75360829261877038</v>
      </c>
      <c r="AA545" s="85">
        <v>72175281</v>
      </c>
      <c r="AB545" s="85" t="s">
        <v>6507</v>
      </c>
      <c r="AC545" s="290" t="s">
        <v>196</v>
      </c>
      <c r="AD545" s="290" t="s">
        <v>196</v>
      </c>
      <c r="AE545" s="236"/>
      <c r="AF545" s="85" t="s">
        <v>8518</v>
      </c>
      <c r="AG545" s="290" t="s">
        <v>192</v>
      </c>
      <c r="AH545" s="290" t="s">
        <v>192</v>
      </c>
    </row>
    <row r="546" spans="1:34" s="297" customFormat="1" ht="15" customHeight="1" x14ac:dyDescent="0.25">
      <c r="A546" s="289">
        <v>891780111</v>
      </c>
      <c r="B546" s="289" t="s">
        <v>54</v>
      </c>
      <c r="C546" s="290" t="s">
        <v>57</v>
      </c>
      <c r="D546" s="289" t="s">
        <v>60</v>
      </c>
      <c r="E546" s="290" t="s">
        <v>8519</v>
      </c>
      <c r="F546" s="289" t="s">
        <v>61</v>
      </c>
      <c r="G546" s="85" t="s">
        <v>63</v>
      </c>
      <c r="H546" s="85" t="s">
        <v>73</v>
      </c>
      <c r="I546" s="237">
        <v>11853000</v>
      </c>
      <c r="J546" s="290">
        <v>1</v>
      </c>
      <c r="K546" s="291">
        <f>VLOOKUP(E546,[8]NOVEDADES!F$20:K$32,6,0)</f>
        <v>370370</v>
      </c>
      <c r="L546" s="291"/>
      <c r="M546" s="292">
        <f t="shared" si="24"/>
        <v>12223370</v>
      </c>
      <c r="N546" s="85">
        <v>1081826586</v>
      </c>
      <c r="O546" s="85" t="s">
        <v>8520</v>
      </c>
      <c r="P546" s="85" t="s">
        <v>8521</v>
      </c>
      <c r="Q546" s="293">
        <v>44986</v>
      </c>
      <c r="R546" s="293">
        <v>44986</v>
      </c>
      <c r="S546" s="293">
        <v>45084</v>
      </c>
      <c r="T546" s="293"/>
      <c r="U546" s="293"/>
      <c r="V546" s="293"/>
      <c r="W546" s="294"/>
      <c r="X546" s="237">
        <v>8682630</v>
      </c>
      <c r="Y546" s="295">
        <f t="shared" si="25"/>
        <v>3540740</v>
      </c>
      <c r="Z546" s="296">
        <f t="shared" si="26"/>
        <v>0.71033029352788957</v>
      </c>
      <c r="AA546" s="85">
        <v>72175281</v>
      </c>
      <c r="AB546" s="85" t="s">
        <v>6507</v>
      </c>
      <c r="AC546" s="290" t="s">
        <v>196</v>
      </c>
      <c r="AD546" s="290" t="s">
        <v>196</v>
      </c>
      <c r="AE546" s="236"/>
      <c r="AF546" s="85" t="s">
        <v>8522</v>
      </c>
      <c r="AG546" s="290" t="s">
        <v>192</v>
      </c>
      <c r="AH546" s="290" t="s">
        <v>192</v>
      </c>
    </row>
    <row r="547" spans="1:34" s="297" customFormat="1" ht="15" customHeight="1" x14ac:dyDescent="0.25">
      <c r="A547" s="289">
        <v>891780111</v>
      </c>
      <c r="B547" s="289" t="s">
        <v>54</v>
      </c>
      <c r="C547" s="290" t="s">
        <v>57</v>
      </c>
      <c r="D547" s="289" t="s">
        <v>60</v>
      </c>
      <c r="E547" s="290" t="s">
        <v>8523</v>
      </c>
      <c r="F547" s="289" t="s">
        <v>61</v>
      </c>
      <c r="G547" s="85" t="s">
        <v>63</v>
      </c>
      <c r="H547" s="85" t="s">
        <v>73</v>
      </c>
      <c r="I547" s="237">
        <v>11853000</v>
      </c>
      <c r="J547" s="290">
        <v>2</v>
      </c>
      <c r="K547" s="291">
        <v>2522430</v>
      </c>
      <c r="L547" s="291"/>
      <c r="M547" s="292">
        <f t="shared" si="24"/>
        <v>14375430</v>
      </c>
      <c r="N547" s="85">
        <v>7631214</v>
      </c>
      <c r="O547" s="85" t="s">
        <v>8524</v>
      </c>
      <c r="P547" s="85" t="s">
        <v>8525</v>
      </c>
      <c r="Q547" s="293">
        <v>44986</v>
      </c>
      <c r="R547" s="293">
        <v>44986</v>
      </c>
      <c r="S547" s="293">
        <v>45084</v>
      </c>
      <c r="T547" s="293"/>
      <c r="U547" s="293"/>
      <c r="V547" s="293"/>
      <c r="W547" s="294">
        <v>45107</v>
      </c>
      <c r="X547" s="237">
        <v>10824570</v>
      </c>
      <c r="Y547" s="295">
        <f t="shared" si="25"/>
        <v>3550860</v>
      </c>
      <c r="Z547" s="296">
        <f t="shared" si="26"/>
        <v>0.75299104096364422</v>
      </c>
      <c r="AA547" s="85">
        <v>85154788</v>
      </c>
      <c r="AB547" s="85" t="s">
        <v>8505</v>
      </c>
      <c r="AC547" s="290" t="s">
        <v>196</v>
      </c>
      <c r="AD547" s="290" t="s">
        <v>196</v>
      </c>
      <c r="AE547" s="236"/>
      <c r="AF547" s="85" t="s">
        <v>8526</v>
      </c>
      <c r="AG547" s="290" t="s">
        <v>192</v>
      </c>
      <c r="AH547" s="290" t="s">
        <v>192</v>
      </c>
    </row>
    <row r="548" spans="1:34" s="297" customFormat="1" ht="15" customHeight="1" x14ac:dyDescent="0.25">
      <c r="A548" s="289">
        <v>891780111</v>
      </c>
      <c r="B548" s="289" t="s">
        <v>54</v>
      </c>
      <c r="C548" s="290" t="s">
        <v>57</v>
      </c>
      <c r="D548" s="289" t="s">
        <v>60</v>
      </c>
      <c r="E548" s="290" t="s">
        <v>8527</v>
      </c>
      <c r="F548" s="289" t="s">
        <v>61</v>
      </c>
      <c r="G548" s="85" t="s">
        <v>63</v>
      </c>
      <c r="H548" s="85" t="s">
        <v>73</v>
      </c>
      <c r="I548" s="237">
        <v>13123000</v>
      </c>
      <c r="J548" s="290">
        <v>1</v>
      </c>
      <c r="K548" s="291">
        <f>VLOOKUP(E548,[8]NOVEDADES!F$20:K$32,6,0)</f>
        <v>378180</v>
      </c>
      <c r="L548" s="291"/>
      <c r="M548" s="292">
        <f t="shared" si="24"/>
        <v>13501180</v>
      </c>
      <c r="N548" s="85">
        <v>1082925821</v>
      </c>
      <c r="O548" s="85" t="s">
        <v>8528</v>
      </c>
      <c r="P548" s="85" t="s">
        <v>8529</v>
      </c>
      <c r="Q548" s="293">
        <v>44986</v>
      </c>
      <c r="R548" s="293">
        <v>44986</v>
      </c>
      <c r="S548" s="293">
        <v>45084</v>
      </c>
      <c r="T548" s="293"/>
      <c r="U548" s="293"/>
      <c r="V548" s="293"/>
      <c r="W548" s="294"/>
      <c r="X548" s="237">
        <v>9644820</v>
      </c>
      <c r="Y548" s="295">
        <f t="shared" si="25"/>
        <v>3856360</v>
      </c>
      <c r="Z548" s="296">
        <f t="shared" si="26"/>
        <v>0.71436866999773352</v>
      </c>
      <c r="AA548" s="85">
        <v>72175281</v>
      </c>
      <c r="AB548" s="85" t="s">
        <v>6507</v>
      </c>
      <c r="AC548" s="290" t="s">
        <v>196</v>
      </c>
      <c r="AD548" s="290" t="s">
        <v>196</v>
      </c>
      <c r="AE548" s="236"/>
      <c r="AF548" s="85" t="s">
        <v>8530</v>
      </c>
      <c r="AG548" s="290" t="s">
        <v>192</v>
      </c>
      <c r="AH548" s="290" t="s">
        <v>192</v>
      </c>
    </row>
    <row r="549" spans="1:34" s="297" customFormat="1" ht="15" customHeight="1" x14ac:dyDescent="0.25">
      <c r="A549" s="289">
        <v>891780111</v>
      </c>
      <c r="B549" s="289" t="s">
        <v>54</v>
      </c>
      <c r="C549" s="290" t="s">
        <v>57</v>
      </c>
      <c r="D549" s="289" t="s">
        <v>60</v>
      </c>
      <c r="E549" s="290" t="s">
        <v>8531</v>
      </c>
      <c r="F549" s="289" t="s">
        <v>61</v>
      </c>
      <c r="G549" s="85" t="s">
        <v>63</v>
      </c>
      <c r="H549" s="85" t="s">
        <v>73</v>
      </c>
      <c r="I549" s="237">
        <v>11853000</v>
      </c>
      <c r="J549" s="290">
        <v>1</v>
      </c>
      <c r="K549" s="291">
        <f>VLOOKUP(E549,[8]NOVEDADES!F$20:K$32,6,0)</f>
        <v>370370</v>
      </c>
      <c r="L549" s="291"/>
      <c r="M549" s="292">
        <f t="shared" si="24"/>
        <v>12223370</v>
      </c>
      <c r="N549" s="85">
        <v>1007698184</v>
      </c>
      <c r="O549" s="85" t="s">
        <v>8532</v>
      </c>
      <c r="P549" s="85" t="s">
        <v>8533</v>
      </c>
      <c r="Q549" s="293">
        <v>44986</v>
      </c>
      <c r="R549" s="293">
        <v>44986</v>
      </c>
      <c r="S549" s="293">
        <v>45084</v>
      </c>
      <c r="T549" s="293"/>
      <c r="U549" s="293"/>
      <c r="V549" s="293"/>
      <c r="W549" s="294"/>
      <c r="X549" s="237">
        <v>8682630</v>
      </c>
      <c r="Y549" s="295">
        <f t="shared" si="25"/>
        <v>3540740</v>
      </c>
      <c r="Z549" s="296">
        <f t="shared" si="26"/>
        <v>0.71033029352788957</v>
      </c>
      <c r="AA549" s="85">
        <v>72175281</v>
      </c>
      <c r="AB549" s="85" t="s">
        <v>6507</v>
      </c>
      <c r="AC549" s="290" t="s">
        <v>196</v>
      </c>
      <c r="AD549" s="290" t="s">
        <v>196</v>
      </c>
      <c r="AE549" s="236"/>
      <c r="AF549" s="85" t="s">
        <v>8534</v>
      </c>
      <c r="AG549" s="290" t="s">
        <v>192</v>
      </c>
      <c r="AH549" s="290" t="s">
        <v>192</v>
      </c>
    </row>
    <row r="550" spans="1:34" s="297" customFormat="1" ht="15" customHeight="1" x14ac:dyDescent="0.25">
      <c r="A550" s="289">
        <v>891780111</v>
      </c>
      <c r="B550" s="289" t="s">
        <v>54</v>
      </c>
      <c r="C550" s="290" t="s">
        <v>57</v>
      </c>
      <c r="D550" s="289" t="s">
        <v>60</v>
      </c>
      <c r="E550" s="290" t="s">
        <v>8535</v>
      </c>
      <c r="F550" s="289" t="s">
        <v>61</v>
      </c>
      <c r="G550" s="85" t="s">
        <v>63</v>
      </c>
      <c r="H550" s="85" t="s">
        <v>73</v>
      </c>
      <c r="I550" s="237">
        <v>11853000</v>
      </c>
      <c r="J550" s="290">
        <v>1</v>
      </c>
      <c r="K550" s="291">
        <f>VLOOKUP(E550,[8]NOVEDADES!F$20:K$32,6,0)</f>
        <v>377080</v>
      </c>
      <c r="L550" s="291"/>
      <c r="M550" s="292">
        <f t="shared" si="24"/>
        <v>12230080</v>
      </c>
      <c r="N550" s="85">
        <v>1082949085</v>
      </c>
      <c r="O550" s="85" t="s">
        <v>8536</v>
      </c>
      <c r="P550" s="85" t="s">
        <v>8537</v>
      </c>
      <c r="Q550" s="293">
        <v>44986</v>
      </c>
      <c r="R550" s="293">
        <v>44986</v>
      </c>
      <c r="S550" s="293">
        <v>45084</v>
      </c>
      <c r="T550" s="293"/>
      <c r="U550" s="293"/>
      <c r="V550" s="293"/>
      <c r="W550" s="294"/>
      <c r="X550" s="237">
        <v>8675920</v>
      </c>
      <c r="Y550" s="295">
        <f t="shared" si="25"/>
        <v>3554160</v>
      </c>
      <c r="Z550" s="296">
        <f t="shared" si="26"/>
        <v>0.70939192548209007</v>
      </c>
      <c r="AA550" s="85">
        <v>72175281</v>
      </c>
      <c r="AB550" s="85" t="s">
        <v>6507</v>
      </c>
      <c r="AC550" s="290" t="s">
        <v>196</v>
      </c>
      <c r="AD550" s="290" t="s">
        <v>196</v>
      </c>
      <c r="AE550" s="236"/>
      <c r="AF550" s="85" t="s">
        <v>8538</v>
      </c>
      <c r="AG550" s="290" t="s">
        <v>192</v>
      </c>
      <c r="AH550" s="290" t="s">
        <v>192</v>
      </c>
    </row>
    <row r="551" spans="1:34" s="297" customFormat="1" ht="15" customHeight="1" x14ac:dyDescent="0.25">
      <c r="A551" s="289">
        <v>891780111</v>
      </c>
      <c r="B551" s="289" t="s">
        <v>54</v>
      </c>
      <c r="C551" s="290" t="s">
        <v>57</v>
      </c>
      <c r="D551" s="289" t="s">
        <v>60</v>
      </c>
      <c r="E551" s="290" t="s">
        <v>8539</v>
      </c>
      <c r="F551" s="289" t="s">
        <v>61</v>
      </c>
      <c r="G551" s="85" t="s">
        <v>63</v>
      </c>
      <c r="H551" s="85" t="s">
        <v>73</v>
      </c>
      <c r="I551" s="237">
        <v>10583000</v>
      </c>
      <c r="J551" s="290">
        <v>1</v>
      </c>
      <c r="K551" s="291">
        <f>VLOOKUP(E551,[8]NOVEDADES!F$20:K$32,6,0)</f>
        <v>370370</v>
      </c>
      <c r="L551" s="291"/>
      <c r="M551" s="292">
        <f t="shared" si="24"/>
        <v>10953370</v>
      </c>
      <c r="N551" s="85">
        <v>1121301077</v>
      </c>
      <c r="O551" s="85" t="s">
        <v>8540</v>
      </c>
      <c r="P551" s="85" t="s">
        <v>8541</v>
      </c>
      <c r="Q551" s="293">
        <v>44986</v>
      </c>
      <c r="R551" s="293">
        <v>44986</v>
      </c>
      <c r="S551" s="293">
        <v>45084</v>
      </c>
      <c r="T551" s="293"/>
      <c r="U551" s="293"/>
      <c r="V551" s="293"/>
      <c r="W551" s="294"/>
      <c r="X551" s="237">
        <v>7712630</v>
      </c>
      <c r="Y551" s="295">
        <f t="shared" si="25"/>
        <v>3240740</v>
      </c>
      <c r="Z551" s="296">
        <f t="shared" si="26"/>
        <v>0.70413306589661451</v>
      </c>
      <c r="AA551" s="85">
        <v>72175281</v>
      </c>
      <c r="AB551" s="85" t="s">
        <v>6507</v>
      </c>
      <c r="AC551" s="290" t="s">
        <v>196</v>
      </c>
      <c r="AD551" s="290" t="s">
        <v>196</v>
      </c>
      <c r="AE551" s="236"/>
      <c r="AF551" s="85" t="s">
        <v>8542</v>
      </c>
      <c r="AG551" s="290" t="s">
        <v>192</v>
      </c>
      <c r="AH551" s="290" t="s">
        <v>192</v>
      </c>
    </row>
    <row r="552" spans="1:34" s="297" customFormat="1" ht="15" customHeight="1" x14ac:dyDescent="0.25">
      <c r="A552" s="289">
        <v>891780111</v>
      </c>
      <c r="B552" s="289" t="s">
        <v>54</v>
      </c>
      <c r="C552" s="290" t="s">
        <v>57</v>
      </c>
      <c r="D552" s="289" t="s">
        <v>60</v>
      </c>
      <c r="E552" s="290" t="s">
        <v>8543</v>
      </c>
      <c r="F552" s="289" t="s">
        <v>61</v>
      </c>
      <c r="G552" s="85" t="s">
        <v>63</v>
      </c>
      <c r="H552" s="85" t="s">
        <v>73</v>
      </c>
      <c r="I552" s="237">
        <v>4000000</v>
      </c>
      <c r="J552" s="290"/>
      <c r="K552" s="291"/>
      <c r="L552" s="291"/>
      <c r="M552" s="292">
        <f t="shared" si="24"/>
        <v>4000000</v>
      </c>
      <c r="N552" s="85">
        <v>85474227</v>
      </c>
      <c r="O552" s="85" t="s">
        <v>8544</v>
      </c>
      <c r="P552" s="85" t="s">
        <v>8545</v>
      </c>
      <c r="Q552" s="293">
        <v>44986</v>
      </c>
      <c r="R552" s="293">
        <v>44986</v>
      </c>
      <c r="S552" s="293">
        <v>44995</v>
      </c>
      <c r="T552" s="293"/>
      <c r="U552" s="293"/>
      <c r="V552" s="293"/>
      <c r="W552" s="294"/>
      <c r="X552" s="237">
        <v>4000000</v>
      </c>
      <c r="Y552" s="295">
        <f t="shared" si="25"/>
        <v>0</v>
      </c>
      <c r="Z552" s="296">
        <f t="shared" si="26"/>
        <v>1</v>
      </c>
      <c r="AA552" s="85">
        <v>72175281</v>
      </c>
      <c r="AB552" s="85" t="s">
        <v>6507</v>
      </c>
      <c r="AC552" s="290" t="s">
        <v>196</v>
      </c>
      <c r="AD552" s="290" t="s">
        <v>196</v>
      </c>
      <c r="AE552" s="236"/>
      <c r="AF552" s="85" t="s">
        <v>8546</v>
      </c>
      <c r="AG552" s="290" t="s">
        <v>192</v>
      </c>
      <c r="AH552" s="290" t="s">
        <v>192</v>
      </c>
    </row>
    <row r="553" spans="1:34" s="297" customFormat="1" ht="15" customHeight="1" x14ac:dyDescent="0.25">
      <c r="A553" s="289">
        <v>891780111</v>
      </c>
      <c r="B553" s="289" t="s">
        <v>54</v>
      </c>
      <c r="C553" s="290" t="s">
        <v>57</v>
      </c>
      <c r="D553" s="289" t="s">
        <v>60</v>
      </c>
      <c r="E553" s="290" t="s">
        <v>8547</v>
      </c>
      <c r="F553" s="289" t="s">
        <v>61</v>
      </c>
      <c r="G553" s="85" t="s">
        <v>63</v>
      </c>
      <c r="H553" s="85" t="s">
        <v>73</v>
      </c>
      <c r="I553" s="237">
        <v>13123000</v>
      </c>
      <c r="J553" s="290">
        <v>2</v>
      </c>
      <c r="K553" s="291">
        <v>2772890</v>
      </c>
      <c r="L553" s="291"/>
      <c r="M553" s="292">
        <f t="shared" si="24"/>
        <v>15895890</v>
      </c>
      <c r="N553" s="85">
        <v>1082857989</v>
      </c>
      <c r="O553" s="85" t="s">
        <v>8548</v>
      </c>
      <c r="P553" s="85" t="s">
        <v>8549</v>
      </c>
      <c r="Q553" s="293">
        <v>44986</v>
      </c>
      <c r="R553" s="293">
        <v>44986</v>
      </c>
      <c r="S553" s="293">
        <v>45084</v>
      </c>
      <c r="T553" s="293"/>
      <c r="U553" s="293"/>
      <c r="V553" s="293"/>
      <c r="W553" s="294">
        <v>45107</v>
      </c>
      <c r="X553" s="237">
        <v>12004110</v>
      </c>
      <c r="Y553" s="295">
        <f t="shared" si="25"/>
        <v>3891780</v>
      </c>
      <c r="Z553" s="296">
        <f t="shared" si="26"/>
        <v>0.75517067619365763</v>
      </c>
      <c r="AA553" s="85">
        <v>72175281</v>
      </c>
      <c r="AB553" s="85" t="s">
        <v>6507</v>
      </c>
      <c r="AC553" s="290" t="s">
        <v>196</v>
      </c>
      <c r="AD553" s="290" t="s">
        <v>196</v>
      </c>
      <c r="AE553" s="236"/>
      <c r="AF553" s="85" t="s">
        <v>8550</v>
      </c>
      <c r="AG553" s="290" t="s">
        <v>192</v>
      </c>
      <c r="AH553" s="290" t="s">
        <v>192</v>
      </c>
    </row>
    <row r="554" spans="1:34" s="297" customFormat="1" ht="15" customHeight="1" x14ac:dyDescent="0.25">
      <c r="A554" s="289">
        <v>891780111</v>
      </c>
      <c r="B554" s="289" t="s">
        <v>54</v>
      </c>
      <c r="C554" s="290" t="s">
        <v>57</v>
      </c>
      <c r="D554" s="289" t="s">
        <v>60</v>
      </c>
      <c r="E554" s="290" t="s">
        <v>8551</v>
      </c>
      <c r="F554" s="289" t="s">
        <v>61</v>
      </c>
      <c r="G554" s="85" t="s">
        <v>63</v>
      </c>
      <c r="H554" s="85" t="s">
        <v>73</v>
      </c>
      <c r="I554" s="237">
        <v>10023000</v>
      </c>
      <c r="J554" s="290"/>
      <c r="K554" s="291"/>
      <c r="L554" s="291"/>
      <c r="M554" s="292">
        <f t="shared" si="24"/>
        <v>10023000</v>
      </c>
      <c r="N554" s="85">
        <v>1082934684</v>
      </c>
      <c r="O554" s="85" t="s">
        <v>8552</v>
      </c>
      <c r="P554" s="85" t="s">
        <v>8553</v>
      </c>
      <c r="Q554" s="293">
        <v>44986</v>
      </c>
      <c r="R554" s="293">
        <v>44986</v>
      </c>
      <c r="S554" s="293">
        <v>45084</v>
      </c>
      <c r="T554" s="293"/>
      <c r="U554" s="293"/>
      <c r="V554" s="293"/>
      <c r="W554" s="294"/>
      <c r="X554" s="237">
        <v>6923000</v>
      </c>
      <c r="Y554" s="295">
        <f t="shared" si="25"/>
        <v>3100000</v>
      </c>
      <c r="Z554" s="296">
        <f t="shared" si="26"/>
        <v>0.69071136386311482</v>
      </c>
      <c r="AA554" s="85">
        <v>72175281</v>
      </c>
      <c r="AB554" s="85" t="s">
        <v>6507</v>
      </c>
      <c r="AC554" s="290" t="s">
        <v>196</v>
      </c>
      <c r="AD554" s="290" t="s">
        <v>196</v>
      </c>
      <c r="AE554" s="236"/>
      <c r="AF554" s="85" t="s">
        <v>8554</v>
      </c>
      <c r="AG554" s="290" t="s">
        <v>192</v>
      </c>
      <c r="AH554" s="290" t="s">
        <v>192</v>
      </c>
    </row>
    <row r="555" spans="1:34" s="297" customFormat="1" ht="15" customHeight="1" x14ac:dyDescent="0.25">
      <c r="A555" s="289">
        <v>891780111</v>
      </c>
      <c r="B555" s="289" t="s">
        <v>54</v>
      </c>
      <c r="C555" s="290" t="s">
        <v>56</v>
      </c>
      <c r="D555" s="289" t="s">
        <v>60</v>
      </c>
      <c r="E555" s="290" t="s">
        <v>8555</v>
      </c>
      <c r="F555" s="289" t="s">
        <v>61</v>
      </c>
      <c r="G555" s="85" t="s">
        <v>63</v>
      </c>
      <c r="H555" s="85" t="s">
        <v>73</v>
      </c>
      <c r="I555" s="237">
        <v>10023000</v>
      </c>
      <c r="J555" s="290">
        <v>1</v>
      </c>
      <c r="K555" s="291">
        <v>2377000</v>
      </c>
      <c r="L555" s="291"/>
      <c r="M555" s="292">
        <f t="shared" si="24"/>
        <v>12400000</v>
      </c>
      <c r="N555" s="85">
        <v>1082931831</v>
      </c>
      <c r="O555" s="85" t="s">
        <v>8146</v>
      </c>
      <c r="P555" s="85" t="s">
        <v>8556</v>
      </c>
      <c r="Q555" s="293">
        <v>44986</v>
      </c>
      <c r="R555" s="293">
        <v>44986</v>
      </c>
      <c r="S555" s="293">
        <v>45084</v>
      </c>
      <c r="T555" s="293"/>
      <c r="U555" s="293"/>
      <c r="V555" s="293"/>
      <c r="W555" s="294">
        <v>45107</v>
      </c>
      <c r="X555" s="237">
        <v>12400000</v>
      </c>
      <c r="Y555" s="295">
        <f t="shared" si="25"/>
        <v>0</v>
      </c>
      <c r="Z555" s="296">
        <f t="shared" si="26"/>
        <v>1</v>
      </c>
      <c r="AA555" s="85">
        <v>93400727</v>
      </c>
      <c r="AB555" s="85" t="s">
        <v>6418</v>
      </c>
      <c r="AC555" s="290" t="s">
        <v>196</v>
      </c>
      <c r="AD555" s="290" t="s">
        <v>196</v>
      </c>
      <c r="AE555" s="236"/>
      <c r="AF555" s="85" t="s">
        <v>8557</v>
      </c>
      <c r="AG555" s="290" t="s">
        <v>192</v>
      </c>
      <c r="AH555" s="290" t="s">
        <v>192</v>
      </c>
    </row>
    <row r="556" spans="1:34" s="297" customFormat="1" ht="15" customHeight="1" x14ac:dyDescent="0.25">
      <c r="A556" s="289">
        <v>891780111</v>
      </c>
      <c r="B556" s="289" t="s">
        <v>54</v>
      </c>
      <c r="C556" s="290" t="s">
        <v>56</v>
      </c>
      <c r="D556" s="289" t="s">
        <v>60</v>
      </c>
      <c r="E556" s="290" t="s">
        <v>8558</v>
      </c>
      <c r="F556" s="289" t="s">
        <v>61</v>
      </c>
      <c r="G556" s="85" t="s">
        <v>63</v>
      </c>
      <c r="H556" s="85" t="s">
        <v>73</v>
      </c>
      <c r="I556" s="237">
        <v>15960000</v>
      </c>
      <c r="J556" s="290">
        <v>1</v>
      </c>
      <c r="K556" s="291">
        <v>1960000</v>
      </c>
      <c r="L556" s="291"/>
      <c r="M556" s="292">
        <f t="shared" si="24"/>
        <v>17920000</v>
      </c>
      <c r="N556" s="85">
        <v>7634885</v>
      </c>
      <c r="O556" s="85" t="s">
        <v>426</v>
      </c>
      <c r="P556" s="85" t="s">
        <v>8559</v>
      </c>
      <c r="Q556" s="293">
        <v>44986</v>
      </c>
      <c r="R556" s="293">
        <v>44986</v>
      </c>
      <c r="S556" s="293">
        <v>45093</v>
      </c>
      <c r="T556" s="293"/>
      <c r="U556" s="293"/>
      <c r="V556" s="293"/>
      <c r="W556" s="294">
        <v>45107</v>
      </c>
      <c r="X556" s="237">
        <v>17920000</v>
      </c>
      <c r="Y556" s="295">
        <f t="shared" si="25"/>
        <v>0</v>
      </c>
      <c r="Z556" s="296">
        <f t="shared" si="26"/>
        <v>1</v>
      </c>
      <c r="AA556" s="85">
        <v>84452087</v>
      </c>
      <c r="AB556" s="85" t="s">
        <v>6601</v>
      </c>
      <c r="AC556" s="290" t="s">
        <v>196</v>
      </c>
      <c r="AD556" s="290" t="s">
        <v>196</v>
      </c>
      <c r="AE556" s="236"/>
      <c r="AF556" s="85" t="s">
        <v>8560</v>
      </c>
      <c r="AG556" s="290" t="s">
        <v>192</v>
      </c>
      <c r="AH556" s="290" t="s">
        <v>192</v>
      </c>
    </row>
    <row r="557" spans="1:34" s="297" customFormat="1" ht="15" customHeight="1" x14ac:dyDescent="0.25">
      <c r="A557" s="289">
        <v>891780111</v>
      </c>
      <c r="B557" s="289" t="s">
        <v>54</v>
      </c>
      <c r="C557" s="290" t="s">
        <v>56</v>
      </c>
      <c r="D557" s="289" t="s">
        <v>60</v>
      </c>
      <c r="E557" s="290" t="s">
        <v>8561</v>
      </c>
      <c r="F557" s="289" t="s">
        <v>61</v>
      </c>
      <c r="G557" s="85" t="s">
        <v>63</v>
      </c>
      <c r="H557" s="85" t="s">
        <v>73</v>
      </c>
      <c r="I557" s="237">
        <v>19433000</v>
      </c>
      <c r="J557" s="290">
        <v>1</v>
      </c>
      <c r="K557" s="291">
        <v>2567000</v>
      </c>
      <c r="L557" s="291"/>
      <c r="M557" s="292">
        <f t="shared" si="24"/>
        <v>22000000</v>
      </c>
      <c r="N557" s="85">
        <v>85474637</v>
      </c>
      <c r="O557" s="85" t="s">
        <v>8562</v>
      </c>
      <c r="P557" s="85" t="s">
        <v>8563</v>
      </c>
      <c r="Q557" s="293">
        <v>44986</v>
      </c>
      <c r="R557" s="293">
        <v>44986</v>
      </c>
      <c r="S557" s="293">
        <v>45093</v>
      </c>
      <c r="T557" s="293"/>
      <c r="U557" s="293"/>
      <c r="V557" s="293"/>
      <c r="W557" s="294">
        <v>45107</v>
      </c>
      <c r="X557" s="237">
        <v>22000000</v>
      </c>
      <c r="Y557" s="295">
        <f t="shared" si="25"/>
        <v>0</v>
      </c>
      <c r="Z557" s="296">
        <f t="shared" si="26"/>
        <v>1</v>
      </c>
      <c r="AA557" s="85">
        <v>85455983</v>
      </c>
      <c r="AB557" s="85" t="s">
        <v>6413</v>
      </c>
      <c r="AC557" s="290" t="s">
        <v>196</v>
      </c>
      <c r="AD557" s="290" t="s">
        <v>196</v>
      </c>
      <c r="AE557" s="236"/>
      <c r="AF557" s="85" t="s">
        <v>8564</v>
      </c>
      <c r="AG557" s="290" t="s">
        <v>192</v>
      </c>
      <c r="AH557" s="290" t="s">
        <v>192</v>
      </c>
    </row>
    <row r="558" spans="1:34" s="297" customFormat="1" ht="15" customHeight="1" x14ac:dyDescent="0.25">
      <c r="A558" s="289">
        <v>891780111</v>
      </c>
      <c r="B558" s="289" t="s">
        <v>54</v>
      </c>
      <c r="C558" s="290" t="s">
        <v>59</v>
      </c>
      <c r="D558" s="289" t="s">
        <v>60</v>
      </c>
      <c r="E558" s="290" t="s">
        <v>8565</v>
      </c>
      <c r="F558" s="289" t="s">
        <v>61</v>
      </c>
      <c r="G558" s="85" t="s">
        <v>63</v>
      </c>
      <c r="H558" s="85" t="s">
        <v>73</v>
      </c>
      <c r="I558" s="237">
        <v>9600000</v>
      </c>
      <c r="J558" s="290">
        <v>1</v>
      </c>
      <c r="K558" s="291">
        <v>4800000</v>
      </c>
      <c r="L558" s="291"/>
      <c r="M558" s="292">
        <f t="shared" si="24"/>
        <v>14400000</v>
      </c>
      <c r="N558" s="85">
        <v>1114816077</v>
      </c>
      <c r="O558" s="85" t="s">
        <v>7166</v>
      </c>
      <c r="P558" s="85" t="s">
        <v>8566</v>
      </c>
      <c r="Q558" s="293">
        <v>44988</v>
      </c>
      <c r="R558" s="293">
        <v>44988</v>
      </c>
      <c r="S558" s="293">
        <v>45107</v>
      </c>
      <c r="T558" s="293"/>
      <c r="U558" s="293"/>
      <c r="V558" s="293"/>
      <c r="W558" s="294">
        <v>45169</v>
      </c>
      <c r="X558" s="237">
        <v>7200000</v>
      </c>
      <c r="Y558" s="295">
        <f t="shared" si="25"/>
        <v>7200000</v>
      </c>
      <c r="Z558" s="296">
        <f t="shared" si="26"/>
        <v>0.5</v>
      </c>
      <c r="AA558" s="85">
        <v>1082870070</v>
      </c>
      <c r="AB558" s="85" t="s">
        <v>7163</v>
      </c>
      <c r="AC558" s="290" t="s">
        <v>196</v>
      </c>
      <c r="AD558" s="290" t="s">
        <v>196</v>
      </c>
      <c r="AE558" s="236"/>
      <c r="AF558" s="85" t="s">
        <v>8567</v>
      </c>
      <c r="AG558" s="290" t="s">
        <v>192</v>
      </c>
      <c r="AH558" s="290" t="s">
        <v>192</v>
      </c>
    </row>
    <row r="559" spans="1:34" s="297" customFormat="1" ht="15" customHeight="1" x14ac:dyDescent="0.25">
      <c r="A559" s="289">
        <v>891780111</v>
      </c>
      <c r="B559" s="289" t="s">
        <v>54</v>
      </c>
      <c r="C559" s="290" t="s">
        <v>56</v>
      </c>
      <c r="D559" s="289" t="s">
        <v>60</v>
      </c>
      <c r="E559" s="290" t="s">
        <v>8568</v>
      </c>
      <c r="F559" s="289" t="s">
        <v>61</v>
      </c>
      <c r="G559" s="85" t="s">
        <v>63</v>
      </c>
      <c r="H559" s="85" t="s">
        <v>73</v>
      </c>
      <c r="I559" s="237">
        <v>8832000</v>
      </c>
      <c r="J559" s="290"/>
      <c r="K559" s="291"/>
      <c r="L559" s="291"/>
      <c r="M559" s="292">
        <f t="shared" si="24"/>
        <v>8832000</v>
      </c>
      <c r="N559" s="85">
        <v>39003352</v>
      </c>
      <c r="O559" s="85" t="s">
        <v>8569</v>
      </c>
      <c r="P559" s="85" t="s">
        <v>8570</v>
      </c>
      <c r="Q559" s="293">
        <v>44993</v>
      </c>
      <c r="R559" s="293">
        <v>44993</v>
      </c>
      <c r="S559" s="293">
        <v>45084</v>
      </c>
      <c r="T559" s="293"/>
      <c r="U559" s="293"/>
      <c r="V559" s="293"/>
      <c r="W559" s="294"/>
      <c r="X559" s="237">
        <v>8832000</v>
      </c>
      <c r="Y559" s="295">
        <f t="shared" si="25"/>
        <v>0</v>
      </c>
      <c r="Z559" s="296">
        <f t="shared" si="26"/>
        <v>1</v>
      </c>
      <c r="AA559" s="85">
        <v>57461216</v>
      </c>
      <c r="AB559" s="85" t="s">
        <v>6512</v>
      </c>
      <c r="AC559" s="290" t="s">
        <v>196</v>
      </c>
      <c r="AD559" s="290" t="s">
        <v>196</v>
      </c>
      <c r="AE559" s="236"/>
      <c r="AF559" s="85" t="s">
        <v>8571</v>
      </c>
      <c r="AG559" s="290" t="s">
        <v>192</v>
      </c>
      <c r="AH559" s="290" t="s">
        <v>192</v>
      </c>
    </row>
    <row r="560" spans="1:34" s="297" customFormat="1" ht="15" customHeight="1" x14ac:dyDescent="0.25">
      <c r="A560" s="289">
        <v>891780111</v>
      </c>
      <c r="B560" s="289" t="s">
        <v>54</v>
      </c>
      <c r="C560" s="290" t="s">
        <v>56</v>
      </c>
      <c r="D560" s="289" t="s">
        <v>60</v>
      </c>
      <c r="E560" s="290" t="s">
        <v>8572</v>
      </c>
      <c r="F560" s="289" t="s">
        <v>61</v>
      </c>
      <c r="G560" s="85" t="s">
        <v>63</v>
      </c>
      <c r="H560" s="85" t="s">
        <v>73</v>
      </c>
      <c r="I560" s="237">
        <v>8417000</v>
      </c>
      <c r="J560" s="290">
        <v>1</v>
      </c>
      <c r="K560" s="291">
        <v>1166000</v>
      </c>
      <c r="L560" s="291"/>
      <c r="M560" s="292">
        <f t="shared" si="24"/>
        <v>9583000</v>
      </c>
      <c r="N560" s="85">
        <v>1043020726</v>
      </c>
      <c r="O560" s="85" t="s">
        <v>8573</v>
      </c>
      <c r="P560" s="85" t="s">
        <v>8574</v>
      </c>
      <c r="Q560" s="293">
        <v>44993</v>
      </c>
      <c r="R560" s="293">
        <v>44993</v>
      </c>
      <c r="S560" s="293">
        <v>45093</v>
      </c>
      <c r="T560" s="293"/>
      <c r="U560" s="293"/>
      <c r="V560" s="293"/>
      <c r="W560" s="294">
        <v>45107</v>
      </c>
      <c r="X560" s="237">
        <v>9583000</v>
      </c>
      <c r="Y560" s="295">
        <f t="shared" si="25"/>
        <v>0</v>
      </c>
      <c r="Z560" s="296">
        <f t="shared" si="26"/>
        <v>1</v>
      </c>
      <c r="AA560" s="85">
        <v>84452087</v>
      </c>
      <c r="AB560" s="85" t="s">
        <v>6601</v>
      </c>
      <c r="AC560" s="290" t="s">
        <v>196</v>
      </c>
      <c r="AD560" s="290" t="s">
        <v>196</v>
      </c>
      <c r="AE560" s="236"/>
      <c r="AF560" s="85" t="s">
        <v>8575</v>
      </c>
      <c r="AG560" s="290" t="s">
        <v>192</v>
      </c>
      <c r="AH560" s="290" t="s">
        <v>192</v>
      </c>
    </row>
    <row r="561" spans="1:34" s="297" customFormat="1" ht="15" customHeight="1" x14ac:dyDescent="0.25">
      <c r="A561" s="289">
        <v>891780111</v>
      </c>
      <c r="B561" s="289" t="s">
        <v>54</v>
      </c>
      <c r="C561" s="290" t="s">
        <v>56</v>
      </c>
      <c r="D561" s="289" t="s">
        <v>60</v>
      </c>
      <c r="E561" s="290" t="s">
        <v>8576</v>
      </c>
      <c r="F561" s="289" t="s">
        <v>61</v>
      </c>
      <c r="G561" s="85" t="s">
        <v>63</v>
      </c>
      <c r="H561" s="85" t="s">
        <v>73</v>
      </c>
      <c r="I561" s="237">
        <v>6143000</v>
      </c>
      <c r="J561" s="290">
        <v>1</v>
      </c>
      <c r="K561" s="291">
        <v>1457000</v>
      </c>
      <c r="L561" s="291"/>
      <c r="M561" s="292">
        <f t="shared" si="24"/>
        <v>7600000</v>
      </c>
      <c r="N561" s="85">
        <v>1082888690</v>
      </c>
      <c r="O561" s="85" t="s">
        <v>8577</v>
      </c>
      <c r="P561" s="85" t="s">
        <v>7492</v>
      </c>
      <c r="Q561" s="293">
        <v>44993</v>
      </c>
      <c r="R561" s="293">
        <v>44993</v>
      </c>
      <c r="S561" s="293">
        <v>45084</v>
      </c>
      <c r="T561" s="293"/>
      <c r="U561" s="293"/>
      <c r="V561" s="293"/>
      <c r="W561" s="294">
        <v>45107</v>
      </c>
      <c r="X561" s="237">
        <v>7600000</v>
      </c>
      <c r="Y561" s="295">
        <f t="shared" si="25"/>
        <v>0</v>
      </c>
      <c r="Z561" s="296">
        <f t="shared" si="26"/>
        <v>1</v>
      </c>
      <c r="AA561" s="85">
        <v>7633817</v>
      </c>
      <c r="AB561" s="85" t="s">
        <v>5425</v>
      </c>
      <c r="AC561" s="290" t="s">
        <v>196</v>
      </c>
      <c r="AD561" s="290" t="s">
        <v>196</v>
      </c>
      <c r="AE561" s="236"/>
      <c r="AF561" s="85" t="s">
        <v>8578</v>
      </c>
      <c r="AG561" s="290" t="s">
        <v>192</v>
      </c>
      <c r="AH561" s="290" t="s">
        <v>192</v>
      </c>
    </row>
    <row r="562" spans="1:34" s="297" customFormat="1" ht="15" customHeight="1" x14ac:dyDescent="0.25">
      <c r="A562" s="289">
        <v>891780111</v>
      </c>
      <c r="B562" s="289" t="s">
        <v>54</v>
      </c>
      <c r="C562" s="290" t="s">
        <v>56</v>
      </c>
      <c r="D562" s="289" t="s">
        <v>60</v>
      </c>
      <c r="E562" s="290" t="s">
        <v>8579</v>
      </c>
      <c r="F562" s="289" t="s">
        <v>61</v>
      </c>
      <c r="G562" s="85" t="s">
        <v>63</v>
      </c>
      <c r="H562" s="85" t="s">
        <v>73</v>
      </c>
      <c r="I562" s="237">
        <v>7560000</v>
      </c>
      <c r="J562" s="290">
        <v>1</v>
      </c>
      <c r="K562" s="291"/>
      <c r="L562" s="291">
        <v>1750000</v>
      </c>
      <c r="M562" s="292">
        <f t="shared" si="24"/>
        <v>5810000</v>
      </c>
      <c r="N562" s="85">
        <v>1082992587</v>
      </c>
      <c r="O562" s="85" t="s">
        <v>8580</v>
      </c>
      <c r="P562" s="85" t="s">
        <v>7648</v>
      </c>
      <c r="Q562" s="293">
        <v>44993</v>
      </c>
      <c r="R562" s="293">
        <v>44993</v>
      </c>
      <c r="S562" s="293">
        <v>45077</v>
      </c>
      <c r="T562" s="293"/>
      <c r="U562" s="293"/>
      <c r="V562" s="293"/>
      <c r="W562" s="294">
        <v>45051</v>
      </c>
      <c r="X562" s="237">
        <v>3360000</v>
      </c>
      <c r="Y562" s="295">
        <f t="shared" si="25"/>
        <v>2450000</v>
      </c>
      <c r="Z562" s="296">
        <f t="shared" si="26"/>
        <v>0.57831325301204817</v>
      </c>
      <c r="AA562" s="85">
        <v>36726018</v>
      </c>
      <c r="AB562" s="85" t="s">
        <v>7466</v>
      </c>
      <c r="AC562" s="290" t="s">
        <v>196</v>
      </c>
      <c r="AD562" s="290" t="s">
        <v>196</v>
      </c>
      <c r="AE562" s="236"/>
      <c r="AF562" s="85" t="s">
        <v>8581</v>
      </c>
      <c r="AG562" s="290" t="s">
        <v>192</v>
      </c>
      <c r="AH562" s="290" t="s">
        <v>192</v>
      </c>
    </row>
    <row r="563" spans="1:34" s="297" customFormat="1" ht="15" customHeight="1" x14ac:dyDescent="0.25">
      <c r="A563" s="289">
        <v>891780111</v>
      </c>
      <c r="B563" s="289" t="s">
        <v>54</v>
      </c>
      <c r="C563" s="290" t="s">
        <v>56</v>
      </c>
      <c r="D563" s="289" t="s">
        <v>60</v>
      </c>
      <c r="E563" s="290" t="s">
        <v>8582</v>
      </c>
      <c r="F563" s="289" t="s">
        <v>61</v>
      </c>
      <c r="G563" s="85" t="s">
        <v>63</v>
      </c>
      <c r="H563" s="85" t="s">
        <v>73</v>
      </c>
      <c r="I563" s="237">
        <v>8587000</v>
      </c>
      <c r="J563" s="290">
        <v>1</v>
      </c>
      <c r="K563" s="291">
        <v>2146000</v>
      </c>
      <c r="L563" s="291"/>
      <c r="M563" s="292">
        <f t="shared" si="24"/>
        <v>10733000</v>
      </c>
      <c r="N563" s="85">
        <v>57290378</v>
      </c>
      <c r="O563" s="85" t="s">
        <v>8583</v>
      </c>
      <c r="P563" s="85" t="s">
        <v>8584</v>
      </c>
      <c r="Q563" s="293">
        <v>44993</v>
      </c>
      <c r="R563" s="293">
        <v>44993</v>
      </c>
      <c r="S563" s="293">
        <v>45084</v>
      </c>
      <c r="T563" s="293"/>
      <c r="U563" s="293"/>
      <c r="V563" s="293"/>
      <c r="W563" s="294">
        <v>45107</v>
      </c>
      <c r="X563" s="237">
        <v>10733000</v>
      </c>
      <c r="Y563" s="295">
        <f t="shared" si="25"/>
        <v>0</v>
      </c>
      <c r="Z563" s="296">
        <f t="shared" si="26"/>
        <v>1</v>
      </c>
      <c r="AA563" s="85">
        <v>85449357</v>
      </c>
      <c r="AB563" s="85" t="s">
        <v>6553</v>
      </c>
      <c r="AC563" s="290" t="s">
        <v>196</v>
      </c>
      <c r="AD563" s="290" t="s">
        <v>196</v>
      </c>
      <c r="AE563" s="236"/>
      <c r="AF563" s="85" t="s">
        <v>8585</v>
      </c>
      <c r="AG563" s="290" t="s">
        <v>192</v>
      </c>
      <c r="AH563" s="290" t="s">
        <v>192</v>
      </c>
    </row>
    <row r="564" spans="1:34" s="297" customFormat="1" ht="15" customHeight="1" x14ac:dyDescent="0.25">
      <c r="A564" s="289">
        <v>891780111</v>
      </c>
      <c r="B564" s="289" t="s">
        <v>54</v>
      </c>
      <c r="C564" s="290" t="s">
        <v>56</v>
      </c>
      <c r="D564" s="289" t="s">
        <v>60</v>
      </c>
      <c r="E564" s="290" t="s">
        <v>8586</v>
      </c>
      <c r="F564" s="289" t="s">
        <v>61</v>
      </c>
      <c r="G564" s="85" t="s">
        <v>63</v>
      </c>
      <c r="H564" s="85" t="s">
        <v>73</v>
      </c>
      <c r="I564" s="237">
        <v>8587000</v>
      </c>
      <c r="J564" s="290">
        <v>1</v>
      </c>
      <c r="K564" s="291">
        <v>2146000</v>
      </c>
      <c r="L564" s="291"/>
      <c r="M564" s="292">
        <f t="shared" si="24"/>
        <v>10733000</v>
      </c>
      <c r="N564" s="85">
        <v>39049050</v>
      </c>
      <c r="O564" s="85" t="s">
        <v>8587</v>
      </c>
      <c r="P564" s="85" t="s">
        <v>8588</v>
      </c>
      <c r="Q564" s="293">
        <v>44993</v>
      </c>
      <c r="R564" s="293">
        <v>44993</v>
      </c>
      <c r="S564" s="293">
        <v>45084</v>
      </c>
      <c r="T564" s="293"/>
      <c r="U564" s="293"/>
      <c r="V564" s="293"/>
      <c r="W564" s="294">
        <v>45107</v>
      </c>
      <c r="X564" s="237">
        <v>10733000</v>
      </c>
      <c r="Y564" s="295">
        <f t="shared" si="25"/>
        <v>0</v>
      </c>
      <c r="Z564" s="296">
        <f t="shared" si="26"/>
        <v>1</v>
      </c>
      <c r="AA564" s="85">
        <v>36557666</v>
      </c>
      <c r="AB564" s="85" t="s">
        <v>6916</v>
      </c>
      <c r="AC564" s="290" t="s">
        <v>196</v>
      </c>
      <c r="AD564" s="290" t="s">
        <v>196</v>
      </c>
      <c r="AE564" s="236"/>
      <c r="AF564" s="85" t="s">
        <v>8589</v>
      </c>
      <c r="AG564" s="290" t="s">
        <v>192</v>
      </c>
      <c r="AH564" s="290" t="s">
        <v>192</v>
      </c>
    </row>
    <row r="565" spans="1:34" s="297" customFormat="1" ht="15" customHeight="1" x14ac:dyDescent="0.25">
      <c r="A565" s="289">
        <v>891780111</v>
      </c>
      <c r="B565" s="289" t="s">
        <v>54</v>
      </c>
      <c r="C565" s="290" t="s">
        <v>56</v>
      </c>
      <c r="D565" s="289" t="s">
        <v>60</v>
      </c>
      <c r="E565" s="290" t="s">
        <v>8590</v>
      </c>
      <c r="F565" s="289" t="s">
        <v>61</v>
      </c>
      <c r="G565" s="85" t="s">
        <v>63</v>
      </c>
      <c r="H565" s="85" t="s">
        <v>73</v>
      </c>
      <c r="I565" s="237">
        <v>12610000</v>
      </c>
      <c r="J565" s="290">
        <v>1</v>
      </c>
      <c r="K565" s="291">
        <v>1170000</v>
      </c>
      <c r="L565" s="291"/>
      <c r="M565" s="292">
        <f t="shared" si="24"/>
        <v>13780000</v>
      </c>
      <c r="N565" s="85">
        <v>1116800838</v>
      </c>
      <c r="O565" s="85" t="s">
        <v>8591</v>
      </c>
      <c r="P565" s="85" t="s">
        <v>8592</v>
      </c>
      <c r="Q565" s="293">
        <v>44993</v>
      </c>
      <c r="R565" s="293">
        <v>44993</v>
      </c>
      <c r="S565" s="293">
        <v>45084</v>
      </c>
      <c r="T565" s="293"/>
      <c r="U565" s="293"/>
      <c r="V565" s="293"/>
      <c r="W565" s="294">
        <v>45093</v>
      </c>
      <c r="X565" s="237">
        <v>13780000</v>
      </c>
      <c r="Y565" s="295">
        <f t="shared" si="25"/>
        <v>0</v>
      </c>
      <c r="Z565" s="296">
        <f t="shared" si="26"/>
        <v>1</v>
      </c>
      <c r="AA565" s="85">
        <v>39058006</v>
      </c>
      <c r="AB565" s="85" t="s">
        <v>6699</v>
      </c>
      <c r="AC565" s="290" t="s">
        <v>196</v>
      </c>
      <c r="AD565" s="290" t="s">
        <v>196</v>
      </c>
      <c r="AE565" s="236"/>
      <c r="AF565" s="85" t="s">
        <v>8593</v>
      </c>
      <c r="AG565" s="290" t="s">
        <v>192</v>
      </c>
      <c r="AH565" s="290" t="s">
        <v>192</v>
      </c>
    </row>
    <row r="566" spans="1:34" s="297" customFormat="1" ht="15" customHeight="1" x14ac:dyDescent="0.25">
      <c r="A566" s="289">
        <v>891780111</v>
      </c>
      <c r="B566" s="289" t="s">
        <v>54</v>
      </c>
      <c r="C566" s="290" t="s">
        <v>56</v>
      </c>
      <c r="D566" s="289" t="s">
        <v>60</v>
      </c>
      <c r="E566" s="290" t="s">
        <v>8594</v>
      </c>
      <c r="F566" s="289" t="s">
        <v>61</v>
      </c>
      <c r="G566" s="85" t="s">
        <v>63</v>
      </c>
      <c r="H566" s="85" t="s">
        <v>73</v>
      </c>
      <c r="I566" s="237">
        <v>7040000</v>
      </c>
      <c r="J566" s="290"/>
      <c r="K566" s="291"/>
      <c r="L566" s="291"/>
      <c r="M566" s="292">
        <f t="shared" si="24"/>
        <v>7040000</v>
      </c>
      <c r="N566" s="85">
        <v>1007653962</v>
      </c>
      <c r="O566" s="85" t="s">
        <v>8595</v>
      </c>
      <c r="P566" s="85" t="s">
        <v>8596</v>
      </c>
      <c r="Q566" s="293">
        <v>44993</v>
      </c>
      <c r="R566" s="293">
        <v>44993</v>
      </c>
      <c r="S566" s="293">
        <v>45084</v>
      </c>
      <c r="T566" s="293"/>
      <c r="U566" s="293"/>
      <c r="V566" s="293"/>
      <c r="W566" s="294"/>
      <c r="X566" s="237">
        <v>7040000</v>
      </c>
      <c r="Y566" s="295">
        <f t="shared" si="25"/>
        <v>0</v>
      </c>
      <c r="Z566" s="296">
        <f t="shared" si="26"/>
        <v>1</v>
      </c>
      <c r="AA566" s="85">
        <v>12621405</v>
      </c>
      <c r="AB566" s="85" t="s">
        <v>6396</v>
      </c>
      <c r="AC566" s="290" t="s">
        <v>196</v>
      </c>
      <c r="AD566" s="290" t="s">
        <v>196</v>
      </c>
      <c r="AE566" s="236"/>
      <c r="AF566" s="85" t="s">
        <v>8597</v>
      </c>
      <c r="AG566" s="290" t="s">
        <v>192</v>
      </c>
      <c r="AH566" s="290" t="s">
        <v>192</v>
      </c>
    </row>
    <row r="567" spans="1:34" s="297" customFormat="1" ht="15" customHeight="1" x14ac:dyDescent="0.25">
      <c r="A567" s="289">
        <v>891780111</v>
      </c>
      <c r="B567" s="289" t="s">
        <v>54</v>
      </c>
      <c r="C567" s="290" t="s">
        <v>56</v>
      </c>
      <c r="D567" s="289" t="s">
        <v>60</v>
      </c>
      <c r="E567" s="290" t="s">
        <v>8598</v>
      </c>
      <c r="F567" s="289" t="s">
        <v>61</v>
      </c>
      <c r="G567" s="85" t="s">
        <v>63</v>
      </c>
      <c r="H567" s="85" t="s">
        <v>73</v>
      </c>
      <c r="I567" s="237">
        <v>8587000</v>
      </c>
      <c r="J567" s="290">
        <v>1</v>
      </c>
      <c r="K567" s="291">
        <v>2146000</v>
      </c>
      <c r="L567" s="291"/>
      <c r="M567" s="292">
        <f t="shared" si="24"/>
        <v>10733000</v>
      </c>
      <c r="N567" s="85">
        <v>1081827836</v>
      </c>
      <c r="O567" s="85" t="s">
        <v>8599</v>
      </c>
      <c r="P567" s="85" t="s">
        <v>8600</v>
      </c>
      <c r="Q567" s="293">
        <v>44993</v>
      </c>
      <c r="R567" s="293">
        <v>44993</v>
      </c>
      <c r="S567" s="293">
        <v>45084</v>
      </c>
      <c r="T567" s="293"/>
      <c r="U567" s="293"/>
      <c r="V567" s="293"/>
      <c r="W567" s="294">
        <v>45107</v>
      </c>
      <c r="X567" s="237">
        <v>10733000</v>
      </c>
      <c r="Y567" s="295">
        <f t="shared" si="25"/>
        <v>0</v>
      </c>
      <c r="Z567" s="296">
        <f t="shared" si="26"/>
        <v>1</v>
      </c>
      <c r="AA567" s="85">
        <v>85465146</v>
      </c>
      <c r="AB567" s="85" t="s">
        <v>6628</v>
      </c>
      <c r="AC567" s="290" t="s">
        <v>196</v>
      </c>
      <c r="AD567" s="290" t="s">
        <v>196</v>
      </c>
      <c r="AE567" s="236"/>
      <c r="AF567" s="85" t="s">
        <v>8601</v>
      </c>
      <c r="AG567" s="290" t="s">
        <v>192</v>
      </c>
      <c r="AH567" s="290" t="s">
        <v>192</v>
      </c>
    </row>
    <row r="568" spans="1:34" s="297" customFormat="1" ht="15" customHeight="1" x14ac:dyDescent="0.25">
      <c r="A568" s="289">
        <v>891780111</v>
      </c>
      <c r="B568" s="289" t="s">
        <v>54</v>
      </c>
      <c r="C568" s="290" t="s">
        <v>56</v>
      </c>
      <c r="D568" s="289" t="s">
        <v>60</v>
      </c>
      <c r="E568" s="290" t="s">
        <v>8602</v>
      </c>
      <c r="F568" s="289" t="s">
        <v>61</v>
      </c>
      <c r="G568" s="85" t="s">
        <v>63</v>
      </c>
      <c r="H568" s="85" t="s">
        <v>73</v>
      </c>
      <c r="I568" s="237">
        <v>8587000</v>
      </c>
      <c r="J568" s="290">
        <v>1</v>
      </c>
      <c r="K568" s="291">
        <v>2146000</v>
      </c>
      <c r="L568" s="291"/>
      <c r="M568" s="292">
        <f t="shared" si="24"/>
        <v>10733000</v>
      </c>
      <c r="N568" s="85">
        <v>1083007505</v>
      </c>
      <c r="O568" s="85" t="s">
        <v>8603</v>
      </c>
      <c r="P568" s="85" t="s">
        <v>8584</v>
      </c>
      <c r="Q568" s="293">
        <v>44994</v>
      </c>
      <c r="R568" s="293">
        <v>44994</v>
      </c>
      <c r="S568" s="293">
        <v>45084</v>
      </c>
      <c r="T568" s="293"/>
      <c r="U568" s="293"/>
      <c r="V568" s="293"/>
      <c r="W568" s="294">
        <v>45107</v>
      </c>
      <c r="X568" s="237">
        <v>10733000</v>
      </c>
      <c r="Y568" s="295">
        <f t="shared" si="25"/>
        <v>0</v>
      </c>
      <c r="Z568" s="296">
        <f t="shared" si="26"/>
        <v>1</v>
      </c>
      <c r="AA568" s="85">
        <v>85449357</v>
      </c>
      <c r="AB568" s="85" t="s">
        <v>6553</v>
      </c>
      <c r="AC568" s="290" t="s">
        <v>196</v>
      </c>
      <c r="AD568" s="290" t="s">
        <v>196</v>
      </c>
      <c r="AE568" s="236"/>
      <c r="AF568" s="85" t="s">
        <v>8604</v>
      </c>
      <c r="AG568" s="290" t="s">
        <v>192</v>
      </c>
      <c r="AH568" s="290" t="s">
        <v>192</v>
      </c>
    </row>
    <row r="569" spans="1:34" s="297" customFormat="1" ht="15" customHeight="1" x14ac:dyDescent="0.25">
      <c r="A569" s="289">
        <v>891780111</v>
      </c>
      <c r="B569" s="289" t="s">
        <v>54</v>
      </c>
      <c r="C569" s="290" t="s">
        <v>56</v>
      </c>
      <c r="D569" s="289" t="s">
        <v>60</v>
      </c>
      <c r="E569" s="290" t="s">
        <v>8605</v>
      </c>
      <c r="F569" s="289" t="s">
        <v>61</v>
      </c>
      <c r="G569" s="85" t="s">
        <v>63</v>
      </c>
      <c r="H569" s="85" t="s">
        <v>73</v>
      </c>
      <c r="I569" s="237">
        <v>7113000</v>
      </c>
      <c r="J569" s="290">
        <v>1</v>
      </c>
      <c r="K569" s="291">
        <v>1687000</v>
      </c>
      <c r="L569" s="291"/>
      <c r="M569" s="292">
        <f t="shared" si="24"/>
        <v>8800000</v>
      </c>
      <c r="N569" s="85">
        <v>1082968870</v>
      </c>
      <c r="O569" s="85" t="s">
        <v>8606</v>
      </c>
      <c r="P569" s="85" t="s">
        <v>8607</v>
      </c>
      <c r="Q569" s="293">
        <v>44995</v>
      </c>
      <c r="R569" s="293">
        <v>44995</v>
      </c>
      <c r="S569" s="293">
        <v>45084</v>
      </c>
      <c r="T569" s="293"/>
      <c r="U569" s="293"/>
      <c r="V569" s="293"/>
      <c r="W569" s="294">
        <v>45107</v>
      </c>
      <c r="X569" s="237">
        <v>8800000</v>
      </c>
      <c r="Y569" s="295">
        <f t="shared" si="25"/>
        <v>0</v>
      </c>
      <c r="Z569" s="296">
        <f t="shared" si="26"/>
        <v>1</v>
      </c>
      <c r="AA569" s="85">
        <v>57426272</v>
      </c>
      <c r="AB569" s="85" t="s">
        <v>8608</v>
      </c>
      <c r="AC569" s="290" t="s">
        <v>196</v>
      </c>
      <c r="AD569" s="290" t="s">
        <v>196</v>
      </c>
      <c r="AE569" s="236"/>
      <c r="AF569" s="85" t="s">
        <v>8609</v>
      </c>
      <c r="AG569" s="290" t="s">
        <v>192</v>
      </c>
      <c r="AH569" s="290" t="s">
        <v>192</v>
      </c>
    </row>
    <row r="570" spans="1:34" s="297" customFormat="1" ht="15" customHeight="1" x14ac:dyDescent="0.25">
      <c r="A570" s="289">
        <v>891780111</v>
      </c>
      <c r="B570" s="289" t="s">
        <v>54</v>
      </c>
      <c r="C570" s="290" t="s">
        <v>56</v>
      </c>
      <c r="D570" s="289" t="s">
        <v>60</v>
      </c>
      <c r="E570" s="290" t="s">
        <v>8610</v>
      </c>
      <c r="F570" s="289" t="s">
        <v>61</v>
      </c>
      <c r="G570" s="85" t="s">
        <v>63</v>
      </c>
      <c r="H570" s="85" t="s">
        <v>73</v>
      </c>
      <c r="I570" s="237">
        <v>7667000</v>
      </c>
      <c r="J570" s="290"/>
      <c r="K570" s="291"/>
      <c r="L570" s="291"/>
      <c r="M570" s="292">
        <f t="shared" si="24"/>
        <v>7667000</v>
      </c>
      <c r="N570" s="85">
        <v>1083042613</v>
      </c>
      <c r="O570" s="85" t="s">
        <v>8611</v>
      </c>
      <c r="P570" s="85" t="s">
        <v>8612</v>
      </c>
      <c r="Q570" s="293">
        <v>44998</v>
      </c>
      <c r="R570" s="293">
        <v>44998</v>
      </c>
      <c r="S570" s="293">
        <v>45084</v>
      </c>
      <c r="T570" s="293"/>
      <c r="U570" s="293"/>
      <c r="V570" s="293"/>
      <c r="W570" s="294"/>
      <c r="X570" s="237">
        <v>7667000</v>
      </c>
      <c r="Y570" s="295">
        <f t="shared" si="25"/>
        <v>0</v>
      </c>
      <c r="Z570" s="296">
        <f t="shared" si="26"/>
        <v>1</v>
      </c>
      <c r="AA570" s="85">
        <v>84452087</v>
      </c>
      <c r="AB570" s="85" t="s">
        <v>6601</v>
      </c>
      <c r="AC570" s="290" t="s">
        <v>196</v>
      </c>
      <c r="AD570" s="290" t="s">
        <v>196</v>
      </c>
      <c r="AE570" s="236"/>
      <c r="AF570" s="85" t="s">
        <v>8613</v>
      </c>
      <c r="AG570" s="290" t="s">
        <v>192</v>
      </c>
      <c r="AH570" s="290" t="s">
        <v>192</v>
      </c>
    </row>
    <row r="571" spans="1:34" s="297" customFormat="1" ht="15" customHeight="1" x14ac:dyDescent="0.25">
      <c r="A571" s="289">
        <v>891780111</v>
      </c>
      <c r="B571" s="289" t="s">
        <v>54</v>
      </c>
      <c r="C571" s="290" t="s">
        <v>56</v>
      </c>
      <c r="D571" s="289" t="s">
        <v>60</v>
      </c>
      <c r="E571" s="290" t="s">
        <v>8614</v>
      </c>
      <c r="F571" s="289" t="s">
        <v>61</v>
      </c>
      <c r="G571" s="85" t="s">
        <v>63</v>
      </c>
      <c r="H571" s="85" t="s">
        <v>73</v>
      </c>
      <c r="I571" s="237">
        <v>10200000</v>
      </c>
      <c r="J571" s="290">
        <v>1</v>
      </c>
      <c r="K571" s="291">
        <v>2607000</v>
      </c>
      <c r="L571" s="291"/>
      <c r="M571" s="292">
        <f t="shared" si="24"/>
        <v>12807000</v>
      </c>
      <c r="N571" s="85">
        <v>1082926432</v>
      </c>
      <c r="O571" s="85" t="s">
        <v>8615</v>
      </c>
      <c r="P571" s="85" t="s">
        <v>8616</v>
      </c>
      <c r="Q571" s="293">
        <v>44998</v>
      </c>
      <c r="R571" s="293">
        <v>44998</v>
      </c>
      <c r="S571" s="293">
        <v>45084</v>
      </c>
      <c r="T571" s="293"/>
      <c r="U571" s="293"/>
      <c r="V571" s="293"/>
      <c r="W571" s="294">
        <v>45107</v>
      </c>
      <c r="X571" s="237">
        <v>12807000</v>
      </c>
      <c r="Y571" s="295">
        <f t="shared" si="25"/>
        <v>0</v>
      </c>
      <c r="Z571" s="296">
        <f t="shared" si="26"/>
        <v>1</v>
      </c>
      <c r="AA571" s="85">
        <v>21400608</v>
      </c>
      <c r="AB571" s="85" t="s">
        <v>8445</v>
      </c>
      <c r="AC571" s="290" t="s">
        <v>196</v>
      </c>
      <c r="AD571" s="290" t="s">
        <v>196</v>
      </c>
      <c r="AE571" s="236"/>
      <c r="AF571" s="85" t="s">
        <v>8617</v>
      </c>
      <c r="AG571" s="290" t="s">
        <v>192</v>
      </c>
      <c r="AH571" s="290" t="s">
        <v>192</v>
      </c>
    </row>
    <row r="572" spans="1:34" s="297" customFormat="1" ht="15" customHeight="1" x14ac:dyDescent="0.25">
      <c r="A572" s="289">
        <v>891780111</v>
      </c>
      <c r="B572" s="289" t="s">
        <v>54</v>
      </c>
      <c r="C572" s="290" t="s">
        <v>59</v>
      </c>
      <c r="D572" s="289" t="s">
        <v>60</v>
      </c>
      <c r="E572" s="290" t="s">
        <v>8618</v>
      </c>
      <c r="F572" s="289" t="s">
        <v>61</v>
      </c>
      <c r="G572" s="85" t="s">
        <v>63</v>
      </c>
      <c r="H572" s="85" t="s">
        <v>73</v>
      </c>
      <c r="I572" s="237">
        <v>12400000</v>
      </c>
      <c r="J572" s="290"/>
      <c r="K572" s="291"/>
      <c r="L572" s="291"/>
      <c r="M572" s="292">
        <f t="shared" si="24"/>
        <v>12400000</v>
      </c>
      <c r="N572" s="85">
        <v>1104871354</v>
      </c>
      <c r="O572" s="85" t="s">
        <v>8619</v>
      </c>
      <c r="P572" s="85" t="s">
        <v>8620</v>
      </c>
      <c r="Q572" s="293">
        <v>44998</v>
      </c>
      <c r="R572" s="293">
        <v>44998</v>
      </c>
      <c r="S572" s="293">
        <v>45107</v>
      </c>
      <c r="T572" s="293"/>
      <c r="U572" s="293"/>
      <c r="V572" s="293"/>
      <c r="W572" s="294"/>
      <c r="X572" s="237">
        <v>12400000</v>
      </c>
      <c r="Y572" s="295">
        <f t="shared" si="25"/>
        <v>0</v>
      </c>
      <c r="Z572" s="296">
        <f t="shared" si="26"/>
        <v>1</v>
      </c>
      <c r="AA572" s="85">
        <v>85471791</v>
      </c>
      <c r="AB572" s="85" t="s">
        <v>7172</v>
      </c>
      <c r="AC572" s="290" t="s">
        <v>196</v>
      </c>
      <c r="AD572" s="290" t="s">
        <v>196</v>
      </c>
      <c r="AE572" s="236"/>
      <c r="AF572" s="85" t="s">
        <v>8621</v>
      </c>
      <c r="AG572" s="290" t="s">
        <v>192</v>
      </c>
      <c r="AH572" s="290" t="s">
        <v>192</v>
      </c>
    </row>
    <row r="573" spans="1:34" s="297" customFormat="1" ht="15" customHeight="1" x14ac:dyDescent="0.25">
      <c r="A573" s="289">
        <v>891780111</v>
      </c>
      <c r="B573" s="289" t="s">
        <v>54</v>
      </c>
      <c r="C573" s="290" t="s">
        <v>56</v>
      </c>
      <c r="D573" s="289" t="s">
        <v>60</v>
      </c>
      <c r="E573" s="290" t="s">
        <v>8622</v>
      </c>
      <c r="F573" s="289" t="s">
        <v>61</v>
      </c>
      <c r="G573" s="85" t="s">
        <v>63</v>
      </c>
      <c r="H573" s="85" t="s">
        <v>73</v>
      </c>
      <c r="I573" s="237">
        <v>12933000</v>
      </c>
      <c r="J573" s="290"/>
      <c r="K573" s="291"/>
      <c r="L573" s="291"/>
      <c r="M573" s="292">
        <f t="shared" si="24"/>
        <v>12933000</v>
      </c>
      <c r="N573" s="85">
        <v>85474255</v>
      </c>
      <c r="O573" s="85" t="s">
        <v>8623</v>
      </c>
      <c r="P573" s="85" t="s">
        <v>8624</v>
      </c>
      <c r="Q573" s="293">
        <v>45000</v>
      </c>
      <c r="R573" s="293">
        <v>45000</v>
      </c>
      <c r="S573" s="293">
        <v>45084</v>
      </c>
      <c r="T573" s="293"/>
      <c r="U573" s="293"/>
      <c r="V573" s="293"/>
      <c r="W573" s="294"/>
      <c r="X573" s="237">
        <v>12833000</v>
      </c>
      <c r="Y573" s="295">
        <f t="shared" si="25"/>
        <v>100000</v>
      </c>
      <c r="Z573" s="296">
        <f t="shared" si="26"/>
        <v>0.99226784195468953</v>
      </c>
      <c r="AA573" s="85">
        <v>85154788</v>
      </c>
      <c r="AB573" s="85" t="s">
        <v>8505</v>
      </c>
      <c r="AC573" s="290" t="s">
        <v>196</v>
      </c>
      <c r="AD573" s="290" t="s">
        <v>196</v>
      </c>
      <c r="AE573" s="236"/>
      <c r="AF573" s="85" t="s">
        <v>8625</v>
      </c>
      <c r="AG573" s="290" t="s">
        <v>192</v>
      </c>
      <c r="AH573" s="290" t="s">
        <v>192</v>
      </c>
    </row>
    <row r="574" spans="1:34" s="297" customFormat="1" ht="15" customHeight="1" x14ac:dyDescent="0.25">
      <c r="A574" s="289">
        <v>891780111</v>
      </c>
      <c r="B574" s="289" t="s">
        <v>54</v>
      </c>
      <c r="C574" s="290" t="s">
        <v>56</v>
      </c>
      <c r="D574" s="289" t="s">
        <v>60</v>
      </c>
      <c r="E574" s="290" t="s">
        <v>8626</v>
      </c>
      <c r="F574" s="289" t="s">
        <v>61</v>
      </c>
      <c r="G574" s="85" t="s">
        <v>63</v>
      </c>
      <c r="H574" s="85" t="s">
        <v>73</v>
      </c>
      <c r="I574" s="237">
        <v>8213000</v>
      </c>
      <c r="J574" s="290"/>
      <c r="K574" s="291"/>
      <c r="L574" s="291"/>
      <c r="M574" s="292">
        <f t="shared" si="24"/>
        <v>8213000</v>
      </c>
      <c r="N574" s="85">
        <v>1082945799</v>
      </c>
      <c r="O574" s="85" t="s">
        <v>8627</v>
      </c>
      <c r="P574" s="85" t="s">
        <v>8628</v>
      </c>
      <c r="Q574" s="293">
        <v>45000</v>
      </c>
      <c r="R574" s="293">
        <v>45000</v>
      </c>
      <c r="S574" s="293">
        <v>45084</v>
      </c>
      <c r="T574" s="293"/>
      <c r="U574" s="293"/>
      <c r="V574" s="293"/>
      <c r="W574" s="294"/>
      <c r="X574" s="237">
        <v>8213000</v>
      </c>
      <c r="Y574" s="295">
        <f t="shared" si="25"/>
        <v>0</v>
      </c>
      <c r="Z574" s="296">
        <f t="shared" si="26"/>
        <v>1</v>
      </c>
      <c r="AA574" s="85">
        <v>41947381</v>
      </c>
      <c r="AB574" s="85" t="s">
        <v>6440</v>
      </c>
      <c r="AC574" s="290" t="s">
        <v>196</v>
      </c>
      <c r="AD574" s="290" t="s">
        <v>196</v>
      </c>
      <c r="AE574" s="236"/>
      <c r="AF574" s="85" t="s">
        <v>8629</v>
      </c>
      <c r="AG574" s="290" t="s">
        <v>192</v>
      </c>
      <c r="AH574" s="290" t="s">
        <v>192</v>
      </c>
    </row>
    <row r="575" spans="1:34" s="297" customFormat="1" ht="15" customHeight="1" x14ac:dyDescent="0.25">
      <c r="A575" s="289">
        <v>891780111</v>
      </c>
      <c r="B575" s="289" t="s">
        <v>54</v>
      </c>
      <c r="C575" s="290" t="s">
        <v>56</v>
      </c>
      <c r="D575" s="289" t="s">
        <v>60</v>
      </c>
      <c r="E575" s="290" t="s">
        <v>8630</v>
      </c>
      <c r="F575" s="289" t="s">
        <v>61</v>
      </c>
      <c r="G575" s="85" t="s">
        <v>63</v>
      </c>
      <c r="H575" s="85" t="s">
        <v>73</v>
      </c>
      <c r="I575" s="237">
        <v>6747000</v>
      </c>
      <c r="J575" s="290">
        <v>1</v>
      </c>
      <c r="K575" s="291"/>
      <c r="L575" s="291">
        <v>1540000</v>
      </c>
      <c r="M575" s="292">
        <f t="shared" si="24"/>
        <v>5207000</v>
      </c>
      <c r="N575" s="85">
        <v>1082957906</v>
      </c>
      <c r="O575" s="85" t="s">
        <v>8631</v>
      </c>
      <c r="P575" s="85" t="s">
        <v>8632</v>
      </c>
      <c r="Q575" s="293">
        <v>45000</v>
      </c>
      <c r="R575" s="293">
        <v>45000</v>
      </c>
      <c r="S575" s="293">
        <v>45084</v>
      </c>
      <c r="T575" s="293"/>
      <c r="U575" s="293"/>
      <c r="V575" s="293"/>
      <c r="W575" s="294">
        <v>45064</v>
      </c>
      <c r="X575" s="237">
        <v>5207000</v>
      </c>
      <c r="Y575" s="295">
        <f t="shared" si="25"/>
        <v>0</v>
      </c>
      <c r="Z575" s="296">
        <f t="shared" si="26"/>
        <v>1</v>
      </c>
      <c r="AA575" s="85">
        <v>36557666</v>
      </c>
      <c r="AB575" s="85" t="s">
        <v>6916</v>
      </c>
      <c r="AC575" s="290" t="s">
        <v>196</v>
      </c>
      <c r="AD575" s="290" t="s">
        <v>196</v>
      </c>
      <c r="AE575" s="236"/>
      <c r="AF575" s="85" t="s">
        <v>8633</v>
      </c>
      <c r="AG575" s="290" t="s">
        <v>192</v>
      </c>
      <c r="AH575" s="290" t="s">
        <v>192</v>
      </c>
    </row>
    <row r="576" spans="1:34" s="297" customFormat="1" ht="15" customHeight="1" x14ac:dyDescent="0.25">
      <c r="A576" s="289">
        <v>891780111</v>
      </c>
      <c r="B576" s="289" t="s">
        <v>54</v>
      </c>
      <c r="C576" s="290" t="s">
        <v>56</v>
      </c>
      <c r="D576" s="289" t="s">
        <v>60</v>
      </c>
      <c r="E576" s="290" t="s">
        <v>8634</v>
      </c>
      <c r="F576" s="289" t="s">
        <v>61</v>
      </c>
      <c r="G576" s="85" t="s">
        <v>63</v>
      </c>
      <c r="H576" s="85" t="s">
        <v>73</v>
      </c>
      <c r="I576" s="237">
        <v>8083000</v>
      </c>
      <c r="J576" s="290">
        <v>1</v>
      </c>
      <c r="K576" s="291">
        <v>1917000</v>
      </c>
      <c r="L576" s="291"/>
      <c r="M576" s="292">
        <f t="shared" si="24"/>
        <v>10000000</v>
      </c>
      <c r="N576" s="85">
        <v>1066095376</v>
      </c>
      <c r="O576" s="85" t="s">
        <v>8635</v>
      </c>
      <c r="P576" s="85" t="s">
        <v>8636</v>
      </c>
      <c r="Q576" s="293">
        <v>45001</v>
      </c>
      <c r="R576" s="293">
        <v>45001</v>
      </c>
      <c r="S576" s="293">
        <v>45084</v>
      </c>
      <c r="T576" s="293"/>
      <c r="U576" s="293"/>
      <c r="V576" s="293"/>
      <c r="W576" s="294">
        <v>45107</v>
      </c>
      <c r="X576" s="237">
        <v>10000000</v>
      </c>
      <c r="Y576" s="295">
        <f t="shared" si="25"/>
        <v>0</v>
      </c>
      <c r="Z576" s="296">
        <f t="shared" si="26"/>
        <v>1</v>
      </c>
      <c r="AA576" s="85">
        <v>36557666</v>
      </c>
      <c r="AB576" s="85" t="s">
        <v>6916</v>
      </c>
      <c r="AC576" s="290" t="s">
        <v>196</v>
      </c>
      <c r="AD576" s="290" t="s">
        <v>196</v>
      </c>
      <c r="AE576" s="236"/>
      <c r="AF576" s="85" t="s">
        <v>8637</v>
      </c>
      <c r="AG576" s="290" t="s">
        <v>192</v>
      </c>
      <c r="AH576" s="290" t="s">
        <v>192</v>
      </c>
    </row>
    <row r="577" spans="1:34" s="297" customFormat="1" ht="15" customHeight="1" x14ac:dyDescent="0.25">
      <c r="A577" s="289">
        <v>891780111</v>
      </c>
      <c r="B577" s="289" t="s">
        <v>54</v>
      </c>
      <c r="C577" s="290" t="s">
        <v>56</v>
      </c>
      <c r="D577" s="289" t="s">
        <v>60</v>
      </c>
      <c r="E577" s="290" t="s">
        <v>8638</v>
      </c>
      <c r="F577" s="289" t="s">
        <v>61</v>
      </c>
      <c r="G577" s="85" t="s">
        <v>63</v>
      </c>
      <c r="H577" s="85" t="s">
        <v>73</v>
      </c>
      <c r="I577" s="237">
        <v>18107000</v>
      </c>
      <c r="J577" s="290">
        <v>1</v>
      </c>
      <c r="K577" s="291">
        <v>4293000</v>
      </c>
      <c r="L577" s="291"/>
      <c r="M577" s="292">
        <f t="shared" si="24"/>
        <v>22400000</v>
      </c>
      <c r="N577" s="85">
        <v>26670062</v>
      </c>
      <c r="O577" s="85" t="s">
        <v>8639</v>
      </c>
      <c r="P577" s="85" t="s">
        <v>8640</v>
      </c>
      <c r="Q577" s="293">
        <v>45001</v>
      </c>
      <c r="R577" s="293">
        <v>45001</v>
      </c>
      <c r="S577" s="293">
        <v>45084</v>
      </c>
      <c r="T577" s="293"/>
      <c r="U577" s="293"/>
      <c r="V577" s="293"/>
      <c r="W577" s="294">
        <v>45107</v>
      </c>
      <c r="X577" s="237">
        <v>22400000</v>
      </c>
      <c r="Y577" s="295">
        <f t="shared" si="25"/>
        <v>0</v>
      </c>
      <c r="Z577" s="296">
        <f t="shared" si="26"/>
        <v>1</v>
      </c>
      <c r="AA577" s="85">
        <v>84452087</v>
      </c>
      <c r="AB577" s="85" t="s">
        <v>6601</v>
      </c>
      <c r="AC577" s="290" t="s">
        <v>196</v>
      </c>
      <c r="AD577" s="290" t="s">
        <v>196</v>
      </c>
      <c r="AE577" s="236"/>
      <c r="AF577" s="85" t="s">
        <v>8641</v>
      </c>
      <c r="AG577" s="290" t="s">
        <v>192</v>
      </c>
      <c r="AH577" s="290" t="s">
        <v>192</v>
      </c>
    </row>
    <row r="578" spans="1:34" s="297" customFormat="1" ht="15" customHeight="1" x14ac:dyDescent="0.25">
      <c r="A578" s="289">
        <v>891780111</v>
      </c>
      <c r="B578" s="289" t="s">
        <v>54</v>
      </c>
      <c r="C578" s="290" t="s">
        <v>56</v>
      </c>
      <c r="D578" s="289" t="s">
        <v>60</v>
      </c>
      <c r="E578" s="290" t="s">
        <v>8642</v>
      </c>
      <c r="F578" s="289" t="s">
        <v>61</v>
      </c>
      <c r="G578" s="85" t="s">
        <v>63</v>
      </c>
      <c r="H578" s="85" t="s">
        <v>73</v>
      </c>
      <c r="I578" s="237">
        <v>7933000</v>
      </c>
      <c r="J578" s="290">
        <v>1</v>
      </c>
      <c r="K578" s="291">
        <v>2147000</v>
      </c>
      <c r="L578" s="291"/>
      <c r="M578" s="292">
        <f t="shared" si="24"/>
        <v>10080000</v>
      </c>
      <c r="N578" s="85">
        <v>57444678</v>
      </c>
      <c r="O578" s="85" t="s">
        <v>8643</v>
      </c>
      <c r="P578" s="85" t="s">
        <v>8644</v>
      </c>
      <c r="Q578" s="293">
        <v>45001</v>
      </c>
      <c r="R578" s="293">
        <v>45001</v>
      </c>
      <c r="S578" s="293">
        <v>45084</v>
      </c>
      <c r="T578" s="293"/>
      <c r="U578" s="293"/>
      <c r="V578" s="293"/>
      <c r="W578" s="294">
        <v>45107</v>
      </c>
      <c r="X578" s="237">
        <v>10080000</v>
      </c>
      <c r="Y578" s="295">
        <f t="shared" si="25"/>
        <v>0</v>
      </c>
      <c r="Z578" s="296">
        <f t="shared" si="26"/>
        <v>1</v>
      </c>
      <c r="AA578" s="85">
        <v>32770239</v>
      </c>
      <c r="AB578" s="85" t="s">
        <v>2135</v>
      </c>
      <c r="AC578" s="290" t="s">
        <v>196</v>
      </c>
      <c r="AD578" s="290" t="s">
        <v>196</v>
      </c>
      <c r="AE578" s="236"/>
      <c r="AF578" s="85" t="s">
        <v>8645</v>
      </c>
      <c r="AG578" s="290" t="s">
        <v>192</v>
      </c>
      <c r="AH578" s="290" t="s">
        <v>192</v>
      </c>
    </row>
    <row r="579" spans="1:34" s="297" customFormat="1" ht="15" customHeight="1" x14ac:dyDescent="0.25">
      <c r="A579" s="289">
        <v>891780111</v>
      </c>
      <c r="B579" s="289" t="s">
        <v>54</v>
      </c>
      <c r="C579" s="290" t="s">
        <v>56</v>
      </c>
      <c r="D579" s="289" t="s">
        <v>60</v>
      </c>
      <c r="E579" s="290" t="s">
        <v>8646</v>
      </c>
      <c r="F579" s="289" t="s">
        <v>61</v>
      </c>
      <c r="G579" s="85" t="s">
        <v>63</v>
      </c>
      <c r="H579" s="85" t="s">
        <v>73</v>
      </c>
      <c r="I579" s="237">
        <v>7113000</v>
      </c>
      <c r="J579" s="290"/>
      <c r="K579" s="291"/>
      <c r="L579" s="291"/>
      <c r="M579" s="292">
        <f t="shared" si="24"/>
        <v>7113000</v>
      </c>
      <c r="N579" s="85">
        <v>39016494</v>
      </c>
      <c r="O579" s="85" t="s">
        <v>8647</v>
      </c>
      <c r="P579" s="85" t="s">
        <v>7861</v>
      </c>
      <c r="Q579" s="293">
        <v>45001</v>
      </c>
      <c r="R579" s="293">
        <v>45001</v>
      </c>
      <c r="S579" s="293">
        <v>45084</v>
      </c>
      <c r="T579" s="293"/>
      <c r="U579" s="293"/>
      <c r="V579" s="293"/>
      <c r="W579" s="294"/>
      <c r="X579" s="237">
        <v>7113000</v>
      </c>
      <c r="Y579" s="295">
        <f t="shared" si="25"/>
        <v>0</v>
      </c>
      <c r="Z579" s="296">
        <f t="shared" si="26"/>
        <v>1</v>
      </c>
      <c r="AA579" s="85">
        <v>85152695</v>
      </c>
      <c r="AB579" s="85" t="s">
        <v>6984</v>
      </c>
      <c r="AC579" s="290" t="s">
        <v>196</v>
      </c>
      <c r="AD579" s="290" t="s">
        <v>196</v>
      </c>
      <c r="AE579" s="236"/>
      <c r="AF579" s="85" t="s">
        <v>8648</v>
      </c>
      <c r="AG579" s="290" t="s">
        <v>192</v>
      </c>
      <c r="AH579" s="290" t="s">
        <v>192</v>
      </c>
    </row>
    <row r="580" spans="1:34" s="297" customFormat="1" ht="15" customHeight="1" x14ac:dyDescent="0.25">
      <c r="A580" s="289">
        <v>891780111</v>
      </c>
      <c r="B580" s="289" t="s">
        <v>54</v>
      </c>
      <c r="C580" s="290" t="s">
        <v>56</v>
      </c>
      <c r="D580" s="289" t="s">
        <v>60</v>
      </c>
      <c r="E580" s="290" t="s">
        <v>8649</v>
      </c>
      <c r="F580" s="289" t="s">
        <v>61</v>
      </c>
      <c r="G580" s="85" t="s">
        <v>63</v>
      </c>
      <c r="H580" s="85" t="s">
        <v>73</v>
      </c>
      <c r="I580" s="237">
        <v>7933000</v>
      </c>
      <c r="J580" s="290"/>
      <c r="K580" s="291"/>
      <c r="L580" s="291"/>
      <c r="M580" s="292">
        <f t="shared" si="24"/>
        <v>7933000</v>
      </c>
      <c r="N580" s="85">
        <v>1081907898</v>
      </c>
      <c r="O580" s="85" t="s">
        <v>8650</v>
      </c>
      <c r="P580" s="85" t="s">
        <v>8651</v>
      </c>
      <c r="Q580" s="293">
        <v>45001</v>
      </c>
      <c r="R580" s="293">
        <v>45001</v>
      </c>
      <c r="S580" s="293">
        <v>45084</v>
      </c>
      <c r="T580" s="293"/>
      <c r="U580" s="293"/>
      <c r="V580" s="293"/>
      <c r="W580" s="294"/>
      <c r="X580" s="237">
        <v>7933000</v>
      </c>
      <c r="Y580" s="295">
        <f t="shared" si="25"/>
        <v>0</v>
      </c>
      <c r="Z580" s="296">
        <f t="shared" si="26"/>
        <v>1</v>
      </c>
      <c r="AA580" s="85">
        <v>1082943047</v>
      </c>
      <c r="AB580" s="85" t="s">
        <v>169</v>
      </c>
      <c r="AC580" s="290" t="s">
        <v>196</v>
      </c>
      <c r="AD580" s="290" t="s">
        <v>196</v>
      </c>
      <c r="AE580" s="236"/>
      <c r="AF580" s="85" t="s">
        <v>8652</v>
      </c>
      <c r="AG580" s="290" t="s">
        <v>192</v>
      </c>
      <c r="AH580" s="290" t="s">
        <v>192</v>
      </c>
    </row>
    <row r="581" spans="1:34" s="297" customFormat="1" ht="15" customHeight="1" x14ac:dyDescent="0.25">
      <c r="A581" s="289">
        <v>891780111</v>
      </c>
      <c r="B581" s="289" t="s">
        <v>54</v>
      </c>
      <c r="C581" s="290" t="s">
        <v>56</v>
      </c>
      <c r="D581" s="289" t="s">
        <v>60</v>
      </c>
      <c r="E581" s="290" t="s">
        <v>8653</v>
      </c>
      <c r="F581" s="289" t="s">
        <v>61</v>
      </c>
      <c r="G581" s="85" t="s">
        <v>63</v>
      </c>
      <c r="H581" s="85" t="s">
        <v>73</v>
      </c>
      <c r="I581" s="237">
        <v>7933000</v>
      </c>
      <c r="J581" s="290"/>
      <c r="K581" s="291"/>
      <c r="L581" s="291"/>
      <c r="M581" s="292">
        <f t="shared" ref="M581:M644" si="27">I581+K581-L581</f>
        <v>7933000</v>
      </c>
      <c r="N581" s="85">
        <v>1221970531</v>
      </c>
      <c r="O581" s="85" t="s">
        <v>8654</v>
      </c>
      <c r="P581" s="85" t="s">
        <v>8655</v>
      </c>
      <c r="Q581" s="293">
        <v>45001</v>
      </c>
      <c r="R581" s="293">
        <v>45001</v>
      </c>
      <c r="S581" s="293">
        <v>45084</v>
      </c>
      <c r="T581" s="293"/>
      <c r="U581" s="293"/>
      <c r="V581" s="293"/>
      <c r="W581" s="294"/>
      <c r="X581" s="237">
        <v>7933000</v>
      </c>
      <c r="Y581" s="295">
        <f t="shared" ref="Y581:Y644" si="28">M581-X581</f>
        <v>0</v>
      </c>
      <c r="Z581" s="296">
        <f t="shared" ref="Z581:Z644" si="29">+(X581/M581)</f>
        <v>1</v>
      </c>
      <c r="AA581" s="85">
        <v>1082943047</v>
      </c>
      <c r="AB581" s="85" t="s">
        <v>169</v>
      </c>
      <c r="AC581" s="290" t="s">
        <v>196</v>
      </c>
      <c r="AD581" s="290" t="s">
        <v>196</v>
      </c>
      <c r="AE581" s="236"/>
      <c r="AF581" s="85" t="s">
        <v>8656</v>
      </c>
      <c r="AG581" s="290" t="s">
        <v>192</v>
      </c>
      <c r="AH581" s="290" t="s">
        <v>192</v>
      </c>
    </row>
    <row r="582" spans="1:34" s="297" customFormat="1" ht="15" customHeight="1" x14ac:dyDescent="0.25">
      <c r="A582" s="289">
        <v>891780111</v>
      </c>
      <c r="B582" s="289" t="s">
        <v>54</v>
      </c>
      <c r="C582" s="290" t="s">
        <v>56</v>
      </c>
      <c r="D582" s="289" t="s">
        <v>60</v>
      </c>
      <c r="E582" s="290" t="s">
        <v>8657</v>
      </c>
      <c r="F582" s="289" t="s">
        <v>61</v>
      </c>
      <c r="G582" s="85" t="s">
        <v>63</v>
      </c>
      <c r="H582" s="85" t="s">
        <v>73</v>
      </c>
      <c r="I582" s="237">
        <v>7653000</v>
      </c>
      <c r="J582" s="290">
        <v>1</v>
      </c>
      <c r="K582" s="291">
        <v>2147000</v>
      </c>
      <c r="L582" s="291"/>
      <c r="M582" s="292">
        <f t="shared" si="27"/>
        <v>9800000</v>
      </c>
      <c r="N582" s="85">
        <v>57466453</v>
      </c>
      <c r="O582" s="85" t="s">
        <v>7783</v>
      </c>
      <c r="P582" s="85" t="s">
        <v>8658</v>
      </c>
      <c r="Q582" s="293">
        <v>45002</v>
      </c>
      <c r="R582" s="293">
        <v>45002</v>
      </c>
      <c r="S582" s="293">
        <v>45084</v>
      </c>
      <c r="T582" s="293"/>
      <c r="U582" s="293"/>
      <c r="V582" s="293"/>
      <c r="W582" s="294">
        <v>45107</v>
      </c>
      <c r="X582" s="237">
        <v>7000000</v>
      </c>
      <c r="Y582" s="295">
        <f t="shared" si="28"/>
        <v>2800000</v>
      </c>
      <c r="Z582" s="296">
        <f t="shared" si="29"/>
        <v>0.7142857142857143</v>
      </c>
      <c r="AA582" s="85">
        <v>36557666</v>
      </c>
      <c r="AB582" s="85" t="s">
        <v>6916</v>
      </c>
      <c r="AC582" s="290" t="s">
        <v>196</v>
      </c>
      <c r="AD582" s="290" t="s">
        <v>196</v>
      </c>
      <c r="AE582" s="236"/>
      <c r="AF582" s="85" t="s">
        <v>8659</v>
      </c>
      <c r="AG582" s="290" t="s">
        <v>192</v>
      </c>
      <c r="AH582" s="290" t="s">
        <v>192</v>
      </c>
    </row>
    <row r="583" spans="1:34" s="297" customFormat="1" ht="15" customHeight="1" x14ac:dyDescent="0.25">
      <c r="A583" s="289">
        <v>891780111</v>
      </c>
      <c r="B583" s="289" t="s">
        <v>54</v>
      </c>
      <c r="C583" s="290" t="s">
        <v>56</v>
      </c>
      <c r="D583" s="289" t="s">
        <v>60</v>
      </c>
      <c r="E583" s="290" t="s">
        <v>8660</v>
      </c>
      <c r="F583" s="289" t="s">
        <v>61</v>
      </c>
      <c r="G583" s="85" t="s">
        <v>63</v>
      </c>
      <c r="H583" s="85" t="s">
        <v>73</v>
      </c>
      <c r="I583" s="237">
        <v>7933000</v>
      </c>
      <c r="J583" s="290">
        <v>1</v>
      </c>
      <c r="K583" s="291">
        <v>2147000</v>
      </c>
      <c r="L583" s="291"/>
      <c r="M583" s="292">
        <f t="shared" si="27"/>
        <v>10080000</v>
      </c>
      <c r="N583" s="85">
        <v>1085230612</v>
      </c>
      <c r="O583" s="85" t="s">
        <v>8661</v>
      </c>
      <c r="P583" s="85" t="s">
        <v>8655</v>
      </c>
      <c r="Q583" s="293">
        <v>45002</v>
      </c>
      <c r="R583" s="293">
        <v>45002</v>
      </c>
      <c r="S583" s="293">
        <v>45084</v>
      </c>
      <c r="T583" s="293"/>
      <c r="U583" s="293"/>
      <c r="V583" s="293"/>
      <c r="W583" s="294">
        <v>45107</v>
      </c>
      <c r="X583" s="237">
        <v>10080000</v>
      </c>
      <c r="Y583" s="295">
        <f t="shared" si="28"/>
        <v>0</v>
      </c>
      <c r="Z583" s="296">
        <f t="shared" si="29"/>
        <v>1</v>
      </c>
      <c r="AA583" s="85">
        <v>57290542</v>
      </c>
      <c r="AB583" s="85" t="s">
        <v>2018</v>
      </c>
      <c r="AC583" s="290" t="s">
        <v>196</v>
      </c>
      <c r="AD583" s="290" t="s">
        <v>196</v>
      </c>
      <c r="AE583" s="236"/>
      <c r="AF583" s="85" t="s">
        <v>8662</v>
      </c>
      <c r="AG583" s="290" t="s">
        <v>192</v>
      </c>
      <c r="AH583" s="290" t="s">
        <v>192</v>
      </c>
    </row>
    <row r="584" spans="1:34" s="297" customFormat="1" ht="15" customHeight="1" x14ac:dyDescent="0.25">
      <c r="A584" s="289">
        <v>891780111</v>
      </c>
      <c r="B584" s="289" t="s">
        <v>54</v>
      </c>
      <c r="C584" s="290" t="s">
        <v>56</v>
      </c>
      <c r="D584" s="289" t="s">
        <v>60</v>
      </c>
      <c r="E584" s="290" t="s">
        <v>8663</v>
      </c>
      <c r="F584" s="289" t="s">
        <v>61</v>
      </c>
      <c r="G584" s="85" t="s">
        <v>63</v>
      </c>
      <c r="H584" s="85" t="s">
        <v>73</v>
      </c>
      <c r="I584" s="237">
        <v>8473000</v>
      </c>
      <c r="J584" s="290">
        <v>1</v>
      </c>
      <c r="K584" s="291">
        <v>2377000</v>
      </c>
      <c r="L584" s="291"/>
      <c r="M584" s="292">
        <f t="shared" si="27"/>
        <v>10850000</v>
      </c>
      <c r="N584" s="85">
        <v>57442581</v>
      </c>
      <c r="O584" s="85" t="s">
        <v>8664</v>
      </c>
      <c r="P584" s="85" t="s">
        <v>8665</v>
      </c>
      <c r="Q584" s="293">
        <v>45006</v>
      </c>
      <c r="R584" s="293">
        <v>45006</v>
      </c>
      <c r="S584" s="293">
        <v>45084</v>
      </c>
      <c r="T584" s="293"/>
      <c r="U584" s="293"/>
      <c r="V584" s="293"/>
      <c r="W584" s="294">
        <v>45107</v>
      </c>
      <c r="X584" s="237">
        <v>10850000</v>
      </c>
      <c r="Y584" s="295">
        <f t="shared" si="28"/>
        <v>0</v>
      </c>
      <c r="Z584" s="296">
        <f t="shared" si="29"/>
        <v>1</v>
      </c>
      <c r="AA584" s="85">
        <v>93400727</v>
      </c>
      <c r="AB584" s="85" t="s">
        <v>6418</v>
      </c>
      <c r="AC584" s="290" t="s">
        <v>196</v>
      </c>
      <c r="AD584" s="290" t="s">
        <v>196</v>
      </c>
      <c r="AE584" s="236"/>
      <c r="AF584" s="85" t="s">
        <v>8666</v>
      </c>
      <c r="AG584" s="290" t="s">
        <v>192</v>
      </c>
      <c r="AH584" s="290" t="s">
        <v>192</v>
      </c>
    </row>
    <row r="585" spans="1:34" s="297" customFormat="1" ht="15" customHeight="1" x14ac:dyDescent="0.25">
      <c r="A585" s="289">
        <v>891780111</v>
      </c>
      <c r="B585" s="289" t="s">
        <v>54</v>
      </c>
      <c r="C585" s="290" t="s">
        <v>56</v>
      </c>
      <c r="D585" s="289" t="s">
        <v>60</v>
      </c>
      <c r="E585" s="290" t="s">
        <v>8667</v>
      </c>
      <c r="F585" s="289" t="s">
        <v>61</v>
      </c>
      <c r="G585" s="85" t="s">
        <v>63</v>
      </c>
      <c r="H585" s="85" t="s">
        <v>73</v>
      </c>
      <c r="I585" s="237">
        <v>8213000</v>
      </c>
      <c r="J585" s="290">
        <v>1</v>
      </c>
      <c r="K585" s="291">
        <v>2147000</v>
      </c>
      <c r="L585" s="291"/>
      <c r="M585" s="292">
        <f t="shared" si="27"/>
        <v>10360000</v>
      </c>
      <c r="N585" s="85">
        <v>39143698</v>
      </c>
      <c r="O585" s="85" t="s">
        <v>8668</v>
      </c>
      <c r="P585" s="85" t="s">
        <v>8669</v>
      </c>
      <c r="Q585" s="293">
        <v>45008</v>
      </c>
      <c r="R585" s="293">
        <v>45008</v>
      </c>
      <c r="S585" s="293">
        <v>45084</v>
      </c>
      <c r="T585" s="293"/>
      <c r="U585" s="293"/>
      <c r="V585" s="293"/>
      <c r="W585" s="294">
        <v>45107</v>
      </c>
      <c r="X585" s="237">
        <v>10360000</v>
      </c>
      <c r="Y585" s="295">
        <f t="shared" si="28"/>
        <v>0</v>
      </c>
      <c r="Z585" s="296">
        <f t="shared" si="29"/>
        <v>1</v>
      </c>
      <c r="AA585" s="85">
        <v>30766322</v>
      </c>
      <c r="AB585" s="85" t="s">
        <v>7598</v>
      </c>
      <c r="AC585" s="290" t="s">
        <v>196</v>
      </c>
      <c r="AD585" s="290" t="s">
        <v>196</v>
      </c>
      <c r="AE585" s="236"/>
      <c r="AF585" s="85" t="s">
        <v>8670</v>
      </c>
      <c r="AG585" s="290" t="s">
        <v>192</v>
      </c>
      <c r="AH585" s="290" t="s">
        <v>192</v>
      </c>
    </row>
    <row r="586" spans="1:34" s="297" customFormat="1" ht="15" customHeight="1" x14ac:dyDescent="0.25">
      <c r="A586" s="289">
        <v>891780111</v>
      </c>
      <c r="B586" s="289" t="s">
        <v>54</v>
      </c>
      <c r="C586" s="290" t="s">
        <v>56</v>
      </c>
      <c r="D586" s="289" t="s">
        <v>60</v>
      </c>
      <c r="E586" s="290" t="s">
        <v>8671</v>
      </c>
      <c r="F586" s="289" t="s">
        <v>61</v>
      </c>
      <c r="G586" s="85" t="s">
        <v>63</v>
      </c>
      <c r="H586" s="85" t="s">
        <v>73</v>
      </c>
      <c r="I586" s="237">
        <v>5193000</v>
      </c>
      <c r="J586" s="290">
        <v>1</v>
      </c>
      <c r="K586" s="291">
        <v>1457000</v>
      </c>
      <c r="L586" s="291"/>
      <c r="M586" s="292">
        <f t="shared" si="27"/>
        <v>6650000</v>
      </c>
      <c r="N586" s="85">
        <v>1065134989</v>
      </c>
      <c r="O586" s="85" t="s">
        <v>8672</v>
      </c>
      <c r="P586" s="85" t="s">
        <v>8673</v>
      </c>
      <c r="Q586" s="293">
        <v>45009</v>
      </c>
      <c r="R586" s="293">
        <v>45009</v>
      </c>
      <c r="S586" s="293">
        <v>45084</v>
      </c>
      <c r="T586" s="293"/>
      <c r="U586" s="293"/>
      <c r="V586" s="293"/>
      <c r="W586" s="294">
        <v>45107</v>
      </c>
      <c r="X586" s="237">
        <v>5700000</v>
      </c>
      <c r="Y586" s="295">
        <f t="shared" si="28"/>
        <v>950000</v>
      </c>
      <c r="Z586" s="296">
        <f t="shared" si="29"/>
        <v>0.8571428571428571</v>
      </c>
      <c r="AA586" s="85">
        <v>2536172</v>
      </c>
      <c r="AB586" s="85" t="s">
        <v>8674</v>
      </c>
      <c r="AC586" s="290" t="s">
        <v>196</v>
      </c>
      <c r="AD586" s="290" t="s">
        <v>196</v>
      </c>
      <c r="AE586" s="236"/>
      <c r="AF586" s="85" t="s">
        <v>8675</v>
      </c>
      <c r="AG586" s="290" t="s">
        <v>192</v>
      </c>
      <c r="AH586" s="290" t="s">
        <v>192</v>
      </c>
    </row>
    <row r="587" spans="1:34" s="297" customFormat="1" ht="15" customHeight="1" x14ac:dyDescent="0.25">
      <c r="A587" s="289">
        <v>891780111</v>
      </c>
      <c r="B587" s="289" t="s">
        <v>54</v>
      </c>
      <c r="C587" s="290" t="s">
        <v>56</v>
      </c>
      <c r="D587" s="289" t="s">
        <v>60</v>
      </c>
      <c r="E587" s="290" t="s">
        <v>8676</v>
      </c>
      <c r="F587" s="289" t="s">
        <v>61</v>
      </c>
      <c r="G587" s="85" t="s">
        <v>63</v>
      </c>
      <c r="H587" s="85" t="s">
        <v>73</v>
      </c>
      <c r="I587" s="237">
        <v>8473000</v>
      </c>
      <c r="J587" s="290">
        <v>1</v>
      </c>
      <c r="K587" s="291">
        <v>2377000</v>
      </c>
      <c r="L587" s="291"/>
      <c r="M587" s="292">
        <f t="shared" si="27"/>
        <v>10850000</v>
      </c>
      <c r="N587" s="85">
        <v>17805883</v>
      </c>
      <c r="O587" s="85" t="s">
        <v>8677</v>
      </c>
      <c r="P587" s="85" t="s">
        <v>8678</v>
      </c>
      <c r="Q587" s="293">
        <v>45009</v>
      </c>
      <c r="R587" s="293">
        <v>45009</v>
      </c>
      <c r="S587" s="293">
        <v>45084</v>
      </c>
      <c r="T587" s="293"/>
      <c r="U587" s="293"/>
      <c r="V587" s="293"/>
      <c r="W587" s="294">
        <v>45107</v>
      </c>
      <c r="X587" s="237">
        <v>10850000</v>
      </c>
      <c r="Y587" s="295">
        <f t="shared" si="28"/>
        <v>0</v>
      </c>
      <c r="Z587" s="296">
        <f t="shared" si="29"/>
        <v>1</v>
      </c>
      <c r="AA587" s="85">
        <v>85449357</v>
      </c>
      <c r="AB587" s="85" t="s">
        <v>6553</v>
      </c>
      <c r="AC587" s="290" t="s">
        <v>196</v>
      </c>
      <c r="AD587" s="290" t="s">
        <v>196</v>
      </c>
      <c r="AE587" s="236"/>
      <c r="AF587" s="85" t="s">
        <v>8679</v>
      </c>
      <c r="AG587" s="290" t="s">
        <v>192</v>
      </c>
      <c r="AH587" s="290" t="s">
        <v>192</v>
      </c>
    </row>
    <row r="588" spans="1:34" s="297" customFormat="1" ht="15" customHeight="1" x14ac:dyDescent="0.25">
      <c r="A588" s="289">
        <v>891780111</v>
      </c>
      <c r="B588" s="289" t="s">
        <v>54</v>
      </c>
      <c r="C588" s="290" t="s">
        <v>57</v>
      </c>
      <c r="D588" s="289" t="s">
        <v>60</v>
      </c>
      <c r="E588" s="290" t="s">
        <v>8680</v>
      </c>
      <c r="F588" s="289" t="s">
        <v>61</v>
      </c>
      <c r="G588" s="85" t="s">
        <v>63</v>
      </c>
      <c r="H588" s="85" t="s">
        <v>73</v>
      </c>
      <c r="I588" s="237">
        <v>14393000</v>
      </c>
      <c r="J588" s="290">
        <v>1</v>
      </c>
      <c r="K588" s="291">
        <v>2607000</v>
      </c>
      <c r="L588" s="291"/>
      <c r="M588" s="292">
        <f t="shared" si="27"/>
        <v>17000000</v>
      </c>
      <c r="N588" s="85">
        <v>7600549</v>
      </c>
      <c r="O588" s="85" t="s">
        <v>8681</v>
      </c>
      <c r="P588" s="85" t="s">
        <v>8682</v>
      </c>
      <c r="Q588" s="293">
        <v>45012</v>
      </c>
      <c r="R588" s="293">
        <v>45012</v>
      </c>
      <c r="S588" s="293">
        <v>45084</v>
      </c>
      <c r="T588" s="293"/>
      <c r="U588" s="293"/>
      <c r="V588" s="293"/>
      <c r="W588" s="294">
        <v>45107</v>
      </c>
      <c r="X588" s="237">
        <v>10200000</v>
      </c>
      <c r="Y588" s="295">
        <f t="shared" si="28"/>
        <v>6800000</v>
      </c>
      <c r="Z588" s="296">
        <f t="shared" si="29"/>
        <v>0.6</v>
      </c>
      <c r="AA588" s="85">
        <v>72175281</v>
      </c>
      <c r="AB588" s="85" t="s">
        <v>6507</v>
      </c>
      <c r="AC588" s="290" t="s">
        <v>196</v>
      </c>
      <c r="AD588" s="290" t="s">
        <v>196</v>
      </c>
      <c r="AE588" s="236"/>
      <c r="AF588" s="85" t="s">
        <v>8683</v>
      </c>
      <c r="AG588" s="290" t="s">
        <v>192</v>
      </c>
      <c r="AH588" s="290" t="s">
        <v>192</v>
      </c>
    </row>
    <row r="589" spans="1:34" s="297" customFormat="1" ht="15" customHeight="1" x14ac:dyDescent="0.2">
      <c r="A589" s="289">
        <v>891780111</v>
      </c>
      <c r="B589" s="289" t="s">
        <v>54</v>
      </c>
      <c r="C589" s="290" t="s">
        <v>57</v>
      </c>
      <c r="D589" s="289" t="s">
        <v>60</v>
      </c>
      <c r="E589" s="290" t="s">
        <v>8684</v>
      </c>
      <c r="F589" s="289" t="s">
        <v>61</v>
      </c>
      <c r="G589" s="85" t="s">
        <v>63</v>
      </c>
      <c r="H589" s="85" t="s">
        <v>73</v>
      </c>
      <c r="I589" s="237">
        <v>5667000</v>
      </c>
      <c r="J589" s="290"/>
      <c r="K589" s="291"/>
      <c r="L589" s="291"/>
      <c r="M589" s="292">
        <f t="shared" si="27"/>
        <v>5667000</v>
      </c>
      <c r="N589" s="85">
        <v>1193329492</v>
      </c>
      <c r="O589" s="85" t="s">
        <v>8685</v>
      </c>
      <c r="P589" s="85" t="s">
        <v>8686</v>
      </c>
      <c r="Q589" s="293">
        <v>45016</v>
      </c>
      <c r="R589" s="293">
        <v>45026</v>
      </c>
      <c r="S589" s="293">
        <v>45084</v>
      </c>
      <c r="T589" s="293"/>
      <c r="U589" s="293"/>
      <c r="V589" s="293"/>
      <c r="W589" s="294"/>
      <c r="X589" s="237">
        <v>5667000</v>
      </c>
      <c r="Y589" s="295">
        <f t="shared" si="28"/>
        <v>0</v>
      </c>
      <c r="Z589" s="296">
        <f t="shared" si="29"/>
        <v>1</v>
      </c>
      <c r="AA589" s="85">
        <v>1082868728</v>
      </c>
      <c r="AB589" s="85" t="s">
        <v>6010</v>
      </c>
      <c r="AC589" s="290" t="s">
        <v>196</v>
      </c>
      <c r="AD589" s="290" t="s">
        <v>196</v>
      </c>
      <c r="AE589" s="236"/>
      <c r="AF589" s="298" t="s">
        <v>8687</v>
      </c>
      <c r="AG589" s="290" t="s">
        <v>192</v>
      </c>
      <c r="AH589" s="290" t="s">
        <v>192</v>
      </c>
    </row>
    <row r="590" spans="1:34" s="297" customFormat="1" ht="15" customHeight="1" x14ac:dyDescent="0.2">
      <c r="A590" s="289">
        <v>891780111</v>
      </c>
      <c r="B590" s="289" t="s">
        <v>54</v>
      </c>
      <c r="C590" s="290" t="s">
        <v>56</v>
      </c>
      <c r="D590" s="289" t="s">
        <v>60</v>
      </c>
      <c r="E590" s="290" t="s">
        <v>8688</v>
      </c>
      <c r="F590" s="289" t="s">
        <v>61</v>
      </c>
      <c r="G590" s="85" t="s">
        <v>63</v>
      </c>
      <c r="H590" s="85" t="s">
        <v>73</v>
      </c>
      <c r="I590" s="237">
        <v>6253000</v>
      </c>
      <c r="J590" s="290">
        <v>1</v>
      </c>
      <c r="K590" s="291">
        <v>2147000</v>
      </c>
      <c r="L590" s="291"/>
      <c r="M590" s="292">
        <f t="shared" si="27"/>
        <v>8400000</v>
      </c>
      <c r="N590" s="85">
        <v>1082952750</v>
      </c>
      <c r="O590" s="85" t="s">
        <v>8689</v>
      </c>
      <c r="P590" s="85" t="s">
        <v>8690</v>
      </c>
      <c r="Q590" s="293">
        <v>45016</v>
      </c>
      <c r="R590" s="293">
        <v>45026</v>
      </c>
      <c r="S590" s="293">
        <v>45084</v>
      </c>
      <c r="T590" s="293"/>
      <c r="U590" s="293"/>
      <c r="V590" s="293"/>
      <c r="W590" s="294">
        <v>45107</v>
      </c>
      <c r="X590" s="237">
        <v>5600000</v>
      </c>
      <c r="Y590" s="295">
        <f t="shared" si="28"/>
        <v>2800000</v>
      </c>
      <c r="Z590" s="296">
        <f t="shared" si="29"/>
        <v>0.66666666666666663</v>
      </c>
      <c r="AA590" s="85">
        <v>36557666</v>
      </c>
      <c r="AB590" s="85" t="s">
        <v>6916</v>
      </c>
      <c r="AC590" s="290" t="s">
        <v>196</v>
      </c>
      <c r="AD590" s="290" t="s">
        <v>196</v>
      </c>
      <c r="AE590" s="236"/>
      <c r="AF590" s="298" t="s">
        <v>8691</v>
      </c>
      <c r="AG590" s="290" t="s">
        <v>192</v>
      </c>
      <c r="AH590" s="290" t="s">
        <v>192</v>
      </c>
    </row>
    <row r="591" spans="1:34" s="297" customFormat="1" ht="15" customHeight="1" x14ac:dyDescent="0.2">
      <c r="A591" s="289">
        <v>891780111</v>
      </c>
      <c r="B591" s="289" t="s">
        <v>54</v>
      </c>
      <c r="C591" s="290" t="s">
        <v>56</v>
      </c>
      <c r="D591" s="289" t="s">
        <v>60</v>
      </c>
      <c r="E591" s="290" t="s">
        <v>8692</v>
      </c>
      <c r="F591" s="289" t="s">
        <v>61</v>
      </c>
      <c r="G591" s="85" t="s">
        <v>63</v>
      </c>
      <c r="H591" s="85" t="s">
        <v>73</v>
      </c>
      <c r="I591" s="237">
        <v>13400000</v>
      </c>
      <c r="J591" s="290">
        <v>1</v>
      </c>
      <c r="K591" s="291">
        <v>4600000</v>
      </c>
      <c r="L591" s="291"/>
      <c r="M591" s="292">
        <f t="shared" si="27"/>
        <v>18000000</v>
      </c>
      <c r="N591" s="85">
        <v>1045698561</v>
      </c>
      <c r="O591" s="85" t="s">
        <v>8693</v>
      </c>
      <c r="P591" s="85" t="s">
        <v>8694</v>
      </c>
      <c r="Q591" s="293">
        <v>45016</v>
      </c>
      <c r="R591" s="293">
        <v>45026</v>
      </c>
      <c r="S591" s="293">
        <v>45084</v>
      </c>
      <c r="T591" s="293"/>
      <c r="U591" s="293"/>
      <c r="V591" s="293"/>
      <c r="W591" s="294">
        <v>45107</v>
      </c>
      <c r="X591" s="237">
        <v>6000000</v>
      </c>
      <c r="Y591" s="295">
        <f t="shared" si="28"/>
        <v>12000000</v>
      </c>
      <c r="Z591" s="296">
        <f t="shared" si="29"/>
        <v>0.33333333333333331</v>
      </c>
      <c r="AA591" s="85">
        <v>12621405</v>
      </c>
      <c r="AB591" s="85" t="s">
        <v>8695</v>
      </c>
      <c r="AC591" s="290" t="s">
        <v>196</v>
      </c>
      <c r="AD591" s="290" t="s">
        <v>196</v>
      </c>
      <c r="AE591" s="236"/>
      <c r="AF591" s="298" t="s">
        <v>8696</v>
      </c>
      <c r="AG591" s="290" t="s">
        <v>192</v>
      </c>
      <c r="AH591" s="290" t="s">
        <v>192</v>
      </c>
    </row>
    <row r="592" spans="1:34" s="297" customFormat="1" ht="15" customHeight="1" x14ac:dyDescent="0.2">
      <c r="A592" s="289">
        <v>891780111</v>
      </c>
      <c r="B592" s="289" t="s">
        <v>54</v>
      </c>
      <c r="C592" s="290" t="s">
        <v>56</v>
      </c>
      <c r="D592" s="289" t="s">
        <v>60</v>
      </c>
      <c r="E592" s="299" t="s">
        <v>8697</v>
      </c>
      <c r="F592" s="289" t="s">
        <v>61</v>
      </c>
      <c r="G592" s="85" t="s">
        <v>63</v>
      </c>
      <c r="H592" s="85" t="s">
        <v>73</v>
      </c>
      <c r="I592" s="300">
        <v>6253000</v>
      </c>
      <c r="J592" s="299">
        <v>1</v>
      </c>
      <c r="K592" s="301">
        <v>2147000</v>
      </c>
      <c r="L592" s="301"/>
      <c r="M592" s="292">
        <f t="shared" si="27"/>
        <v>8400000</v>
      </c>
      <c r="N592" s="302">
        <v>1082999140</v>
      </c>
      <c r="O592" s="302" t="s">
        <v>8698</v>
      </c>
      <c r="P592" s="302" t="s">
        <v>8699</v>
      </c>
      <c r="Q592" s="293">
        <v>45030</v>
      </c>
      <c r="R592" s="293">
        <v>45030</v>
      </c>
      <c r="S592" s="293">
        <v>45084</v>
      </c>
      <c r="T592" s="293"/>
      <c r="U592" s="293"/>
      <c r="V592" s="293"/>
      <c r="W592" s="294">
        <v>45107</v>
      </c>
      <c r="X592" s="237">
        <v>5600000</v>
      </c>
      <c r="Y592" s="295">
        <f t="shared" si="28"/>
        <v>2800000</v>
      </c>
      <c r="Z592" s="296">
        <f t="shared" si="29"/>
        <v>0.66666666666666663</v>
      </c>
      <c r="AA592" s="85">
        <v>15443332</v>
      </c>
      <c r="AB592" s="85" t="s">
        <v>5907</v>
      </c>
      <c r="AC592" s="290" t="s">
        <v>196</v>
      </c>
      <c r="AD592" s="290" t="s">
        <v>196</v>
      </c>
      <c r="AE592" s="303"/>
      <c r="AF592" s="298" t="s">
        <v>8700</v>
      </c>
      <c r="AG592" s="290" t="s">
        <v>192</v>
      </c>
      <c r="AH592" s="290" t="s">
        <v>192</v>
      </c>
    </row>
    <row r="593" spans="1:34" s="297" customFormat="1" ht="15" customHeight="1" x14ac:dyDescent="0.2">
      <c r="A593" s="289">
        <v>891780111</v>
      </c>
      <c r="B593" s="289" t="s">
        <v>54</v>
      </c>
      <c r="C593" s="290" t="s">
        <v>56</v>
      </c>
      <c r="D593" s="289" t="s">
        <v>60</v>
      </c>
      <c r="E593" s="299" t="s">
        <v>8701</v>
      </c>
      <c r="F593" s="289" t="s">
        <v>61</v>
      </c>
      <c r="G593" s="85" t="s">
        <v>63</v>
      </c>
      <c r="H593" s="85" t="s">
        <v>73</v>
      </c>
      <c r="I593" s="300">
        <v>4760000</v>
      </c>
      <c r="J593" s="299">
        <v>1</v>
      </c>
      <c r="K593" s="301">
        <v>2147000</v>
      </c>
      <c r="L593" s="301"/>
      <c r="M593" s="292">
        <f t="shared" si="27"/>
        <v>6907000</v>
      </c>
      <c r="N593" s="302">
        <v>1103117987</v>
      </c>
      <c r="O593" s="302" t="s">
        <v>8702</v>
      </c>
      <c r="P593" s="302" t="s">
        <v>8703</v>
      </c>
      <c r="Q593" s="293">
        <v>45034</v>
      </c>
      <c r="R593" s="293">
        <v>45034</v>
      </c>
      <c r="S593" s="293">
        <v>45084</v>
      </c>
      <c r="T593" s="293"/>
      <c r="U593" s="293"/>
      <c r="V593" s="293"/>
      <c r="W593" s="294">
        <v>45107</v>
      </c>
      <c r="X593" s="237">
        <v>5600000</v>
      </c>
      <c r="Y593" s="295">
        <f t="shared" si="28"/>
        <v>1307000</v>
      </c>
      <c r="Z593" s="296">
        <f t="shared" si="29"/>
        <v>0.81077168090343132</v>
      </c>
      <c r="AA593" s="85">
        <v>1082863147</v>
      </c>
      <c r="AB593" s="85" t="s">
        <v>7769</v>
      </c>
      <c r="AC593" s="290" t="s">
        <v>196</v>
      </c>
      <c r="AD593" s="290" t="s">
        <v>196</v>
      </c>
      <c r="AE593" s="303"/>
      <c r="AF593" s="298" t="s">
        <v>8704</v>
      </c>
      <c r="AG593" s="290" t="s">
        <v>192</v>
      </c>
      <c r="AH593" s="290" t="s">
        <v>192</v>
      </c>
    </row>
    <row r="594" spans="1:34" s="297" customFormat="1" ht="15" customHeight="1" x14ac:dyDescent="0.2">
      <c r="A594" s="289">
        <v>891780111</v>
      </c>
      <c r="B594" s="289" t="s">
        <v>54</v>
      </c>
      <c r="C594" s="290" t="s">
        <v>56</v>
      </c>
      <c r="D594" s="289" t="s">
        <v>60</v>
      </c>
      <c r="E594" s="299" t="s">
        <v>8705</v>
      </c>
      <c r="F594" s="289" t="s">
        <v>61</v>
      </c>
      <c r="G594" s="85" t="s">
        <v>63</v>
      </c>
      <c r="H594" s="85" t="s">
        <v>73</v>
      </c>
      <c r="I594" s="300">
        <v>6253000</v>
      </c>
      <c r="J594" s="299"/>
      <c r="K594" s="301"/>
      <c r="L594" s="301"/>
      <c r="M594" s="292">
        <f t="shared" si="27"/>
        <v>6253000</v>
      </c>
      <c r="N594" s="302">
        <v>36668619</v>
      </c>
      <c r="O594" s="302" t="s">
        <v>8706</v>
      </c>
      <c r="P594" s="302" t="s">
        <v>8707</v>
      </c>
      <c r="Q594" s="293">
        <v>45034</v>
      </c>
      <c r="R594" s="293">
        <v>45034</v>
      </c>
      <c r="S594" s="293">
        <v>45084</v>
      </c>
      <c r="T594" s="293"/>
      <c r="U594" s="293"/>
      <c r="V594" s="293"/>
      <c r="W594" s="304"/>
      <c r="X594" s="237">
        <v>3453000</v>
      </c>
      <c r="Y594" s="295">
        <f t="shared" si="28"/>
        <v>2800000</v>
      </c>
      <c r="Z594" s="296">
        <f t="shared" si="29"/>
        <v>0.55221493683032141</v>
      </c>
      <c r="AA594" s="85">
        <v>85154788</v>
      </c>
      <c r="AB594" s="85" t="s">
        <v>8505</v>
      </c>
      <c r="AC594" s="290" t="s">
        <v>196</v>
      </c>
      <c r="AD594" s="290" t="s">
        <v>196</v>
      </c>
      <c r="AE594" s="303"/>
      <c r="AF594" s="298" t="s">
        <v>8708</v>
      </c>
      <c r="AG594" s="290" t="s">
        <v>192</v>
      </c>
      <c r="AH594" s="290" t="s">
        <v>192</v>
      </c>
    </row>
    <row r="595" spans="1:34" s="297" customFormat="1" ht="15" customHeight="1" x14ac:dyDescent="0.2">
      <c r="A595" s="289">
        <v>891780111</v>
      </c>
      <c r="B595" s="289" t="s">
        <v>54</v>
      </c>
      <c r="C595" s="290" t="s">
        <v>56</v>
      </c>
      <c r="D595" s="289" t="s">
        <v>60</v>
      </c>
      <c r="E595" s="299" t="s">
        <v>8709</v>
      </c>
      <c r="F595" s="289" t="s">
        <v>61</v>
      </c>
      <c r="G595" s="85" t="s">
        <v>63</v>
      </c>
      <c r="H595" s="85" t="s">
        <v>73</v>
      </c>
      <c r="I595" s="300">
        <v>4913000</v>
      </c>
      <c r="J595" s="299">
        <v>1</v>
      </c>
      <c r="K595" s="301">
        <v>1173000</v>
      </c>
      <c r="L595" s="301"/>
      <c r="M595" s="292">
        <f t="shared" si="27"/>
        <v>6086000</v>
      </c>
      <c r="N595" s="302">
        <v>1083026685</v>
      </c>
      <c r="O595" s="302" t="s">
        <v>8710</v>
      </c>
      <c r="P595" s="302" t="s">
        <v>8711</v>
      </c>
      <c r="Q595" s="293">
        <v>45034</v>
      </c>
      <c r="R595" s="293">
        <v>45034</v>
      </c>
      <c r="S595" s="293">
        <v>45084</v>
      </c>
      <c r="T595" s="293"/>
      <c r="U595" s="293"/>
      <c r="V595" s="293"/>
      <c r="W595" s="294">
        <v>45100</v>
      </c>
      <c r="X595" s="237">
        <v>3886000</v>
      </c>
      <c r="Y595" s="295">
        <f t="shared" si="28"/>
        <v>2200000</v>
      </c>
      <c r="Z595" s="296">
        <f t="shared" si="29"/>
        <v>0.63851462372658563</v>
      </c>
      <c r="AA595" s="85">
        <v>1082868728</v>
      </c>
      <c r="AB595" s="85" t="s">
        <v>6010</v>
      </c>
      <c r="AC595" s="290" t="s">
        <v>196</v>
      </c>
      <c r="AD595" s="290" t="s">
        <v>196</v>
      </c>
      <c r="AE595" s="303"/>
      <c r="AF595" s="298" t="s">
        <v>8712</v>
      </c>
      <c r="AG595" s="290" t="s">
        <v>192</v>
      </c>
      <c r="AH595" s="290" t="s">
        <v>192</v>
      </c>
    </row>
    <row r="596" spans="1:34" s="297" customFormat="1" ht="15" customHeight="1" x14ac:dyDescent="0.25">
      <c r="A596" s="289">
        <v>891780111</v>
      </c>
      <c r="B596" s="289" t="s">
        <v>54</v>
      </c>
      <c r="C596" s="290" t="s">
        <v>56</v>
      </c>
      <c r="D596" s="289" t="s">
        <v>60</v>
      </c>
      <c r="E596" s="299" t="s">
        <v>8713</v>
      </c>
      <c r="F596" s="289" t="s">
        <v>61</v>
      </c>
      <c r="G596" s="85" t="s">
        <v>63</v>
      </c>
      <c r="H596" s="85" t="s">
        <v>73</v>
      </c>
      <c r="I596" s="300">
        <v>4500000</v>
      </c>
      <c r="J596" s="299">
        <v>1</v>
      </c>
      <c r="K596" s="301">
        <v>1917000</v>
      </c>
      <c r="L596" s="301"/>
      <c r="M596" s="292">
        <f t="shared" si="27"/>
        <v>6417000</v>
      </c>
      <c r="N596" s="302">
        <v>1082969436</v>
      </c>
      <c r="O596" s="302" t="s">
        <v>7655</v>
      </c>
      <c r="P596" s="302" t="s">
        <v>8714</v>
      </c>
      <c r="Q596" s="293">
        <v>45034</v>
      </c>
      <c r="R596" s="293">
        <v>45034</v>
      </c>
      <c r="S596" s="293">
        <v>45084</v>
      </c>
      <c r="T596" s="293"/>
      <c r="U596" s="293"/>
      <c r="V596" s="293"/>
      <c r="W596" s="294">
        <v>45107</v>
      </c>
      <c r="X596" s="237">
        <v>5000000</v>
      </c>
      <c r="Y596" s="295">
        <f t="shared" si="28"/>
        <v>1417000</v>
      </c>
      <c r="Z596" s="296">
        <f t="shared" si="29"/>
        <v>0.77918030232195734</v>
      </c>
      <c r="AA596" s="85">
        <v>36564011</v>
      </c>
      <c r="AB596" s="85" t="s">
        <v>6121</v>
      </c>
      <c r="AC596" s="290" t="s">
        <v>196</v>
      </c>
      <c r="AD596" s="290" t="s">
        <v>196</v>
      </c>
      <c r="AE596" s="303"/>
      <c r="AF596" s="302" t="s">
        <v>8715</v>
      </c>
      <c r="AG596" s="290" t="s">
        <v>192</v>
      </c>
      <c r="AH596" s="290" t="s">
        <v>192</v>
      </c>
    </row>
    <row r="597" spans="1:34" s="297" customFormat="1" ht="15" customHeight="1" x14ac:dyDescent="0.25">
      <c r="A597" s="289">
        <v>891780111</v>
      </c>
      <c r="B597" s="289" t="s">
        <v>54</v>
      </c>
      <c r="C597" s="290" t="s">
        <v>56</v>
      </c>
      <c r="D597" s="289" t="s">
        <v>60</v>
      </c>
      <c r="E597" s="299" t="s">
        <v>8716</v>
      </c>
      <c r="F597" s="289" t="s">
        <v>61</v>
      </c>
      <c r="G597" s="85" t="s">
        <v>63</v>
      </c>
      <c r="H597" s="85" t="s">
        <v>73</v>
      </c>
      <c r="I597" s="300">
        <v>5227000</v>
      </c>
      <c r="J597" s="299">
        <v>1</v>
      </c>
      <c r="K597" s="301">
        <v>2146000</v>
      </c>
      <c r="L597" s="301"/>
      <c r="M597" s="292">
        <f t="shared" si="27"/>
        <v>7373000</v>
      </c>
      <c r="N597" s="302">
        <v>1083045066</v>
      </c>
      <c r="O597" s="302" t="s">
        <v>8717</v>
      </c>
      <c r="P597" s="302" t="s">
        <v>8644</v>
      </c>
      <c r="Q597" s="293">
        <v>45035</v>
      </c>
      <c r="R597" s="293">
        <v>45035</v>
      </c>
      <c r="S597" s="293">
        <v>45084</v>
      </c>
      <c r="T597" s="293"/>
      <c r="U597" s="293"/>
      <c r="V597" s="293"/>
      <c r="W597" s="294">
        <v>45107</v>
      </c>
      <c r="X597" s="237">
        <v>5600000</v>
      </c>
      <c r="Y597" s="295">
        <f t="shared" si="28"/>
        <v>1773000</v>
      </c>
      <c r="Z597" s="296">
        <f t="shared" si="29"/>
        <v>0.75952800759528005</v>
      </c>
      <c r="AA597" s="85">
        <v>32770239</v>
      </c>
      <c r="AB597" s="85" t="s">
        <v>2135</v>
      </c>
      <c r="AC597" s="290" t="s">
        <v>196</v>
      </c>
      <c r="AD597" s="290" t="s">
        <v>196</v>
      </c>
      <c r="AE597" s="303"/>
      <c r="AF597" s="302" t="s">
        <v>8718</v>
      </c>
      <c r="AG597" s="290" t="s">
        <v>192</v>
      </c>
      <c r="AH597" s="290" t="s">
        <v>192</v>
      </c>
    </row>
    <row r="598" spans="1:34" s="297" customFormat="1" ht="15" customHeight="1" x14ac:dyDescent="0.25">
      <c r="A598" s="289">
        <v>891780111</v>
      </c>
      <c r="B598" s="289" t="s">
        <v>54</v>
      </c>
      <c r="C598" s="290" t="s">
        <v>56</v>
      </c>
      <c r="D598" s="289" t="s">
        <v>60</v>
      </c>
      <c r="E598" s="299" t="s">
        <v>8719</v>
      </c>
      <c r="F598" s="289" t="s">
        <v>61</v>
      </c>
      <c r="G598" s="85" t="s">
        <v>63</v>
      </c>
      <c r="H598" s="85" t="s">
        <v>73</v>
      </c>
      <c r="I598" s="300">
        <v>6253000</v>
      </c>
      <c r="J598" s="299"/>
      <c r="K598" s="301"/>
      <c r="L598" s="301"/>
      <c r="M598" s="292">
        <f t="shared" si="27"/>
        <v>6253000</v>
      </c>
      <c r="N598" s="302">
        <v>1083038004</v>
      </c>
      <c r="O598" s="302" t="s">
        <v>8720</v>
      </c>
      <c r="P598" s="302" t="s">
        <v>8721</v>
      </c>
      <c r="Q598" s="293">
        <v>45040</v>
      </c>
      <c r="R598" s="293">
        <v>45040</v>
      </c>
      <c r="S598" s="293">
        <v>45107</v>
      </c>
      <c r="T598" s="293"/>
      <c r="U598" s="293"/>
      <c r="V598" s="293"/>
      <c r="W598" s="304"/>
      <c r="X598" s="237">
        <v>6253000</v>
      </c>
      <c r="Y598" s="295">
        <f t="shared" si="28"/>
        <v>0</v>
      </c>
      <c r="Z598" s="296">
        <f t="shared" si="29"/>
        <v>1</v>
      </c>
      <c r="AA598" s="85">
        <v>12621405</v>
      </c>
      <c r="AB598" s="85" t="s">
        <v>8695</v>
      </c>
      <c r="AC598" s="290" t="s">
        <v>196</v>
      </c>
      <c r="AD598" s="290" t="s">
        <v>196</v>
      </c>
      <c r="AE598" s="303"/>
      <c r="AF598" s="302" t="s">
        <v>8722</v>
      </c>
      <c r="AG598" s="290" t="s">
        <v>192</v>
      </c>
      <c r="AH598" s="290" t="s">
        <v>192</v>
      </c>
    </row>
    <row r="599" spans="1:34" s="297" customFormat="1" ht="15" customHeight="1" x14ac:dyDescent="0.25">
      <c r="A599" s="289">
        <v>891780111</v>
      </c>
      <c r="B599" s="289" t="s">
        <v>54</v>
      </c>
      <c r="C599" s="290" t="s">
        <v>56</v>
      </c>
      <c r="D599" s="289" t="s">
        <v>60</v>
      </c>
      <c r="E599" s="299" t="s">
        <v>8723</v>
      </c>
      <c r="F599" s="289" t="s">
        <v>61</v>
      </c>
      <c r="G599" s="85" t="s">
        <v>63</v>
      </c>
      <c r="H599" s="85" t="s">
        <v>73</v>
      </c>
      <c r="I599" s="300">
        <v>10050000</v>
      </c>
      <c r="J599" s="299"/>
      <c r="K599" s="301"/>
      <c r="L599" s="301"/>
      <c r="M599" s="292">
        <f t="shared" si="27"/>
        <v>10050000</v>
      </c>
      <c r="N599" s="302">
        <v>1082924263</v>
      </c>
      <c r="O599" s="302" t="s">
        <v>8724</v>
      </c>
      <c r="P599" s="302" t="s">
        <v>8725</v>
      </c>
      <c r="Q599" s="293">
        <v>45041</v>
      </c>
      <c r="R599" s="293">
        <v>45041</v>
      </c>
      <c r="S599" s="293">
        <v>45107</v>
      </c>
      <c r="T599" s="293"/>
      <c r="U599" s="293"/>
      <c r="V599" s="293"/>
      <c r="W599" s="304"/>
      <c r="X599" s="237">
        <v>10050000</v>
      </c>
      <c r="Y599" s="295">
        <f t="shared" si="28"/>
        <v>0</v>
      </c>
      <c r="Z599" s="296">
        <f t="shared" si="29"/>
        <v>1</v>
      </c>
      <c r="AA599" s="85">
        <v>93400727</v>
      </c>
      <c r="AB599" s="85" t="s">
        <v>6418</v>
      </c>
      <c r="AC599" s="290" t="s">
        <v>196</v>
      </c>
      <c r="AD599" s="290" t="s">
        <v>196</v>
      </c>
      <c r="AE599" s="303"/>
      <c r="AF599" s="302" t="s">
        <v>8726</v>
      </c>
      <c r="AG599" s="290" t="s">
        <v>192</v>
      </c>
      <c r="AH599" s="290" t="s">
        <v>192</v>
      </c>
    </row>
    <row r="600" spans="1:34" s="297" customFormat="1" ht="15" customHeight="1" x14ac:dyDescent="0.2">
      <c r="A600" s="289">
        <v>891780111</v>
      </c>
      <c r="B600" s="289" t="s">
        <v>54</v>
      </c>
      <c r="C600" s="290" t="s">
        <v>56</v>
      </c>
      <c r="D600" s="289" t="s">
        <v>60</v>
      </c>
      <c r="E600" s="290" t="s">
        <v>8727</v>
      </c>
      <c r="F600" s="289" t="s">
        <v>61</v>
      </c>
      <c r="G600" s="85" t="s">
        <v>63</v>
      </c>
      <c r="H600" s="85" t="s">
        <v>73</v>
      </c>
      <c r="I600" s="237">
        <v>2343000</v>
      </c>
      <c r="J600" s="290"/>
      <c r="K600" s="291"/>
      <c r="L600" s="291"/>
      <c r="M600" s="292">
        <f t="shared" si="27"/>
        <v>2343000</v>
      </c>
      <c r="N600" s="85">
        <v>7634703</v>
      </c>
      <c r="O600" s="85" t="s">
        <v>8728</v>
      </c>
      <c r="P600" s="85" t="s">
        <v>7492</v>
      </c>
      <c r="Q600" s="293">
        <v>45048</v>
      </c>
      <c r="R600" s="293">
        <v>45048</v>
      </c>
      <c r="S600" s="293">
        <v>45084</v>
      </c>
      <c r="T600" s="293"/>
      <c r="U600" s="293"/>
      <c r="V600" s="293"/>
      <c r="W600" s="294"/>
      <c r="X600" s="237">
        <v>2343000</v>
      </c>
      <c r="Y600" s="295">
        <f t="shared" si="28"/>
        <v>0</v>
      </c>
      <c r="Z600" s="296">
        <f t="shared" si="29"/>
        <v>1</v>
      </c>
      <c r="AA600" s="85">
        <v>7633817</v>
      </c>
      <c r="AB600" s="85" t="s">
        <v>5425</v>
      </c>
      <c r="AC600" s="290" t="s">
        <v>196</v>
      </c>
      <c r="AD600" s="290" t="s">
        <v>196</v>
      </c>
      <c r="AE600" s="303"/>
      <c r="AF600" s="298" t="s">
        <v>8729</v>
      </c>
      <c r="AG600" s="290" t="s">
        <v>192</v>
      </c>
      <c r="AH600" s="290" t="s">
        <v>192</v>
      </c>
    </row>
    <row r="601" spans="1:34" s="297" customFormat="1" ht="15" customHeight="1" x14ac:dyDescent="0.2">
      <c r="A601" s="289">
        <v>891780111</v>
      </c>
      <c r="B601" s="289" t="s">
        <v>54</v>
      </c>
      <c r="C601" s="290" t="s">
        <v>56</v>
      </c>
      <c r="D601" s="289" t="s">
        <v>60</v>
      </c>
      <c r="E601" s="290" t="s">
        <v>8730</v>
      </c>
      <c r="F601" s="289" t="s">
        <v>61</v>
      </c>
      <c r="G601" s="85" t="s">
        <v>63</v>
      </c>
      <c r="H601" s="85" t="s">
        <v>73</v>
      </c>
      <c r="I601" s="237">
        <v>2850000</v>
      </c>
      <c r="J601" s="290"/>
      <c r="K601" s="291"/>
      <c r="L601" s="291"/>
      <c r="M601" s="292">
        <f t="shared" si="27"/>
        <v>2850000</v>
      </c>
      <c r="N601" s="85">
        <v>1082965670</v>
      </c>
      <c r="O601" s="85" t="s">
        <v>8731</v>
      </c>
      <c r="P601" s="85" t="s">
        <v>8732</v>
      </c>
      <c r="Q601" s="293">
        <v>45048</v>
      </c>
      <c r="R601" s="293">
        <v>45048</v>
      </c>
      <c r="S601" s="293">
        <v>45092</v>
      </c>
      <c r="T601" s="293"/>
      <c r="U601" s="293"/>
      <c r="V601" s="293"/>
      <c r="W601" s="294"/>
      <c r="X601" s="237">
        <v>2850000</v>
      </c>
      <c r="Y601" s="295">
        <f t="shared" si="28"/>
        <v>0</v>
      </c>
      <c r="Z601" s="296">
        <f t="shared" si="29"/>
        <v>1</v>
      </c>
      <c r="AA601" s="85">
        <v>85459497</v>
      </c>
      <c r="AB601" s="85" t="s">
        <v>4837</v>
      </c>
      <c r="AC601" s="290" t="s">
        <v>196</v>
      </c>
      <c r="AD601" s="290" t="s">
        <v>196</v>
      </c>
      <c r="AE601" s="303"/>
      <c r="AF601" s="298" t="s">
        <v>8733</v>
      </c>
      <c r="AG601" s="290" t="s">
        <v>192</v>
      </c>
      <c r="AH601" s="290" t="s">
        <v>192</v>
      </c>
    </row>
    <row r="602" spans="1:34" s="297" customFormat="1" ht="15" customHeight="1" x14ac:dyDescent="0.2">
      <c r="A602" s="289">
        <v>891780111</v>
      </c>
      <c r="B602" s="289" t="s">
        <v>54</v>
      </c>
      <c r="C602" s="290" t="s">
        <v>56</v>
      </c>
      <c r="D602" s="289" t="s">
        <v>60</v>
      </c>
      <c r="E602" s="290" t="s">
        <v>8734</v>
      </c>
      <c r="F602" s="289" t="s">
        <v>61</v>
      </c>
      <c r="G602" s="85" t="s">
        <v>63</v>
      </c>
      <c r="H602" s="85" t="s">
        <v>73</v>
      </c>
      <c r="I602" s="237">
        <v>3800000</v>
      </c>
      <c r="J602" s="290"/>
      <c r="K602" s="291"/>
      <c r="L602" s="291"/>
      <c r="M602" s="292">
        <f t="shared" si="27"/>
        <v>3800000</v>
      </c>
      <c r="N602" s="85">
        <v>1007934124</v>
      </c>
      <c r="O602" s="85" t="s">
        <v>8735</v>
      </c>
      <c r="P602" s="85" t="s">
        <v>7451</v>
      </c>
      <c r="Q602" s="293">
        <v>45049</v>
      </c>
      <c r="R602" s="293">
        <v>45049</v>
      </c>
      <c r="S602" s="293">
        <v>45107</v>
      </c>
      <c r="T602" s="293"/>
      <c r="U602" s="293"/>
      <c r="V602" s="293"/>
      <c r="W602" s="294"/>
      <c r="X602" s="237">
        <v>3800000</v>
      </c>
      <c r="Y602" s="295">
        <f t="shared" si="28"/>
        <v>0</v>
      </c>
      <c r="Z602" s="296">
        <f t="shared" si="29"/>
        <v>1</v>
      </c>
      <c r="AA602" s="85">
        <v>85459497</v>
      </c>
      <c r="AB602" s="85" t="s">
        <v>4837</v>
      </c>
      <c r="AC602" s="290" t="s">
        <v>196</v>
      </c>
      <c r="AD602" s="290" t="s">
        <v>196</v>
      </c>
      <c r="AE602" s="303"/>
      <c r="AF602" s="298" t="s">
        <v>8736</v>
      </c>
      <c r="AG602" s="290" t="s">
        <v>192</v>
      </c>
      <c r="AH602" s="290" t="s">
        <v>192</v>
      </c>
    </row>
    <row r="603" spans="1:34" s="297" customFormat="1" ht="15" customHeight="1" x14ac:dyDescent="0.2">
      <c r="A603" s="289">
        <v>891780111</v>
      </c>
      <c r="B603" s="289" t="s">
        <v>54</v>
      </c>
      <c r="C603" s="290" t="s">
        <v>56</v>
      </c>
      <c r="D603" s="289" t="s">
        <v>60</v>
      </c>
      <c r="E603" s="290" t="s">
        <v>8737</v>
      </c>
      <c r="F603" s="289" t="s">
        <v>61</v>
      </c>
      <c r="G603" s="85" t="s">
        <v>63</v>
      </c>
      <c r="H603" s="85" t="s">
        <v>73</v>
      </c>
      <c r="I603" s="237">
        <v>7000000</v>
      </c>
      <c r="J603" s="290"/>
      <c r="K603" s="291"/>
      <c r="L603" s="291"/>
      <c r="M603" s="292">
        <f t="shared" si="27"/>
        <v>7000000</v>
      </c>
      <c r="N603" s="85">
        <v>57291189</v>
      </c>
      <c r="O603" s="85" t="s">
        <v>8738</v>
      </c>
      <c r="P603" s="85" t="s">
        <v>8739</v>
      </c>
      <c r="Q603" s="293">
        <v>45050</v>
      </c>
      <c r="R603" s="293">
        <v>45050</v>
      </c>
      <c r="S603" s="293">
        <v>45107</v>
      </c>
      <c r="T603" s="293"/>
      <c r="U603" s="293"/>
      <c r="V603" s="293"/>
      <c r="W603" s="294"/>
      <c r="X603" s="237">
        <v>7000000</v>
      </c>
      <c r="Y603" s="295">
        <f t="shared" si="28"/>
        <v>0</v>
      </c>
      <c r="Z603" s="296">
        <f t="shared" si="29"/>
        <v>1</v>
      </c>
      <c r="AA603" s="85"/>
      <c r="AB603" s="85" t="s">
        <v>8740</v>
      </c>
      <c r="AC603" s="290" t="s">
        <v>196</v>
      </c>
      <c r="AD603" s="290" t="s">
        <v>196</v>
      </c>
      <c r="AE603" s="303"/>
      <c r="AF603" s="298" t="s">
        <v>8741</v>
      </c>
      <c r="AG603" s="290" t="s">
        <v>192</v>
      </c>
      <c r="AH603" s="290" t="s">
        <v>192</v>
      </c>
    </row>
    <row r="604" spans="1:34" s="297" customFormat="1" ht="15" customHeight="1" x14ac:dyDescent="0.2">
      <c r="A604" s="289">
        <v>891780111</v>
      </c>
      <c r="B604" s="289" t="s">
        <v>54</v>
      </c>
      <c r="C604" s="290" t="s">
        <v>56</v>
      </c>
      <c r="D604" s="289" t="s">
        <v>60</v>
      </c>
      <c r="E604" s="290" t="s">
        <v>8742</v>
      </c>
      <c r="F604" s="289" t="s">
        <v>61</v>
      </c>
      <c r="G604" s="85" t="s">
        <v>63</v>
      </c>
      <c r="H604" s="85" t="s">
        <v>73</v>
      </c>
      <c r="I604" s="237">
        <v>5227000</v>
      </c>
      <c r="J604" s="290"/>
      <c r="K604" s="291"/>
      <c r="L604" s="291"/>
      <c r="M604" s="292">
        <f t="shared" si="27"/>
        <v>5227000</v>
      </c>
      <c r="N604" s="85">
        <v>1082984161</v>
      </c>
      <c r="O604" s="85" t="s">
        <v>8743</v>
      </c>
      <c r="P604" s="85" t="s">
        <v>8744</v>
      </c>
      <c r="Q604" s="293">
        <v>45054</v>
      </c>
      <c r="R604" s="293">
        <v>45054</v>
      </c>
      <c r="S604" s="293">
        <v>45107</v>
      </c>
      <c r="T604" s="293"/>
      <c r="U604" s="293"/>
      <c r="V604" s="293"/>
      <c r="W604" s="294"/>
      <c r="X604" s="237">
        <v>5227000</v>
      </c>
      <c r="Y604" s="295">
        <f t="shared" si="28"/>
        <v>0</v>
      </c>
      <c r="Z604" s="296">
        <f t="shared" si="29"/>
        <v>1</v>
      </c>
      <c r="AA604" s="85">
        <v>36718996</v>
      </c>
      <c r="AB604" s="85" t="s">
        <v>6686</v>
      </c>
      <c r="AC604" s="290" t="s">
        <v>196</v>
      </c>
      <c r="AD604" s="290" t="s">
        <v>196</v>
      </c>
      <c r="AE604" s="303"/>
      <c r="AF604" s="298" t="s">
        <v>8745</v>
      </c>
      <c r="AG604" s="290" t="s">
        <v>192</v>
      </c>
      <c r="AH604" s="290" t="s">
        <v>192</v>
      </c>
    </row>
    <row r="605" spans="1:34" s="297" customFormat="1" ht="15" customHeight="1" x14ac:dyDescent="0.2">
      <c r="A605" s="289">
        <v>891780111</v>
      </c>
      <c r="B605" s="289" t="s">
        <v>54</v>
      </c>
      <c r="C605" s="290" t="s">
        <v>56</v>
      </c>
      <c r="D605" s="289" t="s">
        <v>60</v>
      </c>
      <c r="E605" s="290" t="s">
        <v>8746</v>
      </c>
      <c r="F605" s="289" t="s">
        <v>61</v>
      </c>
      <c r="G605" s="85" t="s">
        <v>63</v>
      </c>
      <c r="H605" s="85" t="s">
        <v>73</v>
      </c>
      <c r="I605" s="237">
        <v>2590000</v>
      </c>
      <c r="J605" s="290"/>
      <c r="K605" s="291"/>
      <c r="L605" s="291"/>
      <c r="M605" s="292">
        <f t="shared" si="27"/>
        <v>2590000</v>
      </c>
      <c r="N605" s="85">
        <v>1083029243</v>
      </c>
      <c r="O605" s="85" t="s">
        <v>8747</v>
      </c>
      <c r="P605" s="85" t="s">
        <v>8748</v>
      </c>
      <c r="Q605" s="293">
        <v>45054</v>
      </c>
      <c r="R605" s="293">
        <v>45054</v>
      </c>
      <c r="S605" s="293">
        <v>45084</v>
      </c>
      <c r="T605" s="293"/>
      <c r="U605" s="293"/>
      <c r="V605" s="293"/>
      <c r="W605" s="294"/>
      <c r="X605" s="237">
        <v>2100000</v>
      </c>
      <c r="Y605" s="295">
        <f t="shared" si="28"/>
        <v>490000</v>
      </c>
      <c r="Z605" s="296">
        <f t="shared" si="29"/>
        <v>0.81081081081081086</v>
      </c>
      <c r="AA605" s="85">
        <v>36726018</v>
      </c>
      <c r="AB605" s="85" t="s">
        <v>7466</v>
      </c>
      <c r="AC605" s="290" t="s">
        <v>196</v>
      </c>
      <c r="AD605" s="290" t="s">
        <v>196</v>
      </c>
      <c r="AE605" s="303"/>
      <c r="AF605" s="298" t="s">
        <v>8749</v>
      </c>
      <c r="AG605" s="290" t="s">
        <v>192</v>
      </c>
      <c r="AH605" s="290" t="s">
        <v>192</v>
      </c>
    </row>
    <row r="606" spans="1:34" s="297" customFormat="1" ht="15" customHeight="1" x14ac:dyDescent="0.2">
      <c r="A606" s="289">
        <v>891780111</v>
      </c>
      <c r="B606" s="289" t="s">
        <v>54</v>
      </c>
      <c r="C606" s="290" t="s">
        <v>56</v>
      </c>
      <c r="D606" s="289" t="s">
        <v>60</v>
      </c>
      <c r="E606" s="290" t="s">
        <v>8750</v>
      </c>
      <c r="F606" s="289" t="s">
        <v>61</v>
      </c>
      <c r="G606" s="85" t="s">
        <v>63</v>
      </c>
      <c r="H606" s="85" t="s">
        <v>73</v>
      </c>
      <c r="I606" s="237">
        <v>3823000</v>
      </c>
      <c r="J606" s="290"/>
      <c r="K606" s="291"/>
      <c r="L606" s="291"/>
      <c r="M606" s="292">
        <f t="shared" si="27"/>
        <v>3823000</v>
      </c>
      <c r="N606" s="85">
        <v>57299487</v>
      </c>
      <c r="O606" s="85" t="s">
        <v>8751</v>
      </c>
      <c r="P606" s="85" t="s">
        <v>8752</v>
      </c>
      <c r="Q606" s="293">
        <v>45055</v>
      </c>
      <c r="R606" s="293">
        <v>45055</v>
      </c>
      <c r="S606" s="293">
        <v>45107</v>
      </c>
      <c r="T606" s="293"/>
      <c r="U606" s="293"/>
      <c r="V606" s="293"/>
      <c r="W606" s="294"/>
      <c r="X606" s="237">
        <v>3823000</v>
      </c>
      <c r="Y606" s="295">
        <f t="shared" si="28"/>
        <v>0</v>
      </c>
      <c r="Z606" s="296">
        <f t="shared" si="29"/>
        <v>1</v>
      </c>
      <c r="AA606" s="85">
        <v>72175281</v>
      </c>
      <c r="AB606" s="85" t="s">
        <v>6507</v>
      </c>
      <c r="AC606" s="290" t="s">
        <v>196</v>
      </c>
      <c r="AD606" s="290" t="s">
        <v>196</v>
      </c>
      <c r="AE606" s="303"/>
      <c r="AF606" s="298" t="s">
        <v>8753</v>
      </c>
      <c r="AG606" s="290" t="s">
        <v>192</v>
      </c>
      <c r="AH606" s="290" t="s">
        <v>192</v>
      </c>
    </row>
    <row r="607" spans="1:34" s="297" customFormat="1" ht="15" customHeight="1" x14ac:dyDescent="0.2">
      <c r="A607" s="289">
        <v>891780111</v>
      </c>
      <c r="B607" s="289" t="s">
        <v>54</v>
      </c>
      <c r="C607" s="290" t="s">
        <v>56</v>
      </c>
      <c r="D607" s="289" t="s">
        <v>60</v>
      </c>
      <c r="E607" s="290" t="s">
        <v>8754</v>
      </c>
      <c r="F607" s="289" t="s">
        <v>61</v>
      </c>
      <c r="G607" s="85" t="s">
        <v>63</v>
      </c>
      <c r="H607" s="85" t="s">
        <v>73</v>
      </c>
      <c r="I607" s="237">
        <v>6630000</v>
      </c>
      <c r="J607" s="290"/>
      <c r="K607" s="291"/>
      <c r="L607" s="291"/>
      <c r="M607" s="292">
        <f t="shared" si="27"/>
        <v>6630000</v>
      </c>
      <c r="N607" s="85">
        <v>7604732</v>
      </c>
      <c r="O607" s="85" t="s">
        <v>8755</v>
      </c>
      <c r="P607" s="85" t="s">
        <v>8756</v>
      </c>
      <c r="Q607" s="293">
        <v>45055</v>
      </c>
      <c r="R607" s="293">
        <v>45056</v>
      </c>
      <c r="S607" s="293">
        <v>45107</v>
      </c>
      <c r="T607" s="293"/>
      <c r="U607" s="293"/>
      <c r="V607" s="293"/>
      <c r="W607" s="294"/>
      <c r="X607" s="237">
        <v>2730000</v>
      </c>
      <c r="Y607" s="295">
        <f t="shared" si="28"/>
        <v>3900000</v>
      </c>
      <c r="Z607" s="296">
        <f t="shared" si="29"/>
        <v>0.41176470588235292</v>
      </c>
      <c r="AA607" s="85">
        <v>39058006</v>
      </c>
      <c r="AB607" s="85" t="s">
        <v>6699</v>
      </c>
      <c r="AC607" s="290" t="s">
        <v>196</v>
      </c>
      <c r="AD607" s="290" t="s">
        <v>196</v>
      </c>
      <c r="AE607" s="303"/>
      <c r="AF607" s="298" t="s">
        <v>8757</v>
      </c>
      <c r="AG607" s="290" t="s">
        <v>192</v>
      </c>
      <c r="AH607" s="290" t="s">
        <v>192</v>
      </c>
    </row>
    <row r="608" spans="1:34" s="297" customFormat="1" ht="15" customHeight="1" x14ac:dyDescent="0.2">
      <c r="A608" s="289">
        <v>891780111</v>
      </c>
      <c r="B608" s="289" t="s">
        <v>54</v>
      </c>
      <c r="C608" s="290" t="s">
        <v>56</v>
      </c>
      <c r="D608" s="289" t="s">
        <v>60</v>
      </c>
      <c r="E608" s="290" t="s">
        <v>8758</v>
      </c>
      <c r="F608" s="289" t="s">
        <v>61</v>
      </c>
      <c r="G608" s="85" t="s">
        <v>63</v>
      </c>
      <c r="H608" s="85" t="s">
        <v>73</v>
      </c>
      <c r="I608" s="237">
        <v>5477000</v>
      </c>
      <c r="J608" s="290"/>
      <c r="K608" s="291"/>
      <c r="L608" s="291"/>
      <c r="M608" s="292">
        <f t="shared" si="27"/>
        <v>5477000</v>
      </c>
      <c r="N608" s="85">
        <v>1151184718</v>
      </c>
      <c r="O608" s="85" t="s">
        <v>5350</v>
      </c>
      <c r="P608" s="85" t="s">
        <v>8759</v>
      </c>
      <c r="Q608" s="293">
        <v>45056</v>
      </c>
      <c r="R608" s="293">
        <v>45056</v>
      </c>
      <c r="S608" s="293">
        <v>45093</v>
      </c>
      <c r="T608" s="293"/>
      <c r="U608" s="293"/>
      <c r="V608" s="293"/>
      <c r="W608" s="294"/>
      <c r="X608" s="237">
        <v>5477000</v>
      </c>
      <c r="Y608" s="295">
        <f t="shared" si="28"/>
        <v>0</v>
      </c>
      <c r="Z608" s="296">
        <f t="shared" si="29"/>
        <v>1</v>
      </c>
      <c r="AA608" s="85"/>
      <c r="AB608" s="305" t="s">
        <v>8760</v>
      </c>
      <c r="AC608" s="290" t="s">
        <v>196</v>
      </c>
      <c r="AD608" s="290" t="s">
        <v>196</v>
      </c>
      <c r="AE608" s="303"/>
      <c r="AF608" s="298" t="s">
        <v>8761</v>
      </c>
      <c r="AG608" s="290" t="s">
        <v>192</v>
      </c>
      <c r="AH608" s="290" t="s">
        <v>192</v>
      </c>
    </row>
    <row r="609" spans="1:34" s="297" customFormat="1" ht="15" customHeight="1" x14ac:dyDescent="0.2">
      <c r="A609" s="289">
        <v>891780111</v>
      </c>
      <c r="B609" s="289" t="s">
        <v>54</v>
      </c>
      <c r="C609" s="290" t="s">
        <v>56</v>
      </c>
      <c r="D609" s="289" t="s">
        <v>60</v>
      </c>
      <c r="E609" s="290" t="s">
        <v>8762</v>
      </c>
      <c r="F609" s="289" t="s">
        <v>61</v>
      </c>
      <c r="G609" s="85" t="s">
        <v>63</v>
      </c>
      <c r="H609" s="85" t="s">
        <v>73</v>
      </c>
      <c r="I609" s="237">
        <v>2913000</v>
      </c>
      <c r="J609" s="290">
        <v>1</v>
      </c>
      <c r="K609" s="291">
        <v>887000</v>
      </c>
      <c r="L609" s="291"/>
      <c r="M609" s="292">
        <f>I609+K609-L609</f>
        <v>3800000</v>
      </c>
      <c r="N609" s="85">
        <v>49746297</v>
      </c>
      <c r="O609" s="85" t="s">
        <v>8763</v>
      </c>
      <c r="P609" s="85" t="s">
        <v>8764</v>
      </c>
      <c r="Q609" s="293">
        <v>45056</v>
      </c>
      <c r="R609" s="293">
        <v>45056</v>
      </c>
      <c r="S609" s="293">
        <v>45093</v>
      </c>
      <c r="T609" s="293"/>
      <c r="U609" s="293"/>
      <c r="V609" s="293"/>
      <c r="W609" s="294">
        <v>45107</v>
      </c>
      <c r="X609" s="237">
        <v>3800000</v>
      </c>
      <c r="Y609" s="295">
        <f t="shared" si="28"/>
        <v>0</v>
      </c>
      <c r="Z609" s="296">
        <f t="shared" si="29"/>
        <v>1</v>
      </c>
      <c r="AA609" s="85">
        <v>36564011</v>
      </c>
      <c r="AB609" s="85" t="s">
        <v>6121</v>
      </c>
      <c r="AC609" s="290" t="s">
        <v>196</v>
      </c>
      <c r="AD609" s="290" t="s">
        <v>196</v>
      </c>
      <c r="AE609" s="303"/>
      <c r="AF609" s="298" t="s">
        <v>8765</v>
      </c>
      <c r="AG609" s="290" t="s">
        <v>192</v>
      </c>
      <c r="AH609" s="290" t="s">
        <v>192</v>
      </c>
    </row>
    <row r="610" spans="1:34" s="297" customFormat="1" ht="15" customHeight="1" x14ac:dyDescent="0.2">
      <c r="A610" s="289">
        <v>891780111</v>
      </c>
      <c r="B610" s="289" t="s">
        <v>54</v>
      </c>
      <c r="C610" s="290" t="s">
        <v>56</v>
      </c>
      <c r="D610" s="289" t="s">
        <v>60</v>
      </c>
      <c r="E610" s="290" t="s">
        <v>8766</v>
      </c>
      <c r="F610" s="289" t="s">
        <v>61</v>
      </c>
      <c r="G610" s="85" t="s">
        <v>63</v>
      </c>
      <c r="H610" s="85" t="s">
        <v>73</v>
      </c>
      <c r="I610" s="237">
        <v>6800000</v>
      </c>
      <c r="J610" s="290"/>
      <c r="K610" s="291"/>
      <c r="L610" s="291"/>
      <c r="M610" s="292">
        <f t="shared" si="27"/>
        <v>6800000</v>
      </c>
      <c r="N610" s="85">
        <v>43760150</v>
      </c>
      <c r="O610" s="85" t="s">
        <v>4760</v>
      </c>
      <c r="P610" s="85" t="s">
        <v>8767</v>
      </c>
      <c r="Q610" s="293">
        <v>45056</v>
      </c>
      <c r="R610" s="293">
        <v>45056</v>
      </c>
      <c r="S610" s="293">
        <v>45107</v>
      </c>
      <c r="T610" s="293"/>
      <c r="U610" s="293"/>
      <c r="V610" s="293"/>
      <c r="W610" s="294"/>
      <c r="X610" s="237">
        <v>6800000</v>
      </c>
      <c r="Y610" s="295">
        <f t="shared" si="28"/>
        <v>0</v>
      </c>
      <c r="Z610" s="296">
        <f t="shared" si="29"/>
        <v>1</v>
      </c>
      <c r="AA610" s="85">
        <v>93400727</v>
      </c>
      <c r="AB610" s="85" t="s">
        <v>6418</v>
      </c>
      <c r="AC610" s="290" t="s">
        <v>196</v>
      </c>
      <c r="AD610" s="290" t="s">
        <v>196</v>
      </c>
      <c r="AE610" s="303"/>
      <c r="AF610" s="298" t="s">
        <v>8768</v>
      </c>
      <c r="AG610" s="290" t="s">
        <v>192</v>
      </c>
      <c r="AH610" s="290" t="s">
        <v>192</v>
      </c>
    </row>
    <row r="611" spans="1:34" s="297" customFormat="1" ht="15" customHeight="1" x14ac:dyDescent="0.2">
      <c r="A611" s="289">
        <v>891780111</v>
      </c>
      <c r="B611" s="289" t="s">
        <v>54</v>
      </c>
      <c r="C611" s="290" t="s">
        <v>59</v>
      </c>
      <c r="D611" s="289" t="s">
        <v>60</v>
      </c>
      <c r="E611" s="290" t="s">
        <v>8769</v>
      </c>
      <c r="F611" s="289" t="s">
        <v>61</v>
      </c>
      <c r="G611" s="85" t="s">
        <v>63</v>
      </c>
      <c r="H611" s="85" t="s">
        <v>73</v>
      </c>
      <c r="I611" s="237">
        <v>7583000</v>
      </c>
      <c r="J611" s="290"/>
      <c r="K611" s="291"/>
      <c r="L611" s="291"/>
      <c r="M611" s="292">
        <f t="shared" si="27"/>
        <v>7583000</v>
      </c>
      <c r="N611" s="85">
        <v>1082983016</v>
      </c>
      <c r="O611" s="85" t="s">
        <v>8378</v>
      </c>
      <c r="P611" s="85" t="s">
        <v>8770</v>
      </c>
      <c r="Q611" s="293">
        <v>45062</v>
      </c>
      <c r="R611" s="293">
        <v>45062</v>
      </c>
      <c r="S611" s="293">
        <v>45107</v>
      </c>
      <c r="T611" s="293"/>
      <c r="U611" s="293"/>
      <c r="V611" s="293"/>
      <c r="W611" s="294"/>
      <c r="X611" s="237">
        <v>3033000</v>
      </c>
      <c r="Y611" s="295">
        <f t="shared" si="28"/>
        <v>4550000</v>
      </c>
      <c r="Z611" s="296">
        <f t="shared" si="29"/>
        <v>0.39997362521429514</v>
      </c>
      <c r="AA611" s="85">
        <v>1192791759</v>
      </c>
      <c r="AB611" s="85" t="s">
        <v>6649</v>
      </c>
      <c r="AC611" s="290" t="s">
        <v>196</v>
      </c>
      <c r="AD611" s="290" t="s">
        <v>196</v>
      </c>
      <c r="AE611" s="303"/>
      <c r="AF611" s="298" t="s">
        <v>8771</v>
      </c>
      <c r="AG611" s="290" t="s">
        <v>192</v>
      </c>
      <c r="AH611" s="290" t="s">
        <v>192</v>
      </c>
    </row>
    <row r="612" spans="1:34" s="297" customFormat="1" ht="15" customHeight="1" x14ac:dyDescent="0.2">
      <c r="A612" s="289">
        <v>891780111</v>
      </c>
      <c r="B612" s="289" t="s">
        <v>54</v>
      </c>
      <c r="C612" s="290" t="s">
        <v>59</v>
      </c>
      <c r="D612" s="289" t="s">
        <v>60</v>
      </c>
      <c r="E612" s="290" t="s">
        <v>8772</v>
      </c>
      <c r="F612" s="289" t="s">
        <v>61</v>
      </c>
      <c r="G612" s="85" t="s">
        <v>63</v>
      </c>
      <c r="H612" s="85" t="s">
        <v>73</v>
      </c>
      <c r="I612" s="237">
        <v>7583000</v>
      </c>
      <c r="J612" s="290"/>
      <c r="K612" s="291"/>
      <c r="L612" s="291"/>
      <c r="M612" s="292">
        <f t="shared" si="27"/>
        <v>7583000</v>
      </c>
      <c r="N612" s="85">
        <v>1081823159</v>
      </c>
      <c r="O612" s="85" t="s">
        <v>8773</v>
      </c>
      <c r="P612" s="85" t="s">
        <v>8774</v>
      </c>
      <c r="Q612" s="293">
        <v>45062</v>
      </c>
      <c r="R612" s="293">
        <v>45062</v>
      </c>
      <c r="S612" s="293">
        <v>45107</v>
      </c>
      <c r="T612" s="293"/>
      <c r="U612" s="293"/>
      <c r="V612" s="293"/>
      <c r="W612" s="294"/>
      <c r="X612" s="237">
        <v>0</v>
      </c>
      <c r="Y612" s="295">
        <f t="shared" si="28"/>
        <v>7583000</v>
      </c>
      <c r="Z612" s="296">
        <f t="shared" si="29"/>
        <v>0</v>
      </c>
      <c r="AA612" s="85">
        <v>1192791759</v>
      </c>
      <c r="AB612" s="85" t="s">
        <v>6649</v>
      </c>
      <c r="AC612" s="290" t="s">
        <v>196</v>
      </c>
      <c r="AD612" s="290" t="s">
        <v>196</v>
      </c>
      <c r="AE612" s="303"/>
      <c r="AF612" s="298" t="s">
        <v>8775</v>
      </c>
      <c r="AG612" s="290" t="s">
        <v>192</v>
      </c>
      <c r="AH612" s="290" t="s">
        <v>192</v>
      </c>
    </row>
    <row r="613" spans="1:34" s="297" customFormat="1" ht="15" customHeight="1" x14ac:dyDescent="0.2">
      <c r="A613" s="289">
        <v>891780111</v>
      </c>
      <c r="B613" s="289" t="s">
        <v>54</v>
      </c>
      <c r="C613" s="290" t="s">
        <v>59</v>
      </c>
      <c r="D613" s="289" t="s">
        <v>60</v>
      </c>
      <c r="E613" s="290" t="s">
        <v>8776</v>
      </c>
      <c r="F613" s="289" t="s">
        <v>61</v>
      </c>
      <c r="G613" s="85" t="s">
        <v>63</v>
      </c>
      <c r="H613" s="85" t="s">
        <v>73</v>
      </c>
      <c r="I613" s="237">
        <v>7583000</v>
      </c>
      <c r="J613" s="290"/>
      <c r="K613" s="291"/>
      <c r="L613" s="291"/>
      <c r="M613" s="292">
        <f t="shared" si="27"/>
        <v>7583000</v>
      </c>
      <c r="N613" s="85">
        <v>7602961</v>
      </c>
      <c r="O613" s="85" t="s">
        <v>8407</v>
      </c>
      <c r="P613" s="85" t="s">
        <v>8777</v>
      </c>
      <c r="Q613" s="293">
        <v>45064</v>
      </c>
      <c r="R613" s="293">
        <v>45064</v>
      </c>
      <c r="S613" s="293">
        <v>45107</v>
      </c>
      <c r="T613" s="293"/>
      <c r="U613" s="293"/>
      <c r="V613" s="293"/>
      <c r="W613" s="294"/>
      <c r="X613" s="237">
        <v>3033000</v>
      </c>
      <c r="Y613" s="295">
        <f t="shared" si="28"/>
        <v>4550000</v>
      </c>
      <c r="Z613" s="296">
        <f t="shared" si="29"/>
        <v>0.39997362521429514</v>
      </c>
      <c r="AA613" s="85">
        <v>1192791759</v>
      </c>
      <c r="AB613" s="85" t="s">
        <v>6649</v>
      </c>
      <c r="AC613" s="290" t="s">
        <v>196</v>
      </c>
      <c r="AD613" s="290" t="s">
        <v>196</v>
      </c>
      <c r="AE613" s="303"/>
      <c r="AF613" s="298" t="s">
        <v>8778</v>
      </c>
      <c r="AG613" s="290" t="s">
        <v>192</v>
      </c>
      <c r="AH613" s="290" t="s">
        <v>192</v>
      </c>
    </row>
    <row r="614" spans="1:34" s="297" customFormat="1" ht="15" customHeight="1" x14ac:dyDescent="0.2">
      <c r="A614" s="289">
        <v>891780111</v>
      </c>
      <c r="B614" s="289" t="s">
        <v>54</v>
      </c>
      <c r="C614" s="290" t="s">
        <v>56</v>
      </c>
      <c r="D614" s="289" t="s">
        <v>60</v>
      </c>
      <c r="E614" s="290" t="s">
        <v>8779</v>
      </c>
      <c r="F614" s="289" t="s">
        <v>61</v>
      </c>
      <c r="G614" s="85" t="s">
        <v>63</v>
      </c>
      <c r="H614" s="85" t="s">
        <v>73</v>
      </c>
      <c r="I614" s="237">
        <v>3800000</v>
      </c>
      <c r="J614" s="290"/>
      <c r="K614" s="291"/>
      <c r="L614" s="291"/>
      <c r="M614" s="292">
        <f t="shared" si="27"/>
        <v>3800000</v>
      </c>
      <c r="N614" s="85">
        <v>1082944952</v>
      </c>
      <c r="O614" s="85" t="s">
        <v>8780</v>
      </c>
      <c r="P614" s="85" t="s">
        <v>8781</v>
      </c>
      <c r="Q614" s="293">
        <v>45078</v>
      </c>
      <c r="R614" s="293">
        <v>45078</v>
      </c>
      <c r="S614" s="293">
        <v>45138</v>
      </c>
      <c r="T614" s="293"/>
      <c r="U614" s="293"/>
      <c r="V614" s="293"/>
      <c r="W614" s="294"/>
      <c r="X614" s="237">
        <v>1900000</v>
      </c>
      <c r="Y614" s="295">
        <f t="shared" si="28"/>
        <v>1900000</v>
      </c>
      <c r="Z614" s="296">
        <f t="shared" si="29"/>
        <v>0.5</v>
      </c>
      <c r="AA614" s="85">
        <v>85459497</v>
      </c>
      <c r="AB614" s="85" t="s">
        <v>4837</v>
      </c>
      <c r="AC614" s="290" t="s">
        <v>196</v>
      </c>
      <c r="AD614" s="290" t="s">
        <v>196</v>
      </c>
      <c r="AE614" s="303"/>
      <c r="AF614" s="298" t="s">
        <v>8782</v>
      </c>
      <c r="AG614" s="290" t="s">
        <v>192</v>
      </c>
      <c r="AH614" s="290" t="s">
        <v>192</v>
      </c>
    </row>
    <row r="615" spans="1:34" s="297" customFormat="1" ht="15" customHeight="1" x14ac:dyDescent="0.2">
      <c r="A615" s="289">
        <v>891780111</v>
      </c>
      <c r="B615" s="289" t="s">
        <v>54</v>
      </c>
      <c r="C615" s="290" t="s">
        <v>59</v>
      </c>
      <c r="D615" s="289" t="s">
        <v>60</v>
      </c>
      <c r="E615" s="290" t="s">
        <v>8783</v>
      </c>
      <c r="F615" s="289" t="s">
        <v>61</v>
      </c>
      <c r="G615" s="85" t="s">
        <v>63</v>
      </c>
      <c r="H615" s="85" t="s">
        <v>73</v>
      </c>
      <c r="I615" s="237">
        <v>3200000</v>
      </c>
      <c r="J615" s="290"/>
      <c r="K615" s="291"/>
      <c r="L615" s="291"/>
      <c r="M615" s="292">
        <f t="shared" si="27"/>
        <v>3200000</v>
      </c>
      <c r="N615" s="85">
        <v>1015432527</v>
      </c>
      <c r="O615" s="85" t="s">
        <v>1091</v>
      </c>
      <c r="P615" s="85" t="s">
        <v>8784</v>
      </c>
      <c r="Q615" s="293">
        <v>45078</v>
      </c>
      <c r="R615" s="293">
        <v>45078</v>
      </c>
      <c r="S615" s="293">
        <v>45138</v>
      </c>
      <c r="T615" s="293"/>
      <c r="U615" s="293"/>
      <c r="V615" s="293"/>
      <c r="W615" s="294"/>
      <c r="X615" s="237">
        <v>1600000</v>
      </c>
      <c r="Y615" s="295">
        <f t="shared" si="28"/>
        <v>1600000</v>
      </c>
      <c r="Z615" s="296">
        <f t="shared" si="29"/>
        <v>0.5</v>
      </c>
      <c r="AA615" s="85">
        <v>15443332</v>
      </c>
      <c r="AB615" s="85" t="s">
        <v>5907</v>
      </c>
      <c r="AC615" s="290" t="s">
        <v>196</v>
      </c>
      <c r="AD615" s="290" t="s">
        <v>196</v>
      </c>
      <c r="AE615" s="303"/>
      <c r="AF615" s="298" t="s">
        <v>8785</v>
      </c>
      <c r="AG615" s="290" t="s">
        <v>192</v>
      </c>
      <c r="AH615" s="290" t="s">
        <v>192</v>
      </c>
    </row>
    <row r="616" spans="1:34" s="297" customFormat="1" ht="15" customHeight="1" x14ac:dyDescent="0.2">
      <c r="A616" s="289">
        <v>891780111</v>
      </c>
      <c r="B616" s="289" t="s">
        <v>54</v>
      </c>
      <c r="C616" s="290" t="s">
        <v>59</v>
      </c>
      <c r="D616" s="289" t="s">
        <v>60</v>
      </c>
      <c r="E616" s="290" t="s">
        <v>8786</v>
      </c>
      <c r="F616" s="289" t="s">
        <v>61</v>
      </c>
      <c r="G616" s="85" t="s">
        <v>63</v>
      </c>
      <c r="H616" s="85" t="s">
        <v>73</v>
      </c>
      <c r="I616" s="237">
        <v>7800000</v>
      </c>
      <c r="J616" s="290"/>
      <c r="K616" s="291"/>
      <c r="L616" s="291"/>
      <c r="M616" s="292">
        <f t="shared" si="27"/>
        <v>7800000</v>
      </c>
      <c r="N616" s="85">
        <v>80057321</v>
      </c>
      <c r="O616" s="85" t="s">
        <v>8787</v>
      </c>
      <c r="P616" s="85" t="s">
        <v>8788</v>
      </c>
      <c r="Q616" s="293">
        <v>45078</v>
      </c>
      <c r="R616" s="293">
        <v>45078</v>
      </c>
      <c r="S616" s="293">
        <v>45138</v>
      </c>
      <c r="T616" s="293"/>
      <c r="U616" s="293"/>
      <c r="V616" s="293"/>
      <c r="W616" s="294"/>
      <c r="X616" s="237">
        <v>3900000</v>
      </c>
      <c r="Y616" s="295">
        <f t="shared" si="28"/>
        <v>3900000</v>
      </c>
      <c r="Z616" s="296">
        <f t="shared" si="29"/>
        <v>0.5</v>
      </c>
      <c r="AA616" s="85">
        <v>15443332</v>
      </c>
      <c r="AB616" s="85" t="s">
        <v>5907</v>
      </c>
      <c r="AC616" s="290" t="s">
        <v>196</v>
      </c>
      <c r="AD616" s="290" t="s">
        <v>196</v>
      </c>
      <c r="AE616" s="303"/>
      <c r="AF616" s="298" t="s">
        <v>8789</v>
      </c>
      <c r="AG616" s="290" t="s">
        <v>192</v>
      </c>
      <c r="AH616" s="290" t="s">
        <v>192</v>
      </c>
    </row>
    <row r="617" spans="1:34" s="297" customFormat="1" ht="15" customHeight="1" x14ac:dyDescent="0.2">
      <c r="A617" s="289">
        <v>891780111</v>
      </c>
      <c r="B617" s="289" t="s">
        <v>54</v>
      </c>
      <c r="C617" s="290" t="s">
        <v>56</v>
      </c>
      <c r="D617" s="289" t="s">
        <v>60</v>
      </c>
      <c r="E617" s="290" t="s">
        <v>8790</v>
      </c>
      <c r="F617" s="289" t="s">
        <v>61</v>
      </c>
      <c r="G617" s="85" t="s">
        <v>63</v>
      </c>
      <c r="H617" s="85" t="s">
        <v>73</v>
      </c>
      <c r="I617" s="237">
        <v>2400000</v>
      </c>
      <c r="J617" s="290"/>
      <c r="K617" s="291"/>
      <c r="L617" s="291"/>
      <c r="M617" s="292">
        <f t="shared" si="27"/>
        <v>2400000</v>
      </c>
      <c r="N617" s="85">
        <v>1082976921</v>
      </c>
      <c r="O617" s="85" t="s">
        <v>8791</v>
      </c>
      <c r="P617" s="85" t="s">
        <v>8792</v>
      </c>
      <c r="Q617" s="293">
        <v>45079</v>
      </c>
      <c r="R617" s="293">
        <v>45079</v>
      </c>
      <c r="S617" s="293">
        <v>45086</v>
      </c>
      <c r="T617" s="293"/>
      <c r="U617" s="293"/>
      <c r="V617" s="293"/>
      <c r="W617" s="294"/>
      <c r="X617" s="237">
        <v>2400000</v>
      </c>
      <c r="Y617" s="295">
        <f t="shared" si="28"/>
        <v>0</v>
      </c>
      <c r="Z617" s="296">
        <f t="shared" si="29"/>
        <v>1</v>
      </c>
      <c r="AA617" s="85">
        <v>36726018</v>
      </c>
      <c r="AB617" s="85" t="s">
        <v>7466</v>
      </c>
      <c r="AC617" s="290" t="s">
        <v>196</v>
      </c>
      <c r="AD617" s="290" t="s">
        <v>196</v>
      </c>
      <c r="AE617" s="303"/>
      <c r="AF617" s="298" t="s">
        <v>8793</v>
      </c>
      <c r="AG617" s="290" t="s">
        <v>192</v>
      </c>
      <c r="AH617" s="290" t="s">
        <v>192</v>
      </c>
    </row>
    <row r="618" spans="1:34" s="297" customFormat="1" ht="15" customHeight="1" x14ac:dyDescent="0.2">
      <c r="A618" s="289">
        <v>891780111</v>
      </c>
      <c r="B618" s="289" t="s">
        <v>54</v>
      </c>
      <c r="C618" s="290" t="s">
        <v>56</v>
      </c>
      <c r="D618" s="289" t="s">
        <v>60</v>
      </c>
      <c r="E618" s="290" t="s">
        <v>8794</v>
      </c>
      <c r="F618" s="289" t="s">
        <v>61</v>
      </c>
      <c r="G618" s="85" t="s">
        <v>63</v>
      </c>
      <c r="H618" s="85" t="s">
        <v>73</v>
      </c>
      <c r="I618" s="237">
        <v>2400000</v>
      </c>
      <c r="J618" s="290"/>
      <c r="K618" s="291"/>
      <c r="L618" s="291"/>
      <c r="M618" s="292">
        <f t="shared" si="27"/>
        <v>2400000</v>
      </c>
      <c r="N618" s="85">
        <v>1082947495</v>
      </c>
      <c r="O618" s="85" t="s">
        <v>8795</v>
      </c>
      <c r="P618" s="85" t="s">
        <v>8792</v>
      </c>
      <c r="Q618" s="293">
        <v>45082</v>
      </c>
      <c r="R618" s="293">
        <v>45082</v>
      </c>
      <c r="S618" s="293">
        <v>45086</v>
      </c>
      <c r="T618" s="293"/>
      <c r="U618" s="293"/>
      <c r="V618" s="293"/>
      <c r="W618" s="294"/>
      <c r="X618" s="237">
        <v>2400000</v>
      </c>
      <c r="Y618" s="295">
        <f t="shared" si="28"/>
        <v>0</v>
      </c>
      <c r="Z618" s="296">
        <f t="shared" si="29"/>
        <v>1</v>
      </c>
      <c r="AA618" s="85">
        <v>36726018</v>
      </c>
      <c r="AB618" s="85" t="s">
        <v>7466</v>
      </c>
      <c r="AC618" s="290" t="s">
        <v>196</v>
      </c>
      <c r="AD618" s="290" t="s">
        <v>196</v>
      </c>
      <c r="AE618" s="303"/>
      <c r="AF618" s="298" t="s">
        <v>8796</v>
      </c>
      <c r="AG618" s="290" t="s">
        <v>192</v>
      </c>
      <c r="AH618" s="290" t="s">
        <v>192</v>
      </c>
    </row>
    <row r="619" spans="1:34" s="297" customFormat="1" ht="15" customHeight="1" x14ac:dyDescent="0.2">
      <c r="A619" s="289">
        <v>891780111</v>
      </c>
      <c r="B619" s="289" t="s">
        <v>54</v>
      </c>
      <c r="C619" s="290" t="s">
        <v>56</v>
      </c>
      <c r="D619" s="289" t="s">
        <v>60</v>
      </c>
      <c r="E619" s="290" t="s">
        <v>8797</v>
      </c>
      <c r="F619" s="289" t="s">
        <v>61</v>
      </c>
      <c r="G619" s="85" t="s">
        <v>63</v>
      </c>
      <c r="H619" s="85" t="s">
        <v>73</v>
      </c>
      <c r="I619" s="237">
        <v>2400000</v>
      </c>
      <c r="J619" s="290"/>
      <c r="K619" s="291"/>
      <c r="L619" s="291"/>
      <c r="M619" s="292">
        <f t="shared" si="27"/>
        <v>2400000</v>
      </c>
      <c r="N619" s="85">
        <v>63549864</v>
      </c>
      <c r="O619" s="85" t="s">
        <v>6453</v>
      </c>
      <c r="P619" s="85" t="s">
        <v>8792</v>
      </c>
      <c r="Q619" s="293">
        <v>45082</v>
      </c>
      <c r="R619" s="293">
        <v>45082</v>
      </c>
      <c r="S619" s="293">
        <v>45086</v>
      </c>
      <c r="T619" s="293"/>
      <c r="U619" s="293"/>
      <c r="V619" s="293"/>
      <c r="W619" s="294"/>
      <c r="X619" s="237">
        <v>2400000</v>
      </c>
      <c r="Y619" s="295">
        <f t="shared" si="28"/>
        <v>0</v>
      </c>
      <c r="Z619" s="296">
        <f t="shared" si="29"/>
        <v>1</v>
      </c>
      <c r="AA619" s="85">
        <v>36726018</v>
      </c>
      <c r="AB619" s="85" t="s">
        <v>7466</v>
      </c>
      <c r="AC619" s="290" t="s">
        <v>196</v>
      </c>
      <c r="AD619" s="290" t="s">
        <v>196</v>
      </c>
      <c r="AE619" s="303"/>
      <c r="AF619" s="298" t="s">
        <v>8798</v>
      </c>
      <c r="AG619" s="290" t="s">
        <v>192</v>
      </c>
      <c r="AH619" s="290" t="s">
        <v>192</v>
      </c>
    </row>
    <row r="620" spans="1:34" s="297" customFormat="1" ht="15" customHeight="1" x14ac:dyDescent="0.2">
      <c r="A620" s="289">
        <v>891780111</v>
      </c>
      <c r="B620" s="289" t="s">
        <v>54</v>
      </c>
      <c r="C620" s="290" t="s">
        <v>56</v>
      </c>
      <c r="D620" s="289" t="s">
        <v>60</v>
      </c>
      <c r="E620" s="290" t="s">
        <v>8799</v>
      </c>
      <c r="F620" s="289" t="s">
        <v>61</v>
      </c>
      <c r="G620" s="85" t="s">
        <v>63</v>
      </c>
      <c r="H620" s="85" t="s">
        <v>73</v>
      </c>
      <c r="I620" s="237">
        <v>2400000</v>
      </c>
      <c r="J620" s="290"/>
      <c r="K620" s="291"/>
      <c r="L620" s="291"/>
      <c r="M620" s="292">
        <f t="shared" si="27"/>
        <v>2400000</v>
      </c>
      <c r="N620" s="85">
        <v>1082914400</v>
      </c>
      <c r="O620" s="85" t="s">
        <v>8800</v>
      </c>
      <c r="P620" s="85" t="s">
        <v>8792</v>
      </c>
      <c r="Q620" s="293">
        <v>45082</v>
      </c>
      <c r="R620" s="293">
        <v>45082</v>
      </c>
      <c r="S620" s="293">
        <v>45086</v>
      </c>
      <c r="T620" s="293"/>
      <c r="U620" s="293"/>
      <c r="V620" s="293"/>
      <c r="W620" s="294"/>
      <c r="X620" s="237">
        <v>2400000</v>
      </c>
      <c r="Y620" s="295">
        <f t="shared" si="28"/>
        <v>0</v>
      </c>
      <c r="Z620" s="296">
        <f t="shared" si="29"/>
        <v>1</v>
      </c>
      <c r="AA620" s="85">
        <v>36726018</v>
      </c>
      <c r="AB620" s="85" t="s">
        <v>7466</v>
      </c>
      <c r="AC620" s="290" t="s">
        <v>196</v>
      </c>
      <c r="AD620" s="290" t="s">
        <v>196</v>
      </c>
      <c r="AE620" s="303"/>
      <c r="AF620" s="298" t="s">
        <v>8801</v>
      </c>
      <c r="AG620" s="290" t="s">
        <v>192</v>
      </c>
      <c r="AH620" s="290" t="s">
        <v>192</v>
      </c>
    </row>
    <row r="621" spans="1:34" s="297" customFormat="1" ht="15" customHeight="1" x14ac:dyDescent="0.2">
      <c r="A621" s="289">
        <v>891780111</v>
      </c>
      <c r="B621" s="289" t="s">
        <v>54</v>
      </c>
      <c r="C621" s="290" t="s">
        <v>56</v>
      </c>
      <c r="D621" s="289" t="s">
        <v>60</v>
      </c>
      <c r="E621" s="290" t="s">
        <v>8802</v>
      </c>
      <c r="F621" s="289" t="s">
        <v>61</v>
      </c>
      <c r="G621" s="85" t="s">
        <v>63</v>
      </c>
      <c r="H621" s="85" t="s">
        <v>73</v>
      </c>
      <c r="I621" s="237">
        <v>2400000</v>
      </c>
      <c r="J621" s="290"/>
      <c r="K621" s="291"/>
      <c r="L621" s="291"/>
      <c r="M621" s="292">
        <f t="shared" si="27"/>
        <v>2400000</v>
      </c>
      <c r="N621" s="85">
        <v>1083032147</v>
      </c>
      <c r="O621" s="85" t="s">
        <v>8803</v>
      </c>
      <c r="P621" s="85" t="s">
        <v>8792</v>
      </c>
      <c r="Q621" s="293">
        <v>45082</v>
      </c>
      <c r="R621" s="293">
        <v>45082</v>
      </c>
      <c r="S621" s="293">
        <v>45086</v>
      </c>
      <c r="T621" s="293"/>
      <c r="U621" s="293"/>
      <c r="V621" s="293"/>
      <c r="W621" s="294"/>
      <c r="X621" s="237">
        <v>2400000</v>
      </c>
      <c r="Y621" s="295">
        <f t="shared" si="28"/>
        <v>0</v>
      </c>
      <c r="Z621" s="296">
        <f t="shared" si="29"/>
        <v>1</v>
      </c>
      <c r="AA621" s="85">
        <v>36726018</v>
      </c>
      <c r="AB621" s="85" t="s">
        <v>7466</v>
      </c>
      <c r="AC621" s="290" t="s">
        <v>196</v>
      </c>
      <c r="AD621" s="290" t="s">
        <v>196</v>
      </c>
      <c r="AE621" s="303"/>
      <c r="AF621" s="298" t="s">
        <v>8804</v>
      </c>
      <c r="AG621" s="290" t="s">
        <v>192</v>
      </c>
      <c r="AH621" s="290" t="s">
        <v>192</v>
      </c>
    </row>
    <row r="622" spans="1:34" s="297" customFormat="1" ht="15" customHeight="1" x14ac:dyDescent="0.2">
      <c r="A622" s="289">
        <v>891780111</v>
      </c>
      <c r="B622" s="289" t="s">
        <v>54</v>
      </c>
      <c r="C622" s="290" t="s">
        <v>56</v>
      </c>
      <c r="D622" s="289" t="s">
        <v>60</v>
      </c>
      <c r="E622" s="290" t="s">
        <v>8805</v>
      </c>
      <c r="F622" s="289" t="s">
        <v>61</v>
      </c>
      <c r="G622" s="85" t="s">
        <v>63</v>
      </c>
      <c r="H622" s="85" t="s">
        <v>73</v>
      </c>
      <c r="I622" s="237">
        <v>5200000</v>
      </c>
      <c r="J622" s="290"/>
      <c r="K622" s="291"/>
      <c r="L622" s="291"/>
      <c r="M622" s="292">
        <f t="shared" si="27"/>
        <v>5200000</v>
      </c>
      <c r="N622" s="85">
        <v>1083020916</v>
      </c>
      <c r="O622" s="85" t="s">
        <v>8169</v>
      </c>
      <c r="P622" s="85" t="s">
        <v>8806</v>
      </c>
      <c r="Q622" s="293">
        <v>45086</v>
      </c>
      <c r="R622" s="293">
        <v>45086</v>
      </c>
      <c r="S622" s="293">
        <v>45138</v>
      </c>
      <c r="T622" s="293"/>
      <c r="U622" s="293"/>
      <c r="V622" s="293"/>
      <c r="W622" s="294"/>
      <c r="X622" s="237">
        <v>2600000</v>
      </c>
      <c r="Y622" s="295">
        <f t="shared" si="28"/>
        <v>2600000</v>
      </c>
      <c r="Z622" s="296">
        <f t="shared" si="29"/>
        <v>0.5</v>
      </c>
      <c r="AA622" s="85">
        <v>7631392</v>
      </c>
      <c r="AB622" s="85" t="s">
        <v>6633</v>
      </c>
      <c r="AC622" s="290" t="s">
        <v>196</v>
      </c>
      <c r="AD622" s="290" t="s">
        <v>196</v>
      </c>
      <c r="AE622" s="303"/>
      <c r="AF622" s="298" t="s">
        <v>8807</v>
      </c>
      <c r="AG622" s="290" t="s">
        <v>192</v>
      </c>
      <c r="AH622" s="290" t="s">
        <v>192</v>
      </c>
    </row>
    <row r="623" spans="1:34" s="297" customFormat="1" ht="15" customHeight="1" x14ac:dyDescent="0.2">
      <c r="A623" s="289">
        <v>891780111</v>
      </c>
      <c r="B623" s="289" t="s">
        <v>54</v>
      </c>
      <c r="C623" s="290" t="s">
        <v>56</v>
      </c>
      <c r="D623" s="289" t="s">
        <v>60</v>
      </c>
      <c r="E623" s="290" t="s">
        <v>8808</v>
      </c>
      <c r="F623" s="289" t="s">
        <v>61</v>
      </c>
      <c r="G623" s="85" t="s">
        <v>63</v>
      </c>
      <c r="H623" s="85" t="s">
        <v>73</v>
      </c>
      <c r="I623" s="237">
        <v>5200000</v>
      </c>
      <c r="J623" s="290"/>
      <c r="K623" s="291"/>
      <c r="L623" s="291"/>
      <c r="M623" s="292">
        <f t="shared" si="27"/>
        <v>5200000</v>
      </c>
      <c r="N623" s="85">
        <v>1083029737</v>
      </c>
      <c r="O623" s="85" t="s">
        <v>8273</v>
      </c>
      <c r="P623" s="85" t="s">
        <v>8809</v>
      </c>
      <c r="Q623" s="293">
        <v>45086</v>
      </c>
      <c r="R623" s="293">
        <v>45086</v>
      </c>
      <c r="S623" s="293">
        <v>45138</v>
      </c>
      <c r="T623" s="293"/>
      <c r="U623" s="293"/>
      <c r="V623" s="293"/>
      <c r="W623" s="294"/>
      <c r="X623" s="237">
        <v>0</v>
      </c>
      <c r="Y623" s="295">
        <f t="shared" si="28"/>
        <v>5200000</v>
      </c>
      <c r="Z623" s="296">
        <f t="shared" si="29"/>
        <v>0</v>
      </c>
      <c r="AA623" s="85">
        <v>7631392</v>
      </c>
      <c r="AB623" s="85" t="s">
        <v>6633</v>
      </c>
      <c r="AC623" s="290" t="s">
        <v>196</v>
      </c>
      <c r="AD623" s="290" t="s">
        <v>196</v>
      </c>
      <c r="AE623" s="303"/>
      <c r="AF623" s="298" t="s">
        <v>8810</v>
      </c>
      <c r="AG623" s="290" t="s">
        <v>192</v>
      </c>
      <c r="AH623" s="290" t="s">
        <v>192</v>
      </c>
    </row>
    <row r="624" spans="1:34" s="297" customFormat="1" ht="15" customHeight="1" x14ac:dyDescent="0.2">
      <c r="A624" s="289">
        <v>891780111</v>
      </c>
      <c r="B624" s="289" t="s">
        <v>54</v>
      </c>
      <c r="C624" s="290" t="s">
        <v>59</v>
      </c>
      <c r="D624" s="289" t="s">
        <v>60</v>
      </c>
      <c r="E624" s="290" t="s">
        <v>8811</v>
      </c>
      <c r="F624" s="289" t="s">
        <v>61</v>
      </c>
      <c r="G624" s="85" t="s">
        <v>63</v>
      </c>
      <c r="H624" s="85" t="s">
        <v>73</v>
      </c>
      <c r="I624" s="237">
        <v>8000000</v>
      </c>
      <c r="J624" s="290"/>
      <c r="K624" s="291"/>
      <c r="L624" s="291"/>
      <c r="M624" s="292">
        <f t="shared" si="27"/>
        <v>8000000</v>
      </c>
      <c r="N624" s="85">
        <v>1082937823</v>
      </c>
      <c r="O624" s="85" t="s">
        <v>8812</v>
      </c>
      <c r="P624" s="85" t="s">
        <v>8155</v>
      </c>
      <c r="Q624" s="293">
        <v>45086</v>
      </c>
      <c r="R624" s="293">
        <v>45086</v>
      </c>
      <c r="S624" s="293">
        <v>45138</v>
      </c>
      <c r="T624" s="293"/>
      <c r="U624" s="293"/>
      <c r="V624" s="293"/>
      <c r="W624" s="294"/>
      <c r="X624" s="237">
        <v>4000000</v>
      </c>
      <c r="Y624" s="295">
        <f t="shared" si="28"/>
        <v>4000000</v>
      </c>
      <c r="Z624" s="296">
        <f t="shared" si="29"/>
        <v>0.5</v>
      </c>
      <c r="AA624" s="85">
        <v>1192791759</v>
      </c>
      <c r="AB624" s="85" t="s">
        <v>6649</v>
      </c>
      <c r="AC624" s="290" t="s">
        <v>196</v>
      </c>
      <c r="AD624" s="290" t="s">
        <v>196</v>
      </c>
      <c r="AE624" s="303"/>
      <c r="AF624" s="298" t="s">
        <v>8813</v>
      </c>
      <c r="AG624" s="290" t="s">
        <v>192</v>
      </c>
      <c r="AH624" s="290" t="s">
        <v>192</v>
      </c>
    </row>
    <row r="625" spans="1:34" s="297" customFormat="1" ht="15" customHeight="1" x14ac:dyDescent="0.2">
      <c r="A625" s="289">
        <v>891780111</v>
      </c>
      <c r="B625" s="289" t="s">
        <v>54</v>
      </c>
      <c r="C625" s="290" t="s">
        <v>56</v>
      </c>
      <c r="D625" s="289" t="s">
        <v>60</v>
      </c>
      <c r="E625" s="290" t="s">
        <v>8814</v>
      </c>
      <c r="F625" s="289" t="s">
        <v>61</v>
      </c>
      <c r="G625" s="85" t="s">
        <v>63</v>
      </c>
      <c r="H625" s="85" t="s">
        <v>73</v>
      </c>
      <c r="I625" s="237">
        <v>3800000</v>
      </c>
      <c r="J625" s="290"/>
      <c r="K625" s="291"/>
      <c r="L625" s="291"/>
      <c r="M625" s="292">
        <f t="shared" si="27"/>
        <v>3800000</v>
      </c>
      <c r="N625" s="85">
        <v>1004346785</v>
      </c>
      <c r="O625" s="85" t="s">
        <v>498</v>
      </c>
      <c r="P625" s="85" t="s">
        <v>8815</v>
      </c>
      <c r="Q625" s="293">
        <v>45086</v>
      </c>
      <c r="R625" s="293">
        <v>45086</v>
      </c>
      <c r="S625" s="293">
        <v>45138</v>
      </c>
      <c r="T625" s="293"/>
      <c r="U625" s="293"/>
      <c r="V625" s="293"/>
      <c r="W625" s="294"/>
      <c r="X625" s="237">
        <v>0</v>
      </c>
      <c r="Y625" s="295">
        <f t="shared" si="28"/>
        <v>3800000</v>
      </c>
      <c r="Z625" s="296">
        <f t="shared" si="29"/>
        <v>0</v>
      </c>
      <c r="AA625" s="85">
        <v>7631392</v>
      </c>
      <c r="AB625" s="85" t="s">
        <v>6633</v>
      </c>
      <c r="AC625" s="290" t="s">
        <v>196</v>
      </c>
      <c r="AD625" s="290" t="s">
        <v>196</v>
      </c>
      <c r="AE625" s="303"/>
      <c r="AF625" s="298" t="s">
        <v>8816</v>
      </c>
      <c r="AG625" s="290" t="s">
        <v>192</v>
      </c>
      <c r="AH625" s="290" t="s">
        <v>192</v>
      </c>
    </row>
    <row r="626" spans="1:34" s="297" customFormat="1" ht="15" customHeight="1" x14ac:dyDescent="0.2">
      <c r="A626" s="289">
        <v>891780111</v>
      </c>
      <c r="B626" s="289" t="s">
        <v>54</v>
      </c>
      <c r="C626" s="290" t="s">
        <v>59</v>
      </c>
      <c r="D626" s="289" t="s">
        <v>60</v>
      </c>
      <c r="E626" s="290" t="s">
        <v>8817</v>
      </c>
      <c r="F626" s="289" t="s">
        <v>61</v>
      </c>
      <c r="G626" s="85" t="s">
        <v>63</v>
      </c>
      <c r="H626" s="85" t="s">
        <v>73</v>
      </c>
      <c r="I626" s="237">
        <v>9000000</v>
      </c>
      <c r="J626" s="290"/>
      <c r="K626" s="291"/>
      <c r="L626" s="291"/>
      <c r="M626" s="292">
        <f t="shared" si="27"/>
        <v>9000000</v>
      </c>
      <c r="N626" s="85">
        <v>1082982258</v>
      </c>
      <c r="O626" s="85" t="s">
        <v>8173</v>
      </c>
      <c r="P626" s="85" t="s">
        <v>8818</v>
      </c>
      <c r="Q626" s="293">
        <v>45091</v>
      </c>
      <c r="R626" s="293">
        <v>45091</v>
      </c>
      <c r="S626" s="293">
        <v>45138</v>
      </c>
      <c r="T626" s="293"/>
      <c r="U626" s="293"/>
      <c r="V626" s="293"/>
      <c r="W626" s="294"/>
      <c r="X626" s="237">
        <v>4500000</v>
      </c>
      <c r="Y626" s="295">
        <f t="shared" si="28"/>
        <v>4500000</v>
      </c>
      <c r="Z626" s="296">
        <f t="shared" si="29"/>
        <v>0.5</v>
      </c>
      <c r="AA626" s="85">
        <v>1192791759</v>
      </c>
      <c r="AB626" s="85" t="s">
        <v>6649</v>
      </c>
      <c r="AC626" s="290" t="s">
        <v>196</v>
      </c>
      <c r="AD626" s="290" t="s">
        <v>196</v>
      </c>
      <c r="AE626" s="303"/>
      <c r="AF626" s="298" t="s">
        <v>8819</v>
      </c>
      <c r="AG626" s="290" t="s">
        <v>192</v>
      </c>
      <c r="AH626" s="290" t="s">
        <v>192</v>
      </c>
    </row>
    <row r="627" spans="1:34" s="297" customFormat="1" ht="15" customHeight="1" x14ac:dyDescent="0.2">
      <c r="A627" s="289">
        <v>891780111</v>
      </c>
      <c r="B627" s="289" t="s">
        <v>54</v>
      </c>
      <c r="C627" s="290" t="s">
        <v>56</v>
      </c>
      <c r="D627" s="289" t="s">
        <v>60</v>
      </c>
      <c r="E627" s="290" t="s">
        <v>8820</v>
      </c>
      <c r="F627" s="289" t="s">
        <v>61</v>
      </c>
      <c r="G627" s="85" t="s">
        <v>63</v>
      </c>
      <c r="H627" s="85" t="s">
        <v>73</v>
      </c>
      <c r="I627" s="237">
        <v>3800000</v>
      </c>
      <c r="J627" s="290"/>
      <c r="K627" s="291"/>
      <c r="L627" s="291"/>
      <c r="M627" s="292">
        <f t="shared" si="27"/>
        <v>3800000</v>
      </c>
      <c r="N627" s="85">
        <v>1082966872</v>
      </c>
      <c r="O627" s="85" t="s">
        <v>8821</v>
      </c>
      <c r="P627" s="85" t="s">
        <v>8822</v>
      </c>
      <c r="Q627" s="293">
        <v>45091</v>
      </c>
      <c r="R627" s="293">
        <v>45091</v>
      </c>
      <c r="S627" s="293">
        <v>45138</v>
      </c>
      <c r="T627" s="293"/>
      <c r="U627" s="293"/>
      <c r="V627" s="293"/>
      <c r="W627" s="294"/>
      <c r="X627" s="237">
        <v>1900000</v>
      </c>
      <c r="Y627" s="295">
        <f t="shared" si="28"/>
        <v>1900000</v>
      </c>
      <c r="Z627" s="296">
        <f t="shared" si="29"/>
        <v>0.5</v>
      </c>
      <c r="AA627" s="85">
        <v>36564011</v>
      </c>
      <c r="AB627" s="85" t="s">
        <v>6121</v>
      </c>
      <c r="AC627" s="290" t="s">
        <v>196</v>
      </c>
      <c r="AD627" s="290" t="s">
        <v>196</v>
      </c>
      <c r="AE627" s="303"/>
      <c r="AF627" s="298" t="s">
        <v>8823</v>
      </c>
      <c r="AG627" s="290" t="s">
        <v>192</v>
      </c>
      <c r="AH627" s="290" t="s">
        <v>192</v>
      </c>
    </row>
    <row r="628" spans="1:34" s="297" customFormat="1" ht="15" customHeight="1" x14ac:dyDescent="0.2">
      <c r="A628" s="289">
        <v>891780111</v>
      </c>
      <c r="B628" s="289" t="s">
        <v>54</v>
      </c>
      <c r="C628" s="290" t="s">
        <v>56</v>
      </c>
      <c r="D628" s="289" t="s">
        <v>60</v>
      </c>
      <c r="E628" s="290" t="s">
        <v>8824</v>
      </c>
      <c r="F628" s="289" t="s">
        <v>61</v>
      </c>
      <c r="G628" s="85" t="s">
        <v>63</v>
      </c>
      <c r="H628" s="85" t="s">
        <v>73</v>
      </c>
      <c r="I628" s="237">
        <v>1447000</v>
      </c>
      <c r="J628" s="290"/>
      <c r="K628" s="291"/>
      <c r="L628" s="291"/>
      <c r="M628" s="292">
        <f t="shared" si="27"/>
        <v>1447000</v>
      </c>
      <c r="N628" s="85">
        <v>1082410248</v>
      </c>
      <c r="O628" s="85" t="s">
        <v>6647</v>
      </c>
      <c r="P628" s="85" t="s">
        <v>8825</v>
      </c>
      <c r="Q628" s="293">
        <v>45098</v>
      </c>
      <c r="R628" s="293">
        <v>45098</v>
      </c>
      <c r="S628" s="293">
        <v>45107</v>
      </c>
      <c r="T628" s="293"/>
      <c r="U628" s="293"/>
      <c r="V628" s="293"/>
      <c r="W628" s="294"/>
      <c r="X628" s="237">
        <v>1447000</v>
      </c>
      <c r="Y628" s="295">
        <f t="shared" si="28"/>
        <v>0</v>
      </c>
      <c r="Z628" s="296">
        <f t="shared" si="29"/>
        <v>1</v>
      </c>
      <c r="AA628" s="85">
        <v>1192791759</v>
      </c>
      <c r="AB628" s="85" t="s">
        <v>6649</v>
      </c>
      <c r="AC628" s="290" t="s">
        <v>196</v>
      </c>
      <c r="AD628" s="290" t="s">
        <v>196</v>
      </c>
      <c r="AE628" s="303"/>
      <c r="AF628" s="298" t="s">
        <v>8826</v>
      </c>
      <c r="AG628" s="290" t="s">
        <v>192</v>
      </c>
      <c r="AH628" s="290" t="s">
        <v>192</v>
      </c>
    </row>
    <row r="629" spans="1:34" s="297" customFormat="1" ht="15" customHeight="1" x14ac:dyDescent="0.2">
      <c r="A629" s="289">
        <v>891780111</v>
      </c>
      <c r="B629" s="289" t="s">
        <v>54</v>
      </c>
      <c r="C629" s="290" t="s">
        <v>56</v>
      </c>
      <c r="D629" s="289" t="s">
        <v>60</v>
      </c>
      <c r="E629" s="290" t="s">
        <v>8827</v>
      </c>
      <c r="F629" s="289" t="s">
        <v>61</v>
      </c>
      <c r="G629" s="85" t="s">
        <v>63</v>
      </c>
      <c r="H629" s="85" t="s">
        <v>73</v>
      </c>
      <c r="I629" s="237">
        <v>7750000</v>
      </c>
      <c r="J629" s="290"/>
      <c r="K629" s="291"/>
      <c r="L629" s="291"/>
      <c r="M629" s="292">
        <f>I629+K629-L629</f>
        <v>7750000</v>
      </c>
      <c r="N629" s="85">
        <v>7144506</v>
      </c>
      <c r="O629" s="85" t="s">
        <v>8828</v>
      </c>
      <c r="P629" s="85" t="s">
        <v>8829</v>
      </c>
      <c r="Q629" s="293">
        <v>45099</v>
      </c>
      <c r="R629" s="293">
        <v>45099</v>
      </c>
      <c r="S629" s="293">
        <v>45169</v>
      </c>
      <c r="T629" s="293"/>
      <c r="U629" s="293"/>
      <c r="V629" s="293"/>
      <c r="W629" s="294"/>
      <c r="X629" s="237">
        <v>1550000</v>
      </c>
      <c r="Y629" s="295">
        <f t="shared" si="28"/>
        <v>6200000</v>
      </c>
      <c r="Z629" s="296">
        <f t="shared" si="29"/>
        <v>0.2</v>
      </c>
      <c r="AA629" s="85">
        <v>85449357</v>
      </c>
      <c r="AB629" s="85" t="s">
        <v>6553</v>
      </c>
      <c r="AC629" s="290" t="s">
        <v>196</v>
      </c>
      <c r="AD629" s="290" t="s">
        <v>196</v>
      </c>
      <c r="AE629" s="303"/>
      <c r="AF629" s="298" t="s">
        <v>8830</v>
      </c>
      <c r="AG629" s="290" t="s">
        <v>192</v>
      </c>
      <c r="AH629" s="290" t="s">
        <v>192</v>
      </c>
    </row>
    <row r="630" spans="1:34" s="297" customFormat="1" ht="15" customHeight="1" x14ac:dyDescent="0.2">
      <c r="A630" s="289">
        <v>891780111</v>
      </c>
      <c r="B630" s="289" t="s">
        <v>54</v>
      </c>
      <c r="C630" s="290" t="s">
        <v>59</v>
      </c>
      <c r="D630" s="289" t="s">
        <v>60</v>
      </c>
      <c r="E630" s="290" t="s">
        <v>8831</v>
      </c>
      <c r="F630" s="289" t="s">
        <v>61</v>
      </c>
      <c r="G630" s="85" t="s">
        <v>63</v>
      </c>
      <c r="H630" s="85" t="s">
        <v>73</v>
      </c>
      <c r="I630" s="237">
        <v>9000000</v>
      </c>
      <c r="J630" s="290"/>
      <c r="K630" s="291"/>
      <c r="L630" s="291"/>
      <c r="M630" s="292">
        <f t="shared" si="27"/>
        <v>9000000</v>
      </c>
      <c r="N630" s="85">
        <v>79738530</v>
      </c>
      <c r="O630" s="85" t="s">
        <v>8832</v>
      </c>
      <c r="P630" s="85" t="s">
        <v>8833</v>
      </c>
      <c r="Q630" s="293">
        <v>45099</v>
      </c>
      <c r="R630" s="293">
        <v>45099</v>
      </c>
      <c r="S630" s="293">
        <v>45153</v>
      </c>
      <c r="T630" s="293"/>
      <c r="U630" s="293"/>
      <c r="V630" s="293"/>
      <c r="W630" s="294"/>
      <c r="X630" s="237">
        <v>0</v>
      </c>
      <c r="Y630" s="295">
        <f>M630-X630</f>
        <v>9000000</v>
      </c>
      <c r="Z630" s="296">
        <f t="shared" si="29"/>
        <v>0</v>
      </c>
      <c r="AA630" s="85">
        <v>15443332</v>
      </c>
      <c r="AB630" s="85" t="s">
        <v>5907</v>
      </c>
      <c r="AC630" s="290" t="s">
        <v>196</v>
      </c>
      <c r="AD630" s="290" t="s">
        <v>196</v>
      </c>
      <c r="AE630" s="303"/>
      <c r="AF630" s="298" t="s">
        <v>8834</v>
      </c>
      <c r="AG630" s="290" t="s">
        <v>192</v>
      </c>
      <c r="AH630" s="290" t="s">
        <v>192</v>
      </c>
    </row>
    <row r="631" spans="1:34" s="297" customFormat="1" ht="15" customHeight="1" x14ac:dyDescent="0.2">
      <c r="A631" s="289">
        <v>891780111</v>
      </c>
      <c r="B631" s="289" t="s">
        <v>54</v>
      </c>
      <c r="C631" s="290" t="s">
        <v>56</v>
      </c>
      <c r="D631" s="289" t="s">
        <v>60</v>
      </c>
      <c r="E631" s="290" t="s">
        <v>8835</v>
      </c>
      <c r="F631" s="289" t="s">
        <v>61</v>
      </c>
      <c r="G631" s="85" t="s">
        <v>63</v>
      </c>
      <c r="H631" s="85" t="s">
        <v>73</v>
      </c>
      <c r="I631" s="237">
        <v>5300000</v>
      </c>
      <c r="J631" s="290"/>
      <c r="K631" s="291"/>
      <c r="L631" s="291"/>
      <c r="M631" s="292">
        <f t="shared" si="27"/>
        <v>5300000</v>
      </c>
      <c r="N631" s="85">
        <v>1082981978</v>
      </c>
      <c r="O631" s="85" t="s">
        <v>8836</v>
      </c>
      <c r="P631" s="85" t="s">
        <v>8837</v>
      </c>
      <c r="Q631" s="293">
        <v>45104</v>
      </c>
      <c r="R631" s="293">
        <v>45111</v>
      </c>
      <c r="S631" s="293">
        <v>45169</v>
      </c>
      <c r="T631" s="293"/>
      <c r="U631" s="293"/>
      <c r="V631" s="293"/>
      <c r="W631" s="294"/>
      <c r="X631" s="306">
        <v>2650000</v>
      </c>
      <c r="Y631" s="295">
        <f t="shared" si="28"/>
        <v>2650000</v>
      </c>
      <c r="Z631" s="296">
        <f t="shared" si="29"/>
        <v>0.5</v>
      </c>
      <c r="AA631" s="85">
        <v>26668285</v>
      </c>
      <c r="AB631" s="85" t="s">
        <v>5038</v>
      </c>
      <c r="AC631" s="290" t="s">
        <v>196</v>
      </c>
      <c r="AD631" s="290" t="s">
        <v>196</v>
      </c>
      <c r="AE631" s="303"/>
      <c r="AF631" s="298" t="s">
        <v>8838</v>
      </c>
      <c r="AG631" s="290" t="s">
        <v>192</v>
      </c>
      <c r="AH631" s="290" t="s">
        <v>192</v>
      </c>
    </row>
    <row r="632" spans="1:34" s="311" customFormat="1" ht="15" customHeight="1" x14ac:dyDescent="0.2">
      <c r="A632" s="289">
        <v>891780111</v>
      </c>
      <c r="B632" s="307" t="s">
        <v>54</v>
      </c>
      <c r="C632" s="299" t="s">
        <v>56</v>
      </c>
      <c r="D632" s="308" t="s">
        <v>60</v>
      </c>
      <c r="E632" s="299" t="s">
        <v>8839</v>
      </c>
      <c r="F632" s="308" t="s">
        <v>61</v>
      </c>
      <c r="G632" s="302" t="s">
        <v>63</v>
      </c>
      <c r="H632" s="302" t="s">
        <v>73</v>
      </c>
      <c r="I632" s="300">
        <v>17500000</v>
      </c>
      <c r="J632" s="299"/>
      <c r="K632" s="301"/>
      <c r="L632" s="301"/>
      <c r="M632" s="292">
        <f t="shared" si="27"/>
        <v>17500000</v>
      </c>
      <c r="N632" s="302">
        <v>1083002889</v>
      </c>
      <c r="O632" s="302" t="s">
        <v>8840</v>
      </c>
      <c r="P632" s="302" t="s">
        <v>8841</v>
      </c>
      <c r="Q632" s="309">
        <v>45112</v>
      </c>
      <c r="R632" s="309">
        <v>45112</v>
      </c>
      <c r="S632" s="309">
        <v>45260</v>
      </c>
      <c r="T632" s="309"/>
      <c r="U632" s="309"/>
      <c r="V632" s="309"/>
      <c r="W632" s="304"/>
      <c r="X632" s="306">
        <v>3500000</v>
      </c>
      <c r="Y632" s="295">
        <f t="shared" si="28"/>
        <v>14000000</v>
      </c>
      <c r="Z632" s="296">
        <f t="shared" si="29"/>
        <v>0.2</v>
      </c>
      <c r="AA632" s="302"/>
      <c r="AB632" s="302" t="s">
        <v>952</v>
      </c>
      <c r="AC632" s="299" t="s">
        <v>196</v>
      </c>
      <c r="AD632" s="299" t="s">
        <v>196</v>
      </c>
      <c r="AE632" s="303"/>
      <c r="AF632" s="310" t="s">
        <v>8842</v>
      </c>
      <c r="AG632" s="299" t="s">
        <v>192</v>
      </c>
      <c r="AH632" s="299" t="s">
        <v>192</v>
      </c>
    </row>
    <row r="633" spans="1:34" s="297" customFormat="1" ht="15" customHeight="1" x14ac:dyDescent="0.2">
      <c r="A633" s="289">
        <v>891780111</v>
      </c>
      <c r="B633" s="289" t="s">
        <v>54</v>
      </c>
      <c r="C633" s="290" t="s">
        <v>56</v>
      </c>
      <c r="D633" s="289" t="s">
        <v>60</v>
      </c>
      <c r="E633" s="290" t="s">
        <v>8843</v>
      </c>
      <c r="F633" s="289" t="s">
        <v>61</v>
      </c>
      <c r="G633" s="85" t="s">
        <v>63</v>
      </c>
      <c r="H633" s="85" t="s">
        <v>73</v>
      </c>
      <c r="I633" s="237">
        <v>18500000</v>
      </c>
      <c r="J633" s="290"/>
      <c r="K633" s="291"/>
      <c r="L633" s="291"/>
      <c r="M633" s="292">
        <f t="shared" si="27"/>
        <v>18500000</v>
      </c>
      <c r="N633" s="85">
        <v>1082889745</v>
      </c>
      <c r="O633" s="85" t="s">
        <v>6932</v>
      </c>
      <c r="P633" s="85" t="s">
        <v>8844</v>
      </c>
      <c r="Q633" s="293">
        <v>45112</v>
      </c>
      <c r="R633" s="293">
        <v>45112</v>
      </c>
      <c r="S633" s="293">
        <v>45260</v>
      </c>
      <c r="T633" s="293"/>
      <c r="U633" s="293"/>
      <c r="V633" s="293"/>
      <c r="W633" s="294"/>
      <c r="X633" s="306">
        <v>3700000</v>
      </c>
      <c r="Y633" s="295">
        <f t="shared" si="28"/>
        <v>14800000</v>
      </c>
      <c r="Z633" s="296">
        <f t="shared" si="29"/>
        <v>0.2</v>
      </c>
      <c r="AA633" s="85">
        <v>36718996</v>
      </c>
      <c r="AB633" s="85" t="s">
        <v>6686</v>
      </c>
      <c r="AC633" s="290" t="s">
        <v>196</v>
      </c>
      <c r="AD633" s="290" t="s">
        <v>196</v>
      </c>
      <c r="AE633" s="303"/>
      <c r="AF633" s="298" t="s">
        <v>8845</v>
      </c>
      <c r="AG633" s="290" t="s">
        <v>192</v>
      </c>
      <c r="AH633" s="290" t="s">
        <v>192</v>
      </c>
    </row>
    <row r="634" spans="1:34" s="297" customFormat="1" ht="15" customHeight="1" x14ac:dyDescent="0.2">
      <c r="A634" s="289">
        <v>891780111</v>
      </c>
      <c r="B634" s="289" t="s">
        <v>54</v>
      </c>
      <c r="C634" s="290" t="s">
        <v>56</v>
      </c>
      <c r="D634" s="289" t="s">
        <v>60</v>
      </c>
      <c r="E634" s="290" t="s">
        <v>8846</v>
      </c>
      <c r="F634" s="289" t="s">
        <v>61</v>
      </c>
      <c r="G634" s="85" t="s">
        <v>63</v>
      </c>
      <c r="H634" s="85" t="s">
        <v>73</v>
      </c>
      <c r="I634" s="237">
        <v>17500000</v>
      </c>
      <c r="J634" s="290"/>
      <c r="K634" s="291"/>
      <c r="L634" s="291"/>
      <c r="M634" s="292">
        <f t="shared" si="27"/>
        <v>17500000</v>
      </c>
      <c r="N634" s="85">
        <v>1083019267</v>
      </c>
      <c r="O634" s="85" t="s">
        <v>6421</v>
      </c>
      <c r="P634" s="85" t="s">
        <v>8847</v>
      </c>
      <c r="Q634" s="293">
        <v>45112</v>
      </c>
      <c r="R634" s="293">
        <v>45112</v>
      </c>
      <c r="S634" s="293">
        <v>45260</v>
      </c>
      <c r="T634" s="293"/>
      <c r="U634" s="293"/>
      <c r="V634" s="293"/>
      <c r="W634" s="294"/>
      <c r="X634" s="306">
        <v>3500000</v>
      </c>
      <c r="Y634" s="295">
        <f t="shared" si="28"/>
        <v>14000000</v>
      </c>
      <c r="Z634" s="296">
        <f t="shared" si="29"/>
        <v>0.2</v>
      </c>
      <c r="AA634" s="85">
        <v>12621405</v>
      </c>
      <c r="AB634" s="85" t="s">
        <v>8695</v>
      </c>
      <c r="AC634" s="290" t="s">
        <v>196</v>
      </c>
      <c r="AD634" s="290" t="s">
        <v>196</v>
      </c>
      <c r="AE634" s="303"/>
      <c r="AF634" s="298" t="s">
        <v>8848</v>
      </c>
      <c r="AG634" s="290" t="s">
        <v>192</v>
      </c>
      <c r="AH634" s="290" t="s">
        <v>192</v>
      </c>
    </row>
    <row r="635" spans="1:34" s="297" customFormat="1" ht="15" customHeight="1" x14ac:dyDescent="0.2">
      <c r="A635" s="289">
        <v>891780111</v>
      </c>
      <c r="B635" s="289" t="s">
        <v>54</v>
      </c>
      <c r="C635" s="290" t="s">
        <v>56</v>
      </c>
      <c r="D635" s="289" t="s">
        <v>60</v>
      </c>
      <c r="E635" s="290" t="s">
        <v>8849</v>
      </c>
      <c r="F635" s="289" t="s">
        <v>61</v>
      </c>
      <c r="G635" s="85" t="s">
        <v>63</v>
      </c>
      <c r="H635" s="85" t="s">
        <v>73</v>
      </c>
      <c r="I635" s="237">
        <v>14000000</v>
      </c>
      <c r="J635" s="290"/>
      <c r="K635" s="291"/>
      <c r="L635" s="291"/>
      <c r="M635" s="292">
        <f t="shared" si="27"/>
        <v>14000000</v>
      </c>
      <c r="N635" s="85">
        <v>57461973</v>
      </c>
      <c r="O635" s="85" t="s">
        <v>6664</v>
      </c>
      <c r="P635" s="85" t="s">
        <v>8850</v>
      </c>
      <c r="Q635" s="293">
        <v>45112</v>
      </c>
      <c r="R635" s="293">
        <v>45112</v>
      </c>
      <c r="S635" s="293">
        <v>45260</v>
      </c>
      <c r="T635" s="293"/>
      <c r="U635" s="293"/>
      <c r="V635" s="293"/>
      <c r="W635" s="294"/>
      <c r="X635" s="306">
        <v>2800000</v>
      </c>
      <c r="Y635" s="295">
        <f t="shared" si="28"/>
        <v>11200000</v>
      </c>
      <c r="Z635" s="296">
        <f t="shared" si="29"/>
        <v>0.2</v>
      </c>
      <c r="AA635" s="85">
        <v>85460625</v>
      </c>
      <c r="AB635" s="85" t="s">
        <v>6666</v>
      </c>
      <c r="AC635" s="290" t="s">
        <v>196</v>
      </c>
      <c r="AD635" s="290" t="s">
        <v>196</v>
      </c>
      <c r="AE635" s="303"/>
      <c r="AF635" s="298" t="s">
        <v>8851</v>
      </c>
      <c r="AG635" s="290" t="s">
        <v>192</v>
      </c>
      <c r="AH635" s="290" t="s">
        <v>192</v>
      </c>
    </row>
    <row r="636" spans="1:34" s="297" customFormat="1" ht="15" customHeight="1" x14ac:dyDescent="0.2">
      <c r="A636" s="289">
        <v>891780111</v>
      </c>
      <c r="B636" s="289" t="s">
        <v>54</v>
      </c>
      <c r="C636" s="290" t="s">
        <v>56</v>
      </c>
      <c r="D636" s="289" t="s">
        <v>60</v>
      </c>
      <c r="E636" s="290" t="s">
        <v>8852</v>
      </c>
      <c r="F636" s="289" t="s">
        <v>61</v>
      </c>
      <c r="G636" s="85" t="s">
        <v>63</v>
      </c>
      <c r="H636" s="85" t="s">
        <v>73</v>
      </c>
      <c r="I636" s="237">
        <v>18000000</v>
      </c>
      <c r="J636" s="290"/>
      <c r="K636" s="291"/>
      <c r="L636" s="291"/>
      <c r="M636" s="292">
        <f t="shared" si="27"/>
        <v>18000000</v>
      </c>
      <c r="N636" s="85">
        <v>85151294</v>
      </c>
      <c r="O636" s="85" t="s">
        <v>7042</v>
      </c>
      <c r="P636" s="85" t="s">
        <v>8853</v>
      </c>
      <c r="Q636" s="293">
        <v>45112</v>
      </c>
      <c r="R636" s="293">
        <v>45112</v>
      </c>
      <c r="S636" s="293">
        <v>45260</v>
      </c>
      <c r="T636" s="293"/>
      <c r="U636" s="293"/>
      <c r="V636" s="293"/>
      <c r="W636" s="294"/>
      <c r="X636" s="306">
        <v>3600000</v>
      </c>
      <c r="Y636" s="295">
        <f t="shared" si="28"/>
        <v>14400000</v>
      </c>
      <c r="Z636" s="296">
        <f t="shared" si="29"/>
        <v>0.2</v>
      </c>
      <c r="AA636" s="85">
        <v>84452087</v>
      </c>
      <c r="AB636" s="85" t="s">
        <v>6601</v>
      </c>
      <c r="AC636" s="290" t="s">
        <v>196</v>
      </c>
      <c r="AD636" s="290" t="s">
        <v>196</v>
      </c>
      <c r="AE636" s="303"/>
      <c r="AF636" s="298" t="s">
        <v>8854</v>
      </c>
      <c r="AG636" s="290" t="s">
        <v>192</v>
      </c>
      <c r="AH636" s="290" t="s">
        <v>192</v>
      </c>
    </row>
    <row r="637" spans="1:34" s="297" customFormat="1" ht="15" customHeight="1" x14ac:dyDescent="0.2">
      <c r="A637" s="289">
        <v>891780111</v>
      </c>
      <c r="B637" s="289" t="s">
        <v>54</v>
      </c>
      <c r="C637" s="290" t="s">
        <v>56</v>
      </c>
      <c r="D637" s="289" t="s">
        <v>60</v>
      </c>
      <c r="E637" s="290" t="s">
        <v>8855</v>
      </c>
      <c r="F637" s="289" t="s">
        <v>61</v>
      </c>
      <c r="G637" s="85" t="s">
        <v>63</v>
      </c>
      <c r="H637" s="85" t="s">
        <v>73</v>
      </c>
      <c r="I637" s="237">
        <v>12500000</v>
      </c>
      <c r="J637" s="290"/>
      <c r="K637" s="291"/>
      <c r="L637" s="291"/>
      <c r="M637" s="292">
        <f t="shared" si="27"/>
        <v>12500000</v>
      </c>
      <c r="N637" s="85">
        <v>1082941024</v>
      </c>
      <c r="O637" s="85" t="s">
        <v>6852</v>
      </c>
      <c r="P637" s="85" t="s">
        <v>8856</v>
      </c>
      <c r="Q637" s="293">
        <v>45112</v>
      </c>
      <c r="R637" s="293">
        <v>45112</v>
      </c>
      <c r="S637" s="293">
        <v>45260</v>
      </c>
      <c r="T637" s="293"/>
      <c r="U637" s="293"/>
      <c r="V637" s="293"/>
      <c r="W637" s="294"/>
      <c r="X637" s="306">
        <v>2500000</v>
      </c>
      <c r="Y637" s="295">
        <f t="shared" si="28"/>
        <v>10000000</v>
      </c>
      <c r="Z637" s="296">
        <f t="shared" si="29"/>
        <v>0.2</v>
      </c>
      <c r="AA637" s="85">
        <v>12621405</v>
      </c>
      <c r="AB637" s="85" t="s">
        <v>8695</v>
      </c>
      <c r="AC637" s="290" t="s">
        <v>196</v>
      </c>
      <c r="AD637" s="290" t="s">
        <v>196</v>
      </c>
      <c r="AE637" s="303"/>
      <c r="AF637" s="298" t="s">
        <v>8857</v>
      </c>
      <c r="AG637" s="290" t="s">
        <v>192</v>
      </c>
      <c r="AH637" s="290" t="s">
        <v>192</v>
      </c>
    </row>
    <row r="638" spans="1:34" s="297" customFormat="1" ht="15" customHeight="1" x14ac:dyDescent="0.2">
      <c r="A638" s="289">
        <v>891780111</v>
      </c>
      <c r="B638" s="289" t="s">
        <v>54</v>
      </c>
      <c r="C638" s="290" t="s">
        <v>56</v>
      </c>
      <c r="D638" s="289" t="s">
        <v>60</v>
      </c>
      <c r="E638" s="290" t="s">
        <v>8858</v>
      </c>
      <c r="F638" s="289" t="s">
        <v>61</v>
      </c>
      <c r="G638" s="85" t="s">
        <v>63</v>
      </c>
      <c r="H638" s="85" t="s">
        <v>73</v>
      </c>
      <c r="I638" s="237">
        <v>12500000</v>
      </c>
      <c r="J638" s="290"/>
      <c r="K638" s="291"/>
      <c r="L638" s="291"/>
      <c r="M638" s="292">
        <f t="shared" si="27"/>
        <v>12500000</v>
      </c>
      <c r="N638" s="85">
        <v>1043020726</v>
      </c>
      <c r="O638" s="85" t="s">
        <v>8573</v>
      </c>
      <c r="P638" s="85" t="s">
        <v>8859</v>
      </c>
      <c r="Q638" s="293">
        <v>45112</v>
      </c>
      <c r="R638" s="293">
        <v>45112</v>
      </c>
      <c r="S638" s="293">
        <v>45260</v>
      </c>
      <c r="T638" s="293"/>
      <c r="U638" s="293"/>
      <c r="V638" s="293"/>
      <c r="W638" s="294"/>
      <c r="X638" s="306">
        <v>2500000</v>
      </c>
      <c r="Y638" s="295">
        <f t="shared" si="28"/>
        <v>10000000</v>
      </c>
      <c r="Z638" s="296">
        <f t="shared" si="29"/>
        <v>0.2</v>
      </c>
      <c r="AA638" s="85">
        <v>84452087</v>
      </c>
      <c r="AB638" s="85" t="s">
        <v>6601</v>
      </c>
      <c r="AC638" s="290" t="s">
        <v>196</v>
      </c>
      <c r="AD638" s="290" t="s">
        <v>196</v>
      </c>
      <c r="AE638" s="303"/>
      <c r="AF638" s="298" t="s">
        <v>8860</v>
      </c>
      <c r="AG638" s="290" t="s">
        <v>192</v>
      </c>
      <c r="AH638" s="290" t="s">
        <v>192</v>
      </c>
    </row>
    <row r="639" spans="1:34" s="297" customFormat="1" ht="15" customHeight="1" x14ac:dyDescent="0.2">
      <c r="A639" s="289">
        <v>891780111</v>
      </c>
      <c r="B639" s="289" t="s">
        <v>54</v>
      </c>
      <c r="C639" s="290" t="s">
        <v>56</v>
      </c>
      <c r="D639" s="289" t="s">
        <v>60</v>
      </c>
      <c r="E639" s="290" t="s">
        <v>8861</v>
      </c>
      <c r="F639" s="289" t="s">
        <v>61</v>
      </c>
      <c r="G639" s="85" t="s">
        <v>63</v>
      </c>
      <c r="H639" s="85" t="s">
        <v>73</v>
      </c>
      <c r="I639" s="237">
        <v>18500000</v>
      </c>
      <c r="J639" s="290"/>
      <c r="K639" s="291"/>
      <c r="L639" s="291"/>
      <c r="M639" s="292">
        <f t="shared" si="27"/>
        <v>18500000</v>
      </c>
      <c r="N639" s="85">
        <v>80865227</v>
      </c>
      <c r="O639" s="85" t="s">
        <v>2010</v>
      </c>
      <c r="P639" s="85" t="s">
        <v>8862</v>
      </c>
      <c r="Q639" s="293">
        <v>45112</v>
      </c>
      <c r="R639" s="293">
        <v>45112</v>
      </c>
      <c r="S639" s="293">
        <v>45260</v>
      </c>
      <c r="T639" s="293"/>
      <c r="U639" s="293"/>
      <c r="V639" s="293"/>
      <c r="W639" s="294"/>
      <c r="X639" s="306">
        <v>3700000</v>
      </c>
      <c r="Y639" s="295">
        <f t="shared" si="28"/>
        <v>14800000</v>
      </c>
      <c r="Z639" s="296">
        <f t="shared" si="29"/>
        <v>0.2</v>
      </c>
      <c r="AA639" s="85"/>
      <c r="AB639" s="85" t="s">
        <v>8760</v>
      </c>
      <c r="AC639" s="290" t="s">
        <v>196</v>
      </c>
      <c r="AD639" s="290" t="s">
        <v>196</v>
      </c>
      <c r="AE639" s="303"/>
      <c r="AF639" s="298" t="s">
        <v>8863</v>
      </c>
      <c r="AG639" s="290" t="s">
        <v>192</v>
      </c>
      <c r="AH639" s="290" t="s">
        <v>192</v>
      </c>
    </row>
    <row r="640" spans="1:34" s="297" customFormat="1" ht="15" customHeight="1" x14ac:dyDescent="0.2">
      <c r="A640" s="289">
        <v>891780111</v>
      </c>
      <c r="B640" s="289" t="s">
        <v>54</v>
      </c>
      <c r="C640" s="290" t="s">
        <v>56</v>
      </c>
      <c r="D640" s="289" t="s">
        <v>60</v>
      </c>
      <c r="E640" s="290" t="s">
        <v>8864</v>
      </c>
      <c r="F640" s="289" t="s">
        <v>61</v>
      </c>
      <c r="G640" s="85" t="s">
        <v>63</v>
      </c>
      <c r="H640" s="85" t="s">
        <v>73</v>
      </c>
      <c r="I640" s="237">
        <v>15500000</v>
      </c>
      <c r="J640" s="290"/>
      <c r="K640" s="291"/>
      <c r="L640" s="291"/>
      <c r="M640" s="292">
        <f t="shared" si="27"/>
        <v>15500000</v>
      </c>
      <c r="N640" s="85">
        <v>1151184718</v>
      </c>
      <c r="O640" s="85" t="s">
        <v>5350</v>
      </c>
      <c r="P640" s="85" t="s">
        <v>8865</v>
      </c>
      <c r="Q640" s="293">
        <v>45112</v>
      </c>
      <c r="R640" s="293">
        <v>45112</v>
      </c>
      <c r="S640" s="293">
        <v>45260</v>
      </c>
      <c r="T640" s="293"/>
      <c r="U640" s="293"/>
      <c r="V640" s="293"/>
      <c r="W640" s="294"/>
      <c r="X640" s="306">
        <v>3100000</v>
      </c>
      <c r="Y640" s="295">
        <f t="shared" si="28"/>
        <v>12400000</v>
      </c>
      <c r="Z640" s="296">
        <f t="shared" si="29"/>
        <v>0.2</v>
      </c>
      <c r="AA640" s="85"/>
      <c r="AB640" s="85" t="s">
        <v>8760</v>
      </c>
      <c r="AC640" s="290" t="s">
        <v>196</v>
      </c>
      <c r="AD640" s="290" t="s">
        <v>196</v>
      </c>
      <c r="AE640" s="303"/>
      <c r="AF640" s="298" t="s">
        <v>8866</v>
      </c>
      <c r="AG640" s="290" t="s">
        <v>192</v>
      </c>
      <c r="AH640" s="290" t="s">
        <v>192</v>
      </c>
    </row>
    <row r="641" spans="1:34" s="297" customFormat="1" ht="15" customHeight="1" x14ac:dyDescent="0.2">
      <c r="A641" s="289">
        <v>891780111</v>
      </c>
      <c r="B641" s="289" t="s">
        <v>54</v>
      </c>
      <c r="C641" s="290" t="s">
        <v>56</v>
      </c>
      <c r="D641" s="289" t="s">
        <v>60</v>
      </c>
      <c r="E641" s="290" t="s">
        <v>8867</v>
      </c>
      <c r="F641" s="289" t="s">
        <v>61</v>
      </c>
      <c r="G641" s="85" t="s">
        <v>63</v>
      </c>
      <c r="H641" s="85" t="s">
        <v>73</v>
      </c>
      <c r="I641" s="237">
        <v>9500000</v>
      </c>
      <c r="J641" s="290"/>
      <c r="K641" s="291"/>
      <c r="L641" s="291"/>
      <c r="M641" s="292">
        <f t="shared" si="27"/>
        <v>9500000</v>
      </c>
      <c r="N641" s="85">
        <v>1082841112</v>
      </c>
      <c r="O641" s="85" t="s">
        <v>7954</v>
      </c>
      <c r="P641" s="85" t="s">
        <v>8868</v>
      </c>
      <c r="Q641" s="293">
        <v>45112</v>
      </c>
      <c r="R641" s="293">
        <v>45112</v>
      </c>
      <c r="S641" s="293">
        <v>45260</v>
      </c>
      <c r="T641" s="293"/>
      <c r="U641" s="293"/>
      <c r="V641" s="293"/>
      <c r="W641" s="294"/>
      <c r="X641" s="306">
        <v>1900000</v>
      </c>
      <c r="Y641" s="295">
        <f t="shared" si="28"/>
        <v>7600000</v>
      </c>
      <c r="Z641" s="296">
        <f t="shared" si="29"/>
        <v>0.2</v>
      </c>
      <c r="AA641" s="85">
        <v>57297693</v>
      </c>
      <c r="AB641" s="85" t="s">
        <v>8869</v>
      </c>
      <c r="AC641" s="290" t="s">
        <v>196</v>
      </c>
      <c r="AD641" s="290" t="s">
        <v>196</v>
      </c>
      <c r="AE641" s="303"/>
      <c r="AF641" s="298" t="s">
        <v>8870</v>
      </c>
      <c r="AG641" s="290" t="s">
        <v>192</v>
      </c>
      <c r="AH641" s="290" t="s">
        <v>192</v>
      </c>
    </row>
    <row r="642" spans="1:34" s="297" customFormat="1" ht="15" customHeight="1" x14ac:dyDescent="0.2">
      <c r="A642" s="289">
        <v>891780111</v>
      </c>
      <c r="B642" s="289" t="s">
        <v>54</v>
      </c>
      <c r="C642" s="290" t="s">
        <v>56</v>
      </c>
      <c r="D642" s="289" t="s">
        <v>60</v>
      </c>
      <c r="E642" s="290" t="s">
        <v>8871</v>
      </c>
      <c r="F642" s="289" t="s">
        <v>61</v>
      </c>
      <c r="G642" s="85" t="s">
        <v>63</v>
      </c>
      <c r="H642" s="85" t="s">
        <v>73</v>
      </c>
      <c r="I642" s="237">
        <v>11000000</v>
      </c>
      <c r="J642" s="290"/>
      <c r="K642" s="291"/>
      <c r="L642" s="291"/>
      <c r="M642" s="292">
        <f t="shared" si="27"/>
        <v>11000000</v>
      </c>
      <c r="N642" s="85">
        <v>1082974742</v>
      </c>
      <c r="O642" s="85" t="s">
        <v>7365</v>
      </c>
      <c r="P642" s="85" t="s">
        <v>8872</v>
      </c>
      <c r="Q642" s="293">
        <v>45112</v>
      </c>
      <c r="R642" s="293">
        <v>45112</v>
      </c>
      <c r="S642" s="293">
        <v>45260</v>
      </c>
      <c r="T642" s="293"/>
      <c r="U642" s="293"/>
      <c r="V642" s="293"/>
      <c r="W642" s="294"/>
      <c r="X642" s="306">
        <v>2200000</v>
      </c>
      <c r="Y642" s="295">
        <f t="shared" si="28"/>
        <v>8800000</v>
      </c>
      <c r="Z642" s="296">
        <f t="shared" si="29"/>
        <v>0.2</v>
      </c>
      <c r="AA642" s="85">
        <v>57297693</v>
      </c>
      <c r="AB642" s="85" t="s">
        <v>8869</v>
      </c>
      <c r="AC642" s="290" t="s">
        <v>196</v>
      </c>
      <c r="AD642" s="290" t="s">
        <v>196</v>
      </c>
      <c r="AE642" s="303"/>
      <c r="AF642" s="298" t="s">
        <v>8873</v>
      </c>
      <c r="AG642" s="290" t="s">
        <v>192</v>
      </c>
      <c r="AH642" s="290" t="s">
        <v>192</v>
      </c>
    </row>
    <row r="643" spans="1:34" s="297" customFormat="1" ht="15" customHeight="1" x14ac:dyDescent="0.2">
      <c r="A643" s="289">
        <v>891780111</v>
      </c>
      <c r="B643" s="289" t="s">
        <v>54</v>
      </c>
      <c r="C643" s="290" t="s">
        <v>56</v>
      </c>
      <c r="D643" s="289" t="s">
        <v>60</v>
      </c>
      <c r="E643" s="290" t="s">
        <v>8874</v>
      </c>
      <c r="F643" s="289" t="s">
        <v>61</v>
      </c>
      <c r="G643" s="85" t="s">
        <v>63</v>
      </c>
      <c r="H643" s="85" t="s">
        <v>73</v>
      </c>
      <c r="I643" s="237">
        <v>7000000</v>
      </c>
      <c r="J643" s="290"/>
      <c r="K643" s="291"/>
      <c r="L643" s="291"/>
      <c r="M643" s="292">
        <f t="shared" si="27"/>
        <v>7000000</v>
      </c>
      <c r="N643" s="85">
        <v>1098731749</v>
      </c>
      <c r="O643" s="302" t="s">
        <v>6416</v>
      </c>
      <c r="P643" s="85" t="s">
        <v>8875</v>
      </c>
      <c r="Q643" s="293">
        <v>45112</v>
      </c>
      <c r="R643" s="293">
        <v>45112</v>
      </c>
      <c r="S643" s="293">
        <v>45169</v>
      </c>
      <c r="T643" s="293"/>
      <c r="U643" s="293"/>
      <c r="V643" s="293"/>
      <c r="W643" s="294"/>
      <c r="X643" s="237">
        <f>VLOOKUP(N643,[9]Pagos!$C$2:$D$353,2,FALSE)</f>
        <v>3500000</v>
      </c>
      <c r="Y643" s="295">
        <f t="shared" si="28"/>
        <v>3500000</v>
      </c>
      <c r="Z643" s="296">
        <f t="shared" si="29"/>
        <v>0.5</v>
      </c>
      <c r="AA643" s="85">
        <v>93400727</v>
      </c>
      <c r="AB643" s="85" t="s">
        <v>6418</v>
      </c>
      <c r="AC643" s="290" t="s">
        <v>196</v>
      </c>
      <c r="AD643" s="290" t="s">
        <v>196</v>
      </c>
      <c r="AE643" s="303"/>
      <c r="AF643" s="298" t="s">
        <v>8876</v>
      </c>
      <c r="AG643" s="290" t="s">
        <v>192</v>
      </c>
      <c r="AH643" s="290" t="s">
        <v>192</v>
      </c>
    </row>
    <row r="644" spans="1:34" s="297" customFormat="1" ht="15" customHeight="1" x14ac:dyDescent="0.2">
      <c r="A644" s="289">
        <v>891780111</v>
      </c>
      <c r="B644" s="289" t="s">
        <v>54</v>
      </c>
      <c r="C644" s="290" t="s">
        <v>56</v>
      </c>
      <c r="D644" s="289" t="s">
        <v>60</v>
      </c>
      <c r="E644" s="290" t="s">
        <v>8877</v>
      </c>
      <c r="F644" s="289" t="s">
        <v>61</v>
      </c>
      <c r="G644" s="85" t="s">
        <v>63</v>
      </c>
      <c r="H644" s="85" t="s">
        <v>73</v>
      </c>
      <c r="I644" s="237">
        <v>14000000</v>
      </c>
      <c r="J644" s="290"/>
      <c r="K644" s="291"/>
      <c r="L644" s="291"/>
      <c r="M644" s="292">
        <f t="shared" si="27"/>
        <v>14000000</v>
      </c>
      <c r="N644" s="85">
        <v>1082927274</v>
      </c>
      <c r="O644" s="302" t="s">
        <v>3671</v>
      </c>
      <c r="P644" s="85" t="s">
        <v>8878</v>
      </c>
      <c r="Q644" s="293">
        <v>45112</v>
      </c>
      <c r="R644" s="293">
        <v>45112</v>
      </c>
      <c r="S644" s="293">
        <v>45260</v>
      </c>
      <c r="T644" s="293"/>
      <c r="U644" s="293"/>
      <c r="V644" s="293"/>
      <c r="W644" s="294"/>
      <c r="X644" s="237">
        <f>VLOOKUP(N644,[9]Pagos!$C$2:$D$353,2,FALSE)</f>
        <v>2800000</v>
      </c>
      <c r="Y644" s="295">
        <f t="shared" si="28"/>
        <v>11200000</v>
      </c>
      <c r="Z644" s="296">
        <f t="shared" si="29"/>
        <v>0.2</v>
      </c>
      <c r="AA644" s="85">
        <v>57297693</v>
      </c>
      <c r="AB644" s="85" t="s">
        <v>8869</v>
      </c>
      <c r="AC644" s="290" t="s">
        <v>196</v>
      </c>
      <c r="AD644" s="290" t="s">
        <v>196</v>
      </c>
      <c r="AE644" s="303"/>
      <c r="AF644" s="298" t="s">
        <v>8879</v>
      </c>
      <c r="AG644" s="290" t="s">
        <v>192</v>
      </c>
      <c r="AH644" s="290" t="s">
        <v>192</v>
      </c>
    </row>
    <row r="645" spans="1:34" s="297" customFormat="1" ht="15" customHeight="1" x14ac:dyDescent="0.2">
      <c r="A645" s="289">
        <v>891780111</v>
      </c>
      <c r="B645" s="289" t="s">
        <v>54</v>
      </c>
      <c r="C645" s="290" t="s">
        <v>56</v>
      </c>
      <c r="D645" s="289" t="s">
        <v>60</v>
      </c>
      <c r="E645" s="290" t="s">
        <v>8880</v>
      </c>
      <c r="F645" s="289" t="s">
        <v>61</v>
      </c>
      <c r="G645" s="85" t="s">
        <v>63</v>
      </c>
      <c r="H645" s="85" t="s">
        <v>73</v>
      </c>
      <c r="I645" s="237">
        <v>3600000</v>
      </c>
      <c r="J645" s="290"/>
      <c r="K645" s="291"/>
      <c r="L645" s="291"/>
      <c r="M645" s="292">
        <f t="shared" ref="M645:M708" si="30">I645+K645-L645</f>
        <v>3600000</v>
      </c>
      <c r="N645" s="85">
        <v>63549864</v>
      </c>
      <c r="O645" s="302" t="s">
        <v>6453</v>
      </c>
      <c r="P645" s="85" t="s">
        <v>8881</v>
      </c>
      <c r="Q645" s="293">
        <v>45112</v>
      </c>
      <c r="R645" s="293">
        <v>45118</v>
      </c>
      <c r="S645" s="293">
        <v>45138</v>
      </c>
      <c r="T645" s="293"/>
      <c r="U645" s="293"/>
      <c r="V645" s="293"/>
      <c r="W645" s="294"/>
      <c r="X645" s="237"/>
      <c r="Y645" s="295">
        <f t="shared" ref="Y645:Y708" si="31">M645-X645</f>
        <v>3600000</v>
      </c>
      <c r="Z645" s="296">
        <f t="shared" ref="Z645:Z708" si="32">+(X645/M645)</f>
        <v>0</v>
      </c>
      <c r="AA645" s="85">
        <v>41947381</v>
      </c>
      <c r="AB645" s="85" t="s">
        <v>6440</v>
      </c>
      <c r="AC645" s="290" t="s">
        <v>196</v>
      </c>
      <c r="AD645" s="290" t="s">
        <v>196</v>
      </c>
      <c r="AE645" s="303"/>
      <c r="AF645" s="298" t="s">
        <v>8882</v>
      </c>
      <c r="AG645" s="290" t="s">
        <v>192</v>
      </c>
      <c r="AH645" s="290" t="s">
        <v>192</v>
      </c>
    </row>
    <row r="646" spans="1:34" s="297" customFormat="1" ht="15" customHeight="1" x14ac:dyDescent="0.2">
      <c r="A646" s="289">
        <v>891780111</v>
      </c>
      <c r="B646" s="289" t="s">
        <v>54</v>
      </c>
      <c r="C646" s="290" t="s">
        <v>56</v>
      </c>
      <c r="D646" s="289" t="s">
        <v>60</v>
      </c>
      <c r="E646" s="290" t="s">
        <v>8883</v>
      </c>
      <c r="F646" s="289" t="s">
        <v>61</v>
      </c>
      <c r="G646" s="85" t="s">
        <v>63</v>
      </c>
      <c r="H646" s="85" t="s">
        <v>73</v>
      </c>
      <c r="I646" s="237">
        <v>3800000</v>
      </c>
      <c r="J646" s="290"/>
      <c r="K646" s="291"/>
      <c r="L646" s="291"/>
      <c r="M646" s="292">
        <f t="shared" si="30"/>
        <v>3800000</v>
      </c>
      <c r="N646" s="85">
        <v>1082984559</v>
      </c>
      <c r="O646" s="302" t="s">
        <v>6494</v>
      </c>
      <c r="P646" s="85" t="s">
        <v>8884</v>
      </c>
      <c r="Q646" s="293">
        <v>45112</v>
      </c>
      <c r="R646" s="293">
        <v>45114</v>
      </c>
      <c r="S646" s="293">
        <v>45138</v>
      </c>
      <c r="T646" s="293"/>
      <c r="U646" s="293"/>
      <c r="V646" s="293"/>
      <c r="W646" s="294"/>
      <c r="X646" s="237">
        <f>VLOOKUP(N646,[9]Pagos!$C$2:$D$353,2,FALSE)</f>
        <v>3800000</v>
      </c>
      <c r="Y646" s="295">
        <f t="shared" si="31"/>
        <v>0</v>
      </c>
      <c r="Z646" s="296">
        <f t="shared" si="32"/>
        <v>1</v>
      </c>
      <c r="AA646" s="85">
        <v>41947381</v>
      </c>
      <c r="AB646" s="85" t="s">
        <v>6440</v>
      </c>
      <c r="AC646" s="290" t="s">
        <v>196</v>
      </c>
      <c r="AD646" s="290" t="s">
        <v>196</v>
      </c>
      <c r="AE646" s="303"/>
      <c r="AF646" s="298" t="s">
        <v>8885</v>
      </c>
      <c r="AG646" s="290" t="s">
        <v>192</v>
      </c>
      <c r="AH646" s="290" t="s">
        <v>192</v>
      </c>
    </row>
    <row r="647" spans="1:34" s="297" customFormat="1" ht="15" customHeight="1" x14ac:dyDescent="0.2">
      <c r="A647" s="289">
        <v>891780111</v>
      </c>
      <c r="B647" s="289" t="s">
        <v>54</v>
      </c>
      <c r="C647" s="290" t="s">
        <v>56</v>
      </c>
      <c r="D647" s="289" t="s">
        <v>60</v>
      </c>
      <c r="E647" s="290" t="s">
        <v>8886</v>
      </c>
      <c r="F647" s="289" t="s">
        <v>61</v>
      </c>
      <c r="G647" s="85" t="s">
        <v>63</v>
      </c>
      <c r="H647" s="85" t="s">
        <v>73</v>
      </c>
      <c r="I647" s="237">
        <v>17500000</v>
      </c>
      <c r="J647" s="290"/>
      <c r="K647" s="291"/>
      <c r="L647" s="291"/>
      <c r="M647" s="292">
        <f t="shared" si="30"/>
        <v>17500000</v>
      </c>
      <c r="N647" s="85">
        <v>57291189</v>
      </c>
      <c r="O647" s="302" t="s">
        <v>8738</v>
      </c>
      <c r="P647" s="85" t="s">
        <v>8887</v>
      </c>
      <c r="Q647" s="293">
        <v>45112</v>
      </c>
      <c r="R647" s="293">
        <v>45112</v>
      </c>
      <c r="S647" s="293">
        <v>45260</v>
      </c>
      <c r="T647" s="293"/>
      <c r="U647" s="293"/>
      <c r="V647" s="293"/>
      <c r="W647" s="294"/>
      <c r="X647" s="237">
        <f>VLOOKUP(N647,[9]Pagos!$C$2:$D$353,2,FALSE)</f>
        <v>3500000</v>
      </c>
      <c r="Y647" s="295">
        <f t="shared" si="31"/>
        <v>14000000</v>
      </c>
      <c r="Z647" s="296">
        <f t="shared" si="32"/>
        <v>0.2</v>
      </c>
      <c r="AA647" s="85"/>
      <c r="AB647" s="85" t="s">
        <v>8740</v>
      </c>
      <c r="AC647" s="290" t="s">
        <v>196</v>
      </c>
      <c r="AD647" s="290" t="s">
        <v>196</v>
      </c>
      <c r="AE647" s="303"/>
      <c r="AF647" s="298" t="s">
        <v>8888</v>
      </c>
      <c r="AG647" s="290" t="s">
        <v>192</v>
      </c>
      <c r="AH647" s="290" t="s">
        <v>192</v>
      </c>
    </row>
    <row r="648" spans="1:34" s="297" customFormat="1" ht="15" customHeight="1" x14ac:dyDescent="0.2">
      <c r="A648" s="289">
        <v>891780111</v>
      </c>
      <c r="B648" s="289" t="s">
        <v>54</v>
      </c>
      <c r="C648" s="290" t="s">
        <v>56</v>
      </c>
      <c r="D648" s="289" t="s">
        <v>60</v>
      </c>
      <c r="E648" s="290" t="s">
        <v>8889</v>
      </c>
      <c r="F648" s="289" t="s">
        <v>61</v>
      </c>
      <c r="G648" s="85" t="s">
        <v>63</v>
      </c>
      <c r="H648" s="85" t="s">
        <v>73</v>
      </c>
      <c r="I648" s="237">
        <v>15500000</v>
      </c>
      <c r="J648" s="290"/>
      <c r="K648" s="291"/>
      <c r="L648" s="291"/>
      <c r="M648" s="292">
        <f t="shared" si="30"/>
        <v>15500000</v>
      </c>
      <c r="N648" s="85">
        <v>1082931831</v>
      </c>
      <c r="O648" s="302" t="s">
        <v>8146</v>
      </c>
      <c r="P648" s="85" t="s">
        <v>8890</v>
      </c>
      <c r="Q648" s="293">
        <v>45112</v>
      </c>
      <c r="R648" s="293">
        <v>45112</v>
      </c>
      <c r="S648" s="293">
        <v>45260</v>
      </c>
      <c r="T648" s="293"/>
      <c r="U648" s="293"/>
      <c r="V648" s="293"/>
      <c r="W648" s="294"/>
      <c r="X648" s="237">
        <f>VLOOKUP(N648,[9]Pagos!$C$2:$D$353,2,FALSE)</f>
        <v>3100000</v>
      </c>
      <c r="Y648" s="295">
        <f t="shared" si="31"/>
        <v>12400000</v>
      </c>
      <c r="Z648" s="296">
        <f t="shared" si="32"/>
        <v>0.2</v>
      </c>
      <c r="AA648" s="85">
        <v>93400727</v>
      </c>
      <c r="AB648" s="85" t="s">
        <v>6418</v>
      </c>
      <c r="AC648" s="290" t="s">
        <v>196</v>
      </c>
      <c r="AD648" s="290" t="s">
        <v>196</v>
      </c>
      <c r="AE648" s="303"/>
      <c r="AF648" s="298" t="s">
        <v>8891</v>
      </c>
      <c r="AG648" s="290" t="s">
        <v>192</v>
      </c>
      <c r="AH648" s="290" t="s">
        <v>192</v>
      </c>
    </row>
    <row r="649" spans="1:34" s="297" customFormat="1" ht="15" customHeight="1" x14ac:dyDescent="0.2">
      <c r="A649" s="289">
        <v>891780111</v>
      </c>
      <c r="B649" s="289" t="s">
        <v>54</v>
      </c>
      <c r="C649" s="290" t="s">
        <v>56</v>
      </c>
      <c r="D649" s="289" t="s">
        <v>60</v>
      </c>
      <c r="E649" s="290" t="s">
        <v>8892</v>
      </c>
      <c r="F649" s="289" t="s">
        <v>61</v>
      </c>
      <c r="G649" s="85" t="s">
        <v>63</v>
      </c>
      <c r="H649" s="85" t="s">
        <v>73</v>
      </c>
      <c r="I649" s="237">
        <v>25000000</v>
      </c>
      <c r="J649" s="290"/>
      <c r="K649" s="291"/>
      <c r="L649" s="291"/>
      <c r="M649" s="292">
        <f t="shared" si="30"/>
        <v>25000000</v>
      </c>
      <c r="N649" s="85">
        <v>1082841776</v>
      </c>
      <c r="O649" s="302" t="s">
        <v>6407</v>
      </c>
      <c r="P649" s="85" t="s">
        <v>8893</v>
      </c>
      <c r="Q649" s="293">
        <v>45112</v>
      </c>
      <c r="R649" s="293">
        <v>45112</v>
      </c>
      <c r="S649" s="293">
        <v>45260</v>
      </c>
      <c r="T649" s="293"/>
      <c r="U649" s="293"/>
      <c r="V649" s="293"/>
      <c r="W649" s="294"/>
      <c r="X649" s="237">
        <f>VLOOKUP(N649,[9]Pagos!$C$2:$D$353,2,FALSE)</f>
        <v>5000000</v>
      </c>
      <c r="Y649" s="295">
        <f t="shared" si="31"/>
        <v>20000000</v>
      </c>
      <c r="Z649" s="296">
        <f t="shared" si="32"/>
        <v>0.2</v>
      </c>
      <c r="AA649" s="85">
        <v>12621405</v>
      </c>
      <c r="AB649" s="85" t="s">
        <v>8695</v>
      </c>
      <c r="AC649" s="290" t="s">
        <v>196</v>
      </c>
      <c r="AD649" s="290" t="s">
        <v>196</v>
      </c>
      <c r="AE649" s="303"/>
      <c r="AF649" s="298" t="s">
        <v>8894</v>
      </c>
      <c r="AG649" s="290" t="s">
        <v>192</v>
      </c>
      <c r="AH649" s="290" t="s">
        <v>192</v>
      </c>
    </row>
    <row r="650" spans="1:34" s="311" customFormat="1" ht="15" customHeight="1" x14ac:dyDescent="0.2">
      <c r="A650" s="289">
        <v>891780111</v>
      </c>
      <c r="B650" s="308" t="s">
        <v>54</v>
      </c>
      <c r="C650" s="299" t="s">
        <v>56</v>
      </c>
      <c r="D650" s="308" t="s">
        <v>60</v>
      </c>
      <c r="E650" s="299" t="s">
        <v>8895</v>
      </c>
      <c r="F650" s="308" t="s">
        <v>61</v>
      </c>
      <c r="G650" s="302" t="s">
        <v>63</v>
      </c>
      <c r="H650" s="302" t="s">
        <v>73</v>
      </c>
      <c r="I650" s="300">
        <v>12500000</v>
      </c>
      <c r="J650" s="299"/>
      <c r="K650" s="301"/>
      <c r="L650" s="301"/>
      <c r="M650" s="292">
        <f t="shared" si="30"/>
        <v>12500000</v>
      </c>
      <c r="N650" s="302">
        <v>52769336</v>
      </c>
      <c r="O650" s="302" t="s">
        <v>8130</v>
      </c>
      <c r="P650" s="302" t="s">
        <v>8896</v>
      </c>
      <c r="Q650" s="309">
        <v>45112</v>
      </c>
      <c r="R650" s="309">
        <v>45112</v>
      </c>
      <c r="S650" s="309">
        <v>45260</v>
      </c>
      <c r="T650" s="309"/>
      <c r="U650" s="309"/>
      <c r="V650" s="309"/>
      <c r="W650" s="304"/>
      <c r="X650" s="237">
        <f>VLOOKUP(N650,[9]Pagos!$C$2:$D$353,2,FALSE)</f>
        <v>2500000</v>
      </c>
      <c r="Y650" s="295">
        <f t="shared" si="31"/>
        <v>10000000</v>
      </c>
      <c r="Z650" s="296">
        <f t="shared" si="32"/>
        <v>0.2</v>
      </c>
      <c r="AA650" s="302">
        <v>93400727</v>
      </c>
      <c r="AB650" s="302" t="s">
        <v>6418</v>
      </c>
      <c r="AC650" s="299" t="s">
        <v>196</v>
      </c>
      <c r="AD650" s="299" t="s">
        <v>196</v>
      </c>
      <c r="AE650" s="303"/>
      <c r="AF650" s="310" t="s">
        <v>8897</v>
      </c>
      <c r="AG650" s="299" t="s">
        <v>192</v>
      </c>
      <c r="AH650" s="299" t="s">
        <v>192</v>
      </c>
    </row>
    <row r="651" spans="1:34" s="297" customFormat="1" ht="15" customHeight="1" x14ac:dyDescent="0.2">
      <c r="A651" s="289">
        <v>891780111</v>
      </c>
      <c r="B651" s="289" t="s">
        <v>54</v>
      </c>
      <c r="C651" s="290" t="s">
        <v>56</v>
      </c>
      <c r="D651" s="289" t="s">
        <v>60</v>
      </c>
      <c r="E651" s="290" t="s">
        <v>8898</v>
      </c>
      <c r="F651" s="289" t="s">
        <v>61</v>
      </c>
      <c r="G651" s="85" t="s">
        <v>63</v>
      </c>
      <c r="H651" s="85" t="s">
        <v>73</v>
      </c>
      <c r="I651" s="237">
        <v>11000000</v>
      </c>
      <c r="J651" s="290"/>
      <c r="K651" s="291"/>
      <c r="L651" s="291"/>
      <c r="M651" s="292">
        <f t="shared" si="30"/>
        <v>11000000</v>
      </c>
      <c r="N651" s="85">
        <v>1042457246</v>
      </c>
      <c r="O651" s="302" t="s">
        <v>6749</v>
      </c>
      <c r="P651" s="85" t="s">
        <v>8899</v>
      </c>
      <c r="Q651" s="293">
        <v>45112</v>
      </c>
      <c r="R651" s="293">
        <v>45112</v>
      </c>
      <c r="S651" s="293">
        <v>45260</v>
      </c>
      <c r="T651" s="293"/>
      <c r="U651" s="293"/>
      <c r="V651" s="293"/>
      <c r="W651" s="294"/>
      <c r="X651" s="237">
        <f>VLOOKUP(N651,[9]Pagos!$C$2:$D$353,2,FALSE)</f>
        <v>2200000</v>
      </c>
      <c r="Y651" s="295">
        <f t="shared" si="31"/>
        <v>8800000</v>
      </c>
      <c r="Z651" s="296">
        <f t="shared" si="32"/>
        <v>0.2</v>
      </c>
      <c r="AA651" s="85">
        <v>93400727</v>
      </c>
      <c r="AB651" s="85" t="s">
        <v>6418</v>
      </c>
      <c r="AC651" s="290" t="s">
        <v>196</v>
      </c>
      <c r="AD651" s="290" t="s">
        <v>196</v>
      </c>
      <c r="AE651" s="303"/>
      <c r="AF651" s="298" t="s">
        <v>8900</v>
      </c>
      <c r="AG651" s="290" t="s">
        <v>192</v>
      </c>
      <c r="AH651" s="290" t="s">
        <v>192</v>
      </c>
    </row>
    <row r="652" spans="1:34" s="297" customFormat="1" ht="15" customHeight="1" x14ac:dyDescent="0.2">
      <c r="A652" s="289">
        <v>891780111</v>
      </c>
      <c r="B652" s="289" t="s">
        <v>54</v>
      </c>
      <c r="C652" s="290" t="s">
        <v>56</v>
      </c>
      <c r="D652" s="289" t="s">
        <v>60</v>
      </c>
      <c r="E652" s="290" t="s">
        <v>8901</v>
      </c>
      <c r="F652" s="289" t="s">
        <v>61</v>
      </c>
      <c r="G652" s="85" t="s">
        <v>63</v>
      </c>
      <c r="H652" s="85" t="s">
        <v>73</v>
      </c>
      <c r="I652" s="237">
        <v>15500000</v>
      </c>
      <c r="J652" s="290"/>
      <c r="K652" s="291"/>
      <c r="L652" s="291"/>
      <c r="M652" s="292">
        <f t="shared" si="30"/>
        <v>15500000</v>
      </c>
      <c r="N652" s="85">
        <v>1082911157</v>
      </c>
      <c r="O652" s="302" t="s">
        <v>6399</v>
      </c>
      <c r="P652" s="85" t="s">
        <v>8902</v>
      </c>
      <c r="Q652" s="293">
        <v>45112</v>
      </c>
      <c r="R652" s="293">
        <v>45112</v>
      </c>
      <c r="S652" s="293">
        <v>45260</v>
      </c>
      <c r="T652" s="293"/>
      <c r="U652" s="293"/>
      <c r="V652" s="293"/>
      <c r="W652" s="294"/>
      <c r="X652" s="237">
        <f>VLOOKUP(N652,[9]Pagos!$C$2:$D$353,2,FALSE)</f>
        <v>3100000</v>
      </c>
      <c r="Y652" s="295">
        <f t="shared" si="31"/>
        <v>12400000</v>
      </c>
      <c r="Z652" s="296">
        <f t="shared" si="32"/>
        <v>0.2</v>
      </c>
      <c r="AA652" s="85">
        <v>12621405</v>
      </c>
      <c r="AB652" s="85" t="s">
        <v>8695</v>
      </c>
      <c r="AC652" s="290" t="s">
        <v>196</v>
      </c>
      <c r="AD652" s="290" t="s">
        <v>196</v>
      </c>
      <c r="AE652" s="303"/>
      <c r="AF652" s="298" t="s">
        <v>8903</v>
      </c>
      <c r="AG652" s="290" t="s">
        <v>192</v>
      </c>
      <c r="AH652" s="290" t="s">
        <v>192</v>
      </c>
    </row>
    <row r="653" spans="1:34" s="297" customFormat="1" ht="15" customHeight="1" x14ac:dyDescent="0.2">
      <c r="A653" s="289">
        <v>891780111</v>
      </c>
      <c r="B653" s="289" t="s">
        <v>54</v>
      </c>
      <c r="C653" s="290" t="s">
        <v>56</v>
      </c>
      <c r="D653" s="289" t="s">
        <v>60</v>
      </c>
      <c r="E653" s="290" t="s">
        <v>8904</v>
      </c>
      <c r="F653" s="289" t="s">
        <v>61</v>
      </c>
      <c r="G653" s="85" t="s">
        <v>63</v>
      </c>
      <c r="H653" s="85" t="s">
        <v>73</v>
      </c>
      <c r="I653" s="237">
        <v>17000000</v>
      </c>
      <c r="J653" s="290"/>
      <c r="K653" s="291"/>
      <c r="L653" s="291"/>
      <c r="M653" s="292">
        <f t="shared" si="30"/>
        <v>17000000</v>
      </c>
      <c r="N653" s="85">
        <v>43760150</v>
      </c>
      <c r="O653" s="302" t="s">
        <v>4760</v>
      </c>
      <c r="P653" s="85" t="s">
        <v>8905</v>
      </c>
      <c r="Q653" s="293">
        <v>45112</v>
      </c>
      <c r="R653" s="293">
        <v>45112</v>
      </c>
      <c r="S653" s="293">
        <v>45260</v>
      </c>
      <c r="T653" s="293"/>
      <c r="U653" s="293"/>
      <c r="V653" s="293"/>
      <c r="W653" s="294"/>
      <c r="X653" s="237">
        <f>VLOOKUP(N653,[9]Pagos!$C$2:$D$353,2,FALSE)</f>
        <v>3400000</v>
      </c>
      <c r="Y653" s="295">
        <f t="shared" si="31"/>
        <v>13600000</v>
      </c>
      <c r="Z653" s="296">
        <f t="shared" si="32"/>
        <v>0.2</v>
      </c>
      <c r="AA653" s="85">
        <v>93400727</v>
      </c>
      <c r="AB653" s="85" t="s">
        <v>6418</v>
      </c>
      <c r="AC653" s="290" t="s">
        <v>196</v>
      </c>
      <c r="AD653" s="290" t="s">
        <v>196</v>
      </c>
      <c r="AE653" s="303"/>
      <c r="AF653" s="298" t="s">
        <v>8906</v>
      </c>
      <c r="AG653" s="290" t="s">
        <v>192</v>
      </c>
      <c r="AH653" s="290" t="s">
        <v>192</v>
      </c>
    </row>
    <row r="654" spans="1:34" s="297" customFormat="1" ht="15" customHeight="1" x14ac:dyDescent="0.2">
      <c r="A654" s="289">
        <v>891780111</v>
      </c>
      <c r="B654" s="289" t="s">
        <v>54</v>
      </c>
      <c r="C654" s="290" t="s">
        <v>56</v>
      </c>
      <c r="D654" s="289" t="s">
        <v>60</v>
      </c>
      <c r="E654" s="290" t="s">
        <v>8907</v>
      </c>
      <c r="F654" s="289" t="s">
        <v>61</v>
      </c>
      <c r="G654" s="85" t="s">
        <v>63</v>
      </c>
      <c r="H654" s="85" t="s">
        <v>73</v>
      </c>
      <c r="I654" s="237">
        <v>15500000</v>
      </c>
      <c r="J654" s="290"/>
      <c r="K654" s="291"/>
      <c r="L654" s="291"/>
      <c r="M654" s="292">
        <f t="shared" si="30"/>
        <v>15500000</v>
      </c>
      <c r="N654" s="85">
        <v>26671855</v>
      </c>
      <c r="O654" s="302" t="s">
        <v>6737</v>
      </c>
      <c r="P654" s="85" t="s">
        <v>8908</v>
      </c>
      <c r="Q654" s="293">
        <v>45112</v>
      </c>
      <c r="R654" s="293">
        <v>45112</v>
      </c>
      <c r="S654" s="293">
        <v>45260</v>
      </c>
      <c r="T654" s="293"/>
      <c r="U654" s="293"/>
      <c r="V654" s="293"/>
      <c r="W654" s="294"/>
      <c r="X654" s="237">
        <f>VLOOKUP(N654,[9]Pagos!$C$2:$D$353,2,FALSE)</f>
        <v>3100000</v>
      </c>
      <c r="Y654" s="295">
        <f t="shared" si="31"/>
        <v>12400000</v>
      </c>
      <c r="Z654" s="296">
        <f t="shared" si="32"/>
        <v>0.2</v>
      </c>
      <c r="AA654" s="85">
        <v>39058006</v>
      </c>
      <c r="AB654" s="85" t="s">
        <v>6699</v>
      </c>
      <c r="AC654" s="290" t="s">
        <v>196</v>
      </c>
      <c r="AD654" s="290" t="s">
        <v>196</v>
      </c>
      <c r="AE654" s="303"/>
      <c r="AF654" s="298" t="s">
        <v>8909</v>
      </c>
      <c r="AG654" s="290" t="s">
        <v>192</v>
      </c>
      <c r="AH654" s="290" t="s">
        <v>192</v>
      </c>
    </row>
    <row r="655" spans="1:34" s="311" customFormat="1" ht="15" customHeight="1" x14ac:dyDescent="0.2">
      <c r="A655" s="289">
        <v>891780111</v>
      </c>
      <c r="B655" s="308" t="s">
        <v>54</v>
      </c>
      <c r="C655" s="299" t="s">
        <v>56</v>
      </c>
      <c r="D655" s="308" t="s">
        <v>60</v>
      </c>
      <c r="E655" s="299" t="s">
        <v>8910</v>
      </c>
      <c r="F655" s="308" t="s">
        <v>61</v>
      </c>
      <c r="G655" s="302" t="s">
        <v>63</v>
      </c>
      <c r="H655" s="302" t="s">
        <v>73</v>
      </c>
      <c r="I655" s="300">
        <v>14000000</v>
      </c>
      <c r="J655" s="299"/>
      <c r="K655" s="301"/>
      <c r="L655" s="301"/>
      <c r="M655" s="292">
        <f t="shared" si="30"/>
        <v>14000000</v>
      </c>
      <c r="N655" s="302">
        <v>1082984161</v>
      </c>
      <c r="O655" s="302" t="s">
        <v>8743</v>
      </c>
      <c r="P655" s="302" t="s">
        <v>8911</v>
      </c>
      <c r="Q655" s="309">
        <v>45113</v>
      </c>
      <c r="R655" s="309">
        <f>DATE(2023,7,6)</f>
        <v>45113</v>
      </c>
      <c r="S655" s="309">
        <f>DATE(2023,11,30)</f>
        <v>45260</v>
      </c>
      <c r="T655" s="309"/>
      <c r="U655" s="309"/>
      <c r="V655" s="309"/>
      <c r="W655" s="304"/>
      <c r="X655" s="237">
        <f>VLOOKUP(N655,[9]Pagos!$C$2:$D$353,2,FALSE)</f>
        <v>2800000</v>
      </c>
      <c r="Y655" s="295">
        <f t="shared" si="31"/>
        <v>11200000</v>
      </c>
      <c r="Z655" s="296">
        <f t="shared" si="32"/>
        <v>0.2</v>
      </c>
      <c r="AA655" s="85">
        <v>36718996</v>
      </c>
      <c r="AB655" s="302" t="s">
        <v>6372</v>
      </c>
      <c r="AC655" s="290" t="s">
        <v>196</v>
      </c>
      <c r="AD655" s="290" t="s">
        <v>196</v>
      </c>
      <c r="AE655" s="303"/>
      <c r="AF655" s="310" t="str">
        <f>VLOOKUP(E655,[10]Hoja1!$D$3:$E$327,2,FALSE)</f>
        <v>https://community.secop.gov.co/Public/Tendering/OpportunityDetail/Index?noticeUID=CO1.NTC.4718511&amp;isFromPublicArea=True&amp;isModal=true&amp;asPopupView=true</v>
      </c>
      <c r="AG655" s="290" t="s">
        <v>192</v>
      </c>
      <c r="AH655" s="290" t="s">
        <v>192</v>
      </c>
    </row>
    <row r="656" spans="1:34" s="297" customFormat="1" ht="15" customHeight="1" x14ac:dyDescent="0.2">
      <c r="A656" s="289">
        <v>891780111</v>
      </c>
      <c r="B656" s="289" t="s">
        <v>54</v>
      </c>
      <c r="C656" s="290" t="s">
        <v>56</v>
      </c>
      <c r="D656" s="289" t="s">
        <v>60</v>
      </c>
      <c r="E656" s="290" t="s">
        <v>8912</v>
      </c>
      <c r="F656" s="289" t="s">
        <v>61</v>
      </c>
      <c r="G656" s="85" t="s">
        <v>63</v>
      </c>
      <c r="H656" s="85" t="s">
        <v>73</v>
      </c>
      <c r="I656" s="237">
        <v>19500000</v>
      </c>
      <c r="J656" s="290"/>
      <c r="K656" s="291"/>
      <c r="L656" s="291"/>
      <c r="M656" s="292">
        <f t="shared" si="30"/>
        <v>19500000</v>
      </c>
      <c r="N656" s="85">
        <v>1116800838</v>
      </c>
      <c r="O656" s="302" t="s">
        <v>8591</v>
      </c>
      <c r="P656" s="85" t="s">
        <v>8913</v>
      </c>
      <c r="Q656" s="309">
        <v>45113</v>
      </c>
      <c r="R656" s="309">
        <f t="shared" ref="R656:R660" si="33">DATE(2023,7,6)</f>
        <v>45113</v>
      </c>
      <c r="S656" s="309">
        <f t="shared" ref="S656:S719" si="34">DATE(2023,11,30)</f>
        <v>45260</v>
      </c>
      <c r="T656" s="293"/>
      <c r="U656" s="293"/>
      <c r="V656" s="293"/>
      <c r="W656" s="294"/>
      <c r="X656" s="237">
        <f>VLOOKUP(N656,[9]Pagos!$C$2:$D$353,2,FALSE)</f>
        <v>3900000</v>
      </c>
      <c r="Y656" s="295">
        <f t="shared" si="31"/>
        <v>15600000</v>
      </c>
      <c r="Z656" s="296">
        <f t="shared" si="32"/>
        <v>0.2</v>
      </c>
      <c r="AA656" s="85">
        <v>39058006</v>
      </c>
      <c r="AB656" s="85" t="s">
        <v>6699</v>
      </c>
      <c r="AC656" s="290" t="s">
        <v>196</v>
      </c>
      <c r="AD656" s="290" t="s">
        <v>196</v>
      </c>
      <c r="AE656" s="303"/>
      <c r="AF656" s="310" t="str">
        <f>VLOOKUP(E656,[10]Hoja1!$D$3:$E$327,2,FALSE)</f>
        <v>https://community.secop.gov.co/Public/Tendering/OpportunityDetail/Index?noticeUID=CO1.NTC.4717894&amp;isFromPublicArea=True&amp;isModal=true&amp;asPopupView=true</v>
      </c>
      <c r="AG656" s="290" t="s">
        <v>192</v>
      </c>
      <c r="AH656" s="290" t="s">
        <v>192</v>
      </c>
    </row>
    <row r="657" spans="1:34" s="297" customFormat="1" ht="15" customHeight="1" x14ac:dyDescent="0.2">
      <c r="A657" s="289">
        <v>891780111</v>
      </c>
      <c r="B657" s="289" t="s">
        <v>54</v>
      </c>
      <c r="C657" s="290" t="s">
        <v>56</v>
      </c>
      <c r="D657" s="289" t="s">
        <v>60</v>
      </c>
      <c r="E657" s="290" t="s">
        <v>8914</v>
      </c>
      <c r="F657" s="289" t="s">
        <v>61</v>
      </c>
      <c r="G657" s="85" t="s">
        <v>63</v>
      </c>
      <c r="H657" s="85" t="s">
        <v>73</v>
      </c>
      <c r="I657" s="237">
        <v>30500000</v>
      </c>
      <c r="J657" s="290"/>
      <c r="K657" s="291"/>
      <c r="L657" s="291"/>
      <c r="M657" s="292">
        <f t="shared" si="30"/>
        <v>30500000</v>
      </c>
      <c r="N657" s="85">
        <v>36724902</v>
      </c>
      <c r="O657" s="302" t="s">
        <v>6928</v>
      </c>
      <c r="P657" s="85" t="s">
        <v>8915</v>
      </c>
      <c r="Q657" s="309">
        <f t="shared" ref="Q657:R691" si="35">DATE(2023,7,6)</f>
        <v>45113</v>
      </c>
      <c r="R657" s="309">
        <f t="shared" si="33"/>
        <v>45113</v>
      </c>
      <c r="S657" s="309">
        <f t="shared" si="34"/>
        <v>45260</v>
      </c>
      <c r="T657" s="293"/>
      <c r="U657" s="293"/>
      <c r="V657" s="293"/>
      <c r="W657" s="294"/>
      <c r="X657" s="237">
        <f>VLOOKUP(N657,[9]Pagos!$C$2:$D$353,2,FALSE)</f>
        <v>6100000</v>
      </c>
      <c r="Y657" s="295">
        <f t="shared" si="31"/>
        <v>24400000</v>
      </c>
      <c r="Z657" s="296">
        <f t="shared" si="32"/>
        <v>0.2</v>
      </c>
      <c r="AA657" s="85">
        <v>12621405</v>
      </c>
      <c r="AB657" s="85" t="s">
        <v>8695</v>
      </c>
      <c r="AC657" s="290" t="s">
        <v>196</v>
      </c>
      <c r="AD657" s="290" t="s">
        <v>196</v>
      </c>
      <c r="AE657" s="303"/>
      <c r="AF657" s="310" t="str">
        <f>VLOOKUP(E657,[10]Hoja1!$D$3:$E$327,2,FALSE)</f>
        <v>https://community.secop.gov.co/Public/Tendering/OpportunityDetail/Index?noticeUID=CO1.NTC.4718505&amp;isFromPublicArea=True&amp;isModal=true&amp;asPopupView=true</v>
      </c>
      <c r="AG657" s="290" t="s">
        <v>192</v>
      </c>
      <c r="AH657" s="290" t="s">
        <v>192</v>
      </c>
    </row>
    <row r="658" spans="1:34" s="297" customFormat="1" ht="15" customHeight="1" x14ac:dyDescent="0.2">
      <c r="A658" s="289">
        <v>891780111</v>
      </c>
      <c r="B658" s="289" t="s">
        <v>54</v>
      </c>
      <c r="C658" s="290" t="s">
        <v>59</v>
      </c>
      <c r="D658" s="289" t="s">
        <v>60</v>
      </c>
      <c r="E658" s="290" t="s">
        <v>8916</v>
      </c>
      <c r="F658" s="289" t="s">
        <v>61</v>
      </c>
      <c r="G658" s="85" t="s">
        <v>63</v>
      </c>
      <c r="H658" s="85" t="s">
        <v>73</v>
      </c>
      <c r="I658" s="237">
        <v>17500000</v>
      </c>
      <c r="J658" s="290"/>
      <c r="K658" s="291"/>
      <c r="L658" s="291"/>
      <c r="M658" s="292">
        <f t="shared" si="30"/>
        <v>17500000</v>
      </c>
      <c r="N658" s="85">
        <v>1081823159</v>
      </c>
      <c r="O658" s="302" t="s">
        <v>8165</v>
      </c>
      <c r="P658" s="85" t="s">
        <v>8917</v>
      </c>
      <c r="Q658" s="309">
        <f t="shared" si="35"/>
        <v>45113</v>
      </c>
      <c r="R658" s="309">
        <f t="shared" si="33"/>
        <v>45113</v>
      </c>
      <c r="S658" s="309">
        <f t="shared" si="34"/>
        <v>45260</v>
      </c>
      <c r="T658" s="293"/>
      <c r="U658" s="293"/>
      <c r="V658" s="293"/>
      <c r="W658" s="294"/>
      <c r="X658" s="237">
        <f>VLOOKUP(N658,[9]Pagos!$C$2:$D$353,2,FALSE)</f>
        <v>3500000</v>
      </c>
      <c r="Y658" s="295">
        <f t="shared" si="31"/>
        <v>14000000</v>
      </c>
      <c r="Z658" s="296">
        <f t="shared" si="32"/>
        <v>0.2</v>
      </c>
      <c r="AA658" s="85">
        <v>1192791759</v>
      </c>
      <c r="AB658" s="85" t="s">
        <v>6649</v>
      </c>
      <c r="AC658" s="290" t="s">
        <v>196</v>
      </c>
      <c r="AD658" s="290" t="s">
        <v>196</v>
      </c>
      <c r="AE658" s="303"/>
      <c r="AF658" s="310" t="str">
        <f>VLOOKUP(E658,[10]Hoja1!$D$3:$E$327,2,FALSE)</f>
        <v>https://community.secop.gov.co/Public/Tendering/OpportunityDetail/Index?noticeUID=CO1.NTC.4717656&amp;isFromPublicArea=True&amp;isModal=true&amp;asPopupView=true</v>
      </c>
      <c r="AG658" s="290" t="s">
        <v>192</v>
      </c>
      <c r="AH658" s="290" t="s">
        <v>192</v>
      </c>
    </row>
    <row r="659" spans="1:34" s="297" customFormat="1" ht="15" customHeight="1" x14ac:dyDescent="0.2">
      <c r="A659" s="289">
        <v>891780111</v>
      </c>
      <c r="B659" s="289" t="s">
        <v>54</v>
      </c>
      <c r="C659" s="290" t="s">
        <v>56</v>
      </c>
      <c r="D659" s="289" t="s">
        <v>60</v>
      </c>
      <c r="E659" s="290" t="s">
        <v>8918</v>
      </c>
      <c r="F659" s="289" t="s">
        <v>61</v>
      </c>
      <c r="G659" s="85" t="s">
        <v>63</v>
      </c>
      <c r="H659" s="85" t="s">
        <v>73</v>
      </c>
      <c r="I659" s="237">
        <v>17000000</v>
      </c>
      <c r="J659" s="290"/>
      <c r="K659" s="291"/>
      <c r="L659" s="291"/>
      <c r="M659" s="292">
        <f t="shared" si="30"/>
        <v>17000000</v>
      </c>
      <c r="N659" s="85">
        <v>1083021976</v>
      </c>
      <c r="O659" s="302" t="s">
        <v>7910</v>
      </c>
      <c r="P659" s="85" t="s">
        <v>8919</v>
      </c>
      <c r="Q659" s="309">
        <f t="shared" si="35"/>
        <v>45113</v>
      </c>
      <c r="R659" s="309">
        <f t="shared" si="33"/>
        <v>45113</v>
      </c>
      <c r="S659" s="309">
        <f t="shared" si="34"/>
        <v>45260</v>
      </c>
      <c r="T659" s="293"/>
      <c r="U659" s="293"/>
      <c r="V659" s="293"/>
      <c r="W659" s="294"/>
      <c r="X659" s="237">
        <f>VLOOKUP(N659,[9]Pagos!$C$2:$D$353,2,FALSE)</f>
        <v>3400000</v>
      </c>
      <c r="Y659" s="295">
        <f t="shared" si="31"/>
        <v>13600000</v>
      </c>
      <c r="Z659" s="296">
        <f t="shared" si="32"/>
        <v>0.2</v>
      </c>
      <c r="AA659" s="85">
        <v>12621405</v>
      </c>
      <c r="AB659" s="85" t="s">
        <v>8695</v>
      </c>
      <c r="AC659" s="290" t="s">
        <v>196</v>
      </c>
      <c r="AD659" s="290" t="s">
        <v>196</v>
      </c>
      <c r="AE659" s="303"/>
      <c r="AF659" s="310" t="str">
        <f>VLOOKUP(E659,[10]Hoja1!$D$3:$E$327,2,FALSE)</f>
        <v>https://community.secop.gov.co/Public/Tendering/OpportunityDetail/Index?noticeUID=CO1.NTC.4718078&amp;isFromPublicArea=True&amp;isModal=true&amp;asPopupView=true</v>
      </c>
      <c r="AG659" s="290" t="s">
        <v>192</v>
      </c>
      <c r="AH659" s="290" t="s">
        <v>192</v>
      </c>
    </row>
    <row r="660" spans="1:34" s="297" customFormat="1" ht="15" customHeight="1" x14ac:dyDescent="0.2">
      <c r="A660" s="289">
        <v>891780111</v>
      </c>
      <c r="B660" s="289" t="s">
        <v>54</v>
      </c>
      <c r="C660" s="290" t="s">
        <v>59</v>
      </c>
      <c r="D660" s="289" t="s">
        <v>60</v>
      </c>
      <c r="E660" s="290" t="s">
        <v>8920</v>
      </c>
      <c r="F660" s="289" t="s">
        <v>61</v>
      </c>
      <c r="G660" s="85" t="s">
        <v>63</v>
      </c>
      <c r="H660" s="85" t="s">
        <v>73</v>
      </c>
      <c r="I660" s="237">
        <v>17500000</v>
      </c>
      <c r="J660" s="290"/>
      <c r="K660" s="291"/>
      <c r="L660" s="291"/>
      <c r="M660" s="292">
        <f t="shared" si="30"/>
        <v>17500000</v>
      </c>
      <c r="N660" s="85">
        <v>7602961</v>
      </c>
      <c r="O660" s="85" t="s">
        <v>8407</v>
      </c>
      <c r="P660" s="85" t="s">
        <v>8921</v>
      </c>
      <c r="Q660" s="309">
        <f t="shared" si="35"/>
        <v>45113</v>
      </c>
      <c r="R660" s="309">
        <f t="shared" si="33"/>
        <v>45113</v>
      </c>
      <c r="S660" s="309">
        <f t="shared" si="34"/>
        <v>45260</v>
      </c>
      <c r="T660" s="293"/>
      <c r="U660" s="293"/>
      <c r="V660" s="293"/>
      <c r="W660" s="294"/>
      <c r="X660" s="237">
        <f>VLOOKUP(N660,[9]Pagos!$C$2:$D$353,2,FALSE)</f>
        <v>3500000</v>
      </c>
      <c r="Y660" s="295">
        <f t="shared" si="31"/>
        <v>14000000</v>
      </c>
      <c r="Z660" s="296">
        <f t="shared" si="32"/>
        <v>0.2</v>
      </c>
      <c r="AA660" s="85">
        <v>1192791759</v>
      </c>
      <c r="AB660" s="85" t="s">
        <v>6649</v>
      </c>
      <c r="AC660" s="290" t="s">
        <v>196</v>
      </c>
      <c r="AD660" s="290" t="s">
        <v>196</v>
      </c>
      <c r="AE660" s="303"/>
      <c r="AF660" s="310" t="str">
        <f>VLOOKUP(E660,[10]Hoja1!$D$3:$E$327,2,FALSE)</f>
        <v>https://community.secop.gov.co/Public/Tendering/OpportunityDetail/Index?noticeUID=CO1.NTC.4718270&amp;isFromPublicArea=True&amp;isModal=true&amp;asPopupView=true</v>
      </c>
      <c r="AG660" s="290" t="s">
        <v>192</v>
      </c>
      <c r="AH660" s="290" t="s">
        <v>192</v>
      </c>
    </row>
    <row r="661" spans="1:34" s="297" customFormat="1" ht="15" customHeight="1" x14ac:dyDescent="0.2">
      <c r="A661" s="289">
        <v>891780111</v>
      </c>
      <c r="B661" s="289" t="s">
        <v>54</v>
      </c>
      <c r="C661" s="290" t="s">
        <v>56</v>
      </c>
      <c r="D661" s="289" t="s">
        <v>60</v>
      </c>
      <c r="E661" s="290" t="s">
        <v>8922</v>
      </c>
      <c r="F661" s="289" t="s">
        <v>61</v>
      </c>
      <c r="G661" s="85" t="s">
        <v>63</v>
      </c>
      <c r="H661" s="85" t="s">
        <v>73</v>
      </c>
      <c r="I661" s="237">
        <v>3800000</v>
      </c>
      <c r="J661" s="290"/>
      <c r="K661" s="291"/>
      <c r="L661" s="291"/>
      <c r="M661" s="292">
        <f t="shared" si="30"/>
        <v>3800000</v>
      </c>
      <c r="N661" s="85">
        <v>1103111491</v>
      </c>
      <c r="O661" s="85" t="s">
        <v>6490</v>
      </c>
      <c r="P661" s="85" t="s">
        <v>8923</v>
      </c>
      <c r="Q661" s="309">
        <f t="shared" si="35"/>
        <v>45113</v>
      </c>
      <c r="R661" s="309">
        <f>DATE(2023,7,7)</f>
        <v>45114</v>
      </c>
      <c r="S661" s="309">
        <f>DATE(2023,7,31)</f>
        <v>45138</v>
      </c>
      <c r="T661" s="293"/>
      <c r="U661" s="293"/>
      <c r="V661" s="293"/>
      <c r="W661" s="294"/>
      <c r="X661" s="237">
        <f>VLOOKUP(N661,[9]Pagos!$C$2:$D$353,2,FALSE)</f>
        <v>3800000</v>
      </c>
      <c r="Y661" s="295">
        <f t="shared" si="31"/>
        <v>0</v>
      </c>
      <c r="Z661" s="296">
        <f t="shared" si="32"/>
        <v>1</v>
      </c>
      <c r="AA661" s="85">
        <v>41947381</v>
      </c>
      <c r="AB661" s="85" t="s">
        <v>6440</v>
      </c>
      <c r="AC661" s="290" t="s">
        <v>196</v>
      </c>
      <c r="AD661" s="290" t="s">
        <v>196</v>
      </c>
      <c r="AE661" s="303"/>
      <c r="AF661" s="310" t="str">
        <f>VLOOKUP(E661,[10]Hoja1!$D$3:$E$327,2,FALSE)</f>
        <v>https://community.secop.gov.co/Public/Tendering/OpportunityDetail/Index?noticeUID=CO1.NTC.4718657&amp;isFromPublicArea=True&amp;isModal=true&amp;asPopupView=true</v>
      </c>
      <c r="AG661" s="290" t="s">
        <v>192</v>
      </c>
      <c r="AH661" s="290" t="s">
        <v>192</v>
      </c>
    </row>
    <row r="662" spans="1:34" s="297" customFormat="1" ht="15" customHeight="1" x14ac:dyDescent="0.2">
      <c r="A662" s="289">
        <v>891780111</v>
      </c>
      <c r="B662" s="289" t="s">
        <v>54</v>
      </c>
      <c r="C662" s="290" t="s">
        <v>56</v>
      </c>
      <c r="D662" s="289" t="s">
        <v>60</v>
      </c>
      <c r="E662" s="290" t="s">
        <v>8924</v>
      </c>
      <c r="F662" s="289" t="s">
        <v>61</v>
      </c>
      <c r="G662" s="85" t="s">
        <v>63</v>
      </c>
      <c r="H662" s="85" t="s">
        <v>73</v>
      </c>
      <c r="I662" s="237">
        <v>3600000</v>
      </c>
      <c r="J662" s="290"/>
      <c r="K662" s="291"/>
      <c r="L662" s="291"/>
      <c r="M662" s="292">
        <f t="shared" si="30"/>
        <v>3600000</v>
      </c>
      <c r="N662" s="85">
        <v>57466769</v>
      </c>
      <c r="O662" s="85" t="s">
        <v>6460</v>
      </c>
      <c r="P662" s="85" t="s">
        <v>8925</v>
      </c>
      <c r="Q662" s="309">
        <f t="shared" si="35"/>
        <v>45113</v>
      </c>
      <c r="R662" s="309">
        <f>DATE(2023,7,11)</f>
        <v>45118</v>
      </c>
      <c r="S662" s="309">
        <f>DATE(2023,7,31)</f>
        <v>45138</v>
      </c>
      <c r="T662" s="293"/>
      <c r="U662" s="293"/>
      <c r="V662" s="293"/>
      <c r="W662" s="294"/>
      <c r="X662" s="237">
        <f>VLOOKUP(N662,[9]Pagos!$C$2:$D$353,2,FALSE)</f>
        <v>3600000</v>
      </c>
      <c r="Y662" s="295">
        <f t="shared" si="31"/>
        <v>0</v>
      </c>
      <c r="Z662" s="296">
        <f t="shared" si="32"/>
        <v>1</v>
      </c>
      <c r="AA662" s="85">
        <v>41947381</v>
      </c>
      <c r="AB662" s="85" t="s">
        <v>6440</v>
      </c>
      <c r="AC662" s="290" t="s">
        <v>196</v>
      </c>
      <c r="AD662" s="290" t="s">
        <v>196</v>
      </c>
      <c r="AE662" s="303"/>
      <c r="AF662" s="310" t="str">
        <f>VLOOKUP(E662,[10]Hoja1!$D$3:$E$327,2,FALSE)</f>
        <v>https://community.secop.gov.co/Public/Tendering/OpportunityDetail/Index?noticeUID=CO1.NTC.4718680&amp;isFromPublicArea=True&amp;isModal=true&amp;asPopupView=true</v>
      </c>
      <c r="AG662" s="290" t="s">
        <v>192</v>
      </c>
      <c r="AH662" s="290" t="s">
        <v>192</v>
      </c>
    </row>
    <row r="663" spans="1:34" s="297" customFormat="1" ht="15" customHeight="1" x14ac:dyDescent="0.2">
      <c r="A663" s="289">
        <v>891780111</v>
      </c>
      <c r="B663" s="289" t="s">
        <v>54</v>
      </c>
      <c r="C663" s="290" t="s">
        <v>56</v>
      </c>
      <c r="D663" s="289" t="s">
        <v>60</v>
      </c>
      <c r="E663" s="290" t="s">
        <v>8926</v>
      </c>
      <c r="F663" s="289" t="s">
        <v>61</v>
      </c>
      <c r="G663" s="85" t="s">
        <v>63</v>
      </c>
      <c r="H663" s="85" t="s">
        <v>73</v>
      </c>
      <c r="I663" s="237">
        <v>2700000</v>
      </c>
      <c r="J663" s="290"/>
      <c r="K663" s="291"/>
      <c r="L663" s="291"/>
      <c r="M663" s="292">
        <f t="shared" si="30"/>
        <v>2700000</v>
      </c>
      <c r="N663" s="85">
        <v>1082947495</v>
      </c>
      <c r="O663" s="85" t="s">
        <v>8795</v>
      </c>
      <c r="P663" s="85" t="s">
        <v>8927</v>
      </c>
      <c r="Q663" s="309">
        <f t="shared" si="35"/>
        <v>45113</v>
      </c>
      <c r="R663" s="309">
        <f>DATE(2023,7,11)</f>
        <v>45118</v>
      </c>
      <c r="S663" s="309">
        <f>DATE(2023,7,24)</f>
        <v>45131</v>
      </c>
      <c r="T663" s="293"/>
      <c r="U663" s="293"/>
      <c r="V663" s="293"/>
      <c r="W663" s="294"/>
      <c r="X663" s="237">
        <f>VLOOKUP(N663,[9]Pagos!$C$2:$D$353,2,FALSE)</f>
        <v>2700000</v>
      </c>
      <c r="Y663" s="295">
        <f t="shared" si="31"/>
        <v>0</v>
      </c>
      <c r="Z663" s="296">
        <f t="shared" si="32"/>
        <v>1</v>
      </c>
      <c r="AA663" s="85">
        <v>41947381</v>
      </c>
      <c r="AB663" s="85" t="s">
        <v>6440</v>
      </c>
      <c r="AC663" s="290" t="s">
        <v>196</v>
      </c>
      <c r="AD663" s="290" t="s">
        <v>196</v>
      </c>
      <c r="AE663" s="303"/>
      <c r="AF663" s="310" t="str">
        <f>VLOOKUP(E663,[10]Hoja1!$D$3:$E$327,2,FALSE)</f>
        <v>https://community.secop.gov.co/Public/Tendering/OpportunityDetail/Index?noticeUID=CO1.NTC.4719572&amp;isFromPublicArea=True&amp;isModal=true&amp;asPopupView=true</v>
      </c>
      <c r="AG663" s="290" t="s">
        <v>192</v>
      </c>
      <c r="AH663" s="290" t="s">
        <v>192</v>
      </c>
    </row>
    <row r="664" spans="1:34" s="297" customFormat="1" ht="15" customHeight="1" x14ac:dyDescent="0.2">
      <c r="A664" s="289">
        <v>891780111</v>
      </c>
      <c r="B664" s="289" t="s">
        <v>54</v>
      </c>
      <c r="C664" s="290" t="s">
        <v>56</v>
      </c>
      <c r="D664" s="289" t="s">
        <v>60</v>
      </c>
      <c r="E664" s="290" t="s">
        <v>8928</v>
      </c>
      <c r="F664" s="289" t="s">
        <v>61</v>
      </c>
      <c r="G664" s="85" t="s">
        <v>63</v>
      </c>
      <c r="H664" s="85" t="s">
        <v>73</v>
      </c>
      <c r="I664" s="237">
        <v>11000000</v>
      </c>
      <c r="J664" s="290"/>
      <c r="K664" s="291"/>
      <c r="L664" s="291"/>
      <c r="M664" s="292">
        <f t="shared" si="30"/>
        <v>11000000</v>
      </c>
      <c r="N664" s="85">
        <v>85467592</v>
      </c>
      <c r="O664" s="85" t="s">
        <v>8001</v>
      </c>
      <c r="P664" s="85" t="s">
        <v>8929</v>
      </c>
      <c r="Q664" s="309">
        <f t="shared" si="35"/>
        <v>45113</v>
      </c>
      <c r="R664" s="309">
        <f>DATE(2023,7,6)</f>
        <v>45113</v>
      </c>
      <c r="S664" s="309">
        <f t="shared" si="34"/>
        <v>45260</v>
      </c>
      <c r="T664" s="293"/>
      <c r="U664" s="293"/>
      <c r="V664" s="293"/>
      <c r="W664" s="294"/>
      <c r="X664" s="237">
        <f>VLOOKUP(N664,[9]Pagos!$C$2:$D$353,2,FALSE)</f>
        <v>2200000</v>
      </c>
      <c r="Y664" s="295">
        <f t="shared" si="31"/>
        <v>8800000</v>
      </c>
      <c r="Z664" s="296">
        <f t="shared" si="32"/>
        <v>0.2</v>
      </c>
      <c r="AA664" s="85">
        <v>57297693</v>
      </c>
      <c r="AB664" s="85" t="s">
        <v>8869</v>
      </c>
      <c r="AC664" s="290" t="s">
        <v>196</v>
      </c>
      <c r="AD664" s="290" t="s">
        <v>196</v>
      </c>
      <c r="AE664" s="303"/>
      <c r="AF664" s="310" t="str">
        <f>VLOOKUP(E664,[10]Hoja1!$D$3:$E$327,2,FALSE)</f>
        <v>https://community.secop.gov.co/Public/Tendering/OpportunityDetail/Index?noticeUID=CO1.NTC.4719631&amp;isFromPublicArea=True&amp;isModal=true&amp;asPopupView=true</v>
      </c>
      <c r="AG664" s="290" t="s">
        <v>192</v>
      </c>
      <c r="AH664" s="290" t="s">
        <v>192</v>
      </c>
    </row>
    <row r="665" spans="1:34" s="297" customFormat="1" ht="15" customHeight="1" x14ac:dyDescent="0.2">
      <c r="A665" s="289">
        <v>891780111</v>
      </c>
      <c r="B665" s="289" t="s">
        <v>54</v>
      </c>
      <c r="C665" s="290" t="s">
        <v>56</v>
      </c>
      <c r="D665" s="289" t="s">
        <v>60</v>
      </c>
      <c r="E665" s="290" t="s">
        <v>8930</v>
      </c>
      <c r="F665" s="289" t="s">
        <v>61</v>
      </c>
      <c r="G665" s="85" t="s">
        <v>63</v>
      </c>
      <c r="H665" s="85" t="s">
        <v>73</v>
      </c>
      <c r="I665" s="237">
        <v>3800000</v>
      </c>
      <c r="J665" s="290"/>
      <c r="K665" s="291"/>
      <c r="L665" s="291"/>
      <c r="M665" s="292">
        <f t="shared" si="30"/>
        <v>3800000</v>
      </c>
      <c r="N665" s="85">
        <v>1143379940</v>
      </c>
      <c r="O665" s="85" t="s">
        <v>6486</v>
      </c>
      <c r="P665" s="85" t="s">
        <v>8931</v>
      </c>
      <c r="Q665" s="309">
        <f t="shared" si="35"/>
        <v>45113</v>
      </c>
      <c r="R665" s="309">
        <f>DATE(2023,7,7)</f>
        <v>45114</v>
      </c>
      <c r="S665" s="309">
        <f>DATE(2023,7,31)</f>
        <v>45138</v>
      </c>
      <c r="T665" s="293"/>
      <c r="U665" s="293"/>
      <c r="V665" s="293"/>
      <c r="W665" s="294"/>
      <c r="X665" s="237">
        <f>VLOOKUP(N665,[9]Pagos!$C$2:$D$353,2,FALSE)</f>
        <v>3800000</v>
      </c>
      <c r="Y665" s="295">
        <f t="shared" si="31"/>
        <v>0</v>
      </c>
      <c r="Z665" s="296">
        <f t="shared" si="32"/>
        <v>1</v>
      </c>
      <c r="AA665" s="85">
        <v>41947381</v>
      </c>
      <c r="AB665" s="85" t="s">
        <v>6440</v>
      </c>
      <c r="AC665" s="290" t="s">
        <v>196</v>
      </c>
      <c r="AD665" s="290" t="s">
        <v>196</v>
      </c>
      <c r="AE665" s="303"/>
      <c r="AF665" s="310" t="str">
        <f>VLOOKUP(E665,[10]Hoja1!$D$3:$E$327,2,FALSE)</f>
        <v>https://community.secop.gov.co/Public/Tendering/OpportunityDetail/Index?noticeUID=CO1.NTC.4718801&amp;isFromPublicArea=True&amp;isModal=true&amp;asPopupView=true</v>
      </c>
      <c r="AG665" s="290" t="s">
        <v>192</v>
      </c>
      <c r="AH665" s="290" t="s">
        <v>192</v>
      </c>
    </row>
    <row r="666" spans="1:34" s="297" customFormat="1" ht="15" customHeight="1" x14ac:dyDescent="0.2">
      <c r="A666" s="289">
        <v>891780111</v>
      </c>
      <c r="B666" s="289" t="s">
        <v>54</v>
      </c>
      <c r="C666" s="290" t="s">
        <v>56</v>
      </c>
      <c r="D666" s="289" t="s">
        <v>60</v>
      </c>
      <c r="E666" s="290" t="s">
        <v>8932</v>
      </c>
      <c r="F666" s="289" t="s">
        <v>61</v>
      </c>
      <c r="G666" s="85" t="s">
        <v>63</v>
      </c>
      <c r="H666" s="85" t="s">
        <v>73</v>
      </c>
      <c r="I666" s="237">
        <v>11000000</v>
      </c>
      <c r="J666" s="290"/>
      <c r="K666" s="291"/>
      <c r="L666" s="291"/>
      <c r="M666" s="292">
        <f t="shared" si="30"/>
        <v>11000000</v>
      </c>
      <c r="N666" s="85">
        <v>9091645</v>
      </c>
      <c r="O666" s="85" t="s">
        <v>7082</v>
      </c>
      <c r="P666" s="85" t="s">
        <v>8933</v>
      </c>
      <c r="Q666" s="309">
        <f t="shared" si="35"/>
        <v>45113</v>
      </c>
      <c r="R666" s="309">
        <f>DATE(2023,7,6)</f>
        <v>45113</v>
      </c>
      <c r="S666" s="309">
        <f t="shared" si="34"/>
        <v>45260</v>
      </c>
      <c r="T666" s="293"/>
      <c r="U666" s="293"/>
      <c r="V666" s="293"/>
      <c r="W666" s="294"/>
      <c r="X666" s="237">
        <f>VLOOKUP(N666,[9]Pagos!$C$2:$D$353,2,FALSE)</f>
        <v>2200000</v>
      </c>
      <c r="Y666" s="295">
        <f t="shared" si="31"/>
        <v>8800000</v>
      </c>
      <c r="Z666" s="296">
        <f t="shared" si="32"/>
        <v>0.2</v>
      </c>
      <c r="AA666" s="85">
        <v>36557666</v>
      </c>
      <c r="AB666" s="85" t="s">
        <v>6916</v>
      </c>
      <c r="AC666" s="290" t="s">
        <v>196</v>
      </c>
      <c r="AD666" s="290" t="s">
        <v>196</v>
      </c>
      <c r="AE666" s="303"/>
      <c r="AF666" s="310" t="str">
        <f>VLOOKUP(E666,[10]Hoja1!$D$3:$E$327,2,FALSE)</f>
        <v>https://community.secop.gov.co/Public/Tendering/OpportunityDetail/Index?noticeUID=CO1.NTC.4719014&amp;isFromPublicArea=True&amp;isModal=true&amp;asPopupView=true</v>
      </c>
      <c r="AG666" s="290" t="s">
        <v>192</v>
      </c>
      <c r="AH666" s="290" t="s">
        <v>192</v>
      </c>
    </row>
    <row r="667" spans="1:34" s="297" customFormat="1" ht="15" customHeight="1" x14ac:dyDescent="0.2">
      <c r="A667" s="289">
        <v>891780111</v>
      </c>
      <c r="B667" s="289" t="s">
        <v>54</v>
      </c>
      <c r="C667" s="290" t="s">
        <v>56</v>
      </c>
      <c r="D667" s="289" t="s">
        <v>60</v>
      </c>
      <c r="E667" s="290" t="s">
        <v>8934</v>
      </c>
      <c r="F667" s="289" t="s">
        <v>61</v>
      </c>
      <c r="G667" s="85" t="s">
        <v>63</v>
      </c>
      <c r="H667" s="85" t="s">
        <v>73</v>
      </c>
      <c r="I667" s="237">
        <v>21000000</v>
      </c>
      <c r="J667" s="290"/>
      <c r="K667" s="291"/>
      <c r="L667" s="291"/>
      <c r="M667" s="292">
        <f t="shared" si="30"/>
        <v>21000000</v>
      </c>
      <c r="N667" s="85">
        <v>7634885</v>
      </c>
      <c r="O667" s="85" t="s">
        <v>426</v>
      </c>
      <c r="P667" s="85" t="s">
        <v>8935</v>
      </c>
      <c r="Q667" s="309">
        <f t="shared" si="35"/>
        <v>45113</v>
      </c>
      <c r="R667" s="309">
        <f t="shared" si="35"/>
        <v>45113</v>
      </c>
      <c r="S667" s="309">
        <f t="shared" si="34"/>
        <v>45260</v>
      </c>
      <c r="T667" s="293"/>
      <c r="U667" s="293"/>
      <c r="V667" s="293"/>
      <c r="W667" s="294"/>
      <c r="X667" s="237">
        <f>VLOOKUP(N667,[9]Pagos!$C$2:$D$353,2,FALSE)</f>
        <v>4200000</v>
      </c>
      <c r="Y667" s="295">
        <f t="shared" si="31"/>
        <v>16800000</v>
      </c>
      <c r="Z667" s="296">
        <f t="shared" si="32"/>
        <v>0.2</v>
      </c>
      <c r="AA667" s="85">
        <v>84452087</v>
      </c>
      <c r="AB667" s="85" t="s">
        <v>6601</v>
      </c>
      <c r="AC667" s="290" t="s">
        <v>196</v>
      </c>
      <c r="AD667" s="290" t="s">
        <v>196</v>
      </c>
      <c r="AE667" s="303"/>
      <c r="AF667" s="310" t="str">
        <f>VLOOKUP(E667,[10]Hoja1!$D$3:$E$327,2,FALSE)</f>
        <v>https://community.secop.gov.co/Public/Tendering/OpportunityDetail/Index?noticeUID=CO1.NTC.4719632&amp;isFromPublicArea=True&amp;isModal=true&amp;asPopupView=true</v>
      </c>
      <c r="AG667" s="290" t="s">
        <v>192</v>
      </c>
      <c r="AH667" s="290" t="s">
        <v>192</v>
      </c>
    </row>
    <row r="668" spans="1:34" s="297" customFormat="1" ht="15" customHeight="1" x14ac:dyDescent="0.2">
      <c r="A668" s="289">
        <v>891780111</v>
      </c>
      <c r="B668" s="289" t="s">
        <v>54</v>
      </c>
      <c r="C668" s="290" t="s">
        <v>56</v>
      </c>
      <c r="D668" s="289" t="s">
        <v>60</v>
      </c>
      <c r="E668" s="290" t="s">
        <v>8936</v>
      </c>
      <c r="F668" s="289" t="s">
        <v>61</v>
      </c>
      <c r="G668" s="85" t="s">
        <v>63</v>
      </c>
      <c r="H668" s="85" t="s">
        <v>73</v>
      </c>
      <c r="I668" s="237">
        <v>11000000</v>
      </c>
      <c r="J668" s="290"/>
      <c r="K668" s="291"/>
      <c r="L668" s="291"/>
      <c r="M668" s="292">
        <f t="shared" si="30"/>
        <v>11000000</v>
      </c>
      <c r="N668" s="85">
        <v>57434888</v>
      </c>
      <c r="O668" s="85" t="s">
        <v>8937</v>
      </c>
      <c r="P668" s="85" t="s">
        <v>8938</v>
      </c>
      <c r="Q668" s="309">
        <f t="shared" si="35"/>
        <v>45113</v>
      </c>
      <c r="R668" s="309">
        <f t="shared" si="35"/>
        <v>45113</v>
      </c>
      <c r="S668" s="309">
        <f t="shared" si="34"/>
        <v>45260</v>
      </c>
      <c r="T668" s="293"/>
      <c r="U668" s="293"/>
      <c r="V668" s="293"/>
      <c r="W668" s="294"/>
      <c r="X668" s="237">
        <f>VLOOKUP(N668,[9]Pagos!$C$2:$D$353,2,FALSE)</f>
        <v>2200000</v>
      </c>
      <c r="Y668" s="295">
        <f t="shared" si="31"/>
        <v>8800000</v>
      </c>
      <c r="Z668" s="296">
        <f t="shared" si="32"/>
        <v>0.2</v>
      </c>
      <c r="AA668" s="85"/>
      <c r="AB668" s="85" t="s">
        <v>8760</v>
      </c>
      <c r="AC668" s="290" t="s">
        <v>196</v>
      </c>
      <c r="AD668" s="290" t="s">
        <v>196</v>
      </c>
      <c r="AE668" s="303"/>
      <c r="AF668" s="310" t="str">
        <f>VLOOKUP(E668,[10]Hoja1!$D$3:$E$327,2,FALSE)</f>
        <v>https://community.secop.gov.co/Public/Tendering/OpportunityDetail/Index?noticeUID=CO1.NTC.4719633&amp;isFromPublicArea=True&amp;isModal=true&amp;asPopupView=true</v>
      </c>
      <c r="AG668" s="290" t="s">
        <v>192</v>
      </c>
      <c r="AH668" s="290" t="s">
        <v>192</v>
      </c>
    </row>
    <row r="669" spans="1:34" s="297" customFormat="1" ht="15" customHeight="1" x14ac:dyDescent="0.2">
      <c r="A669" s="289">
        <v>891780111</v>
      </c>
      <c r="B669" s="289" t="s">
        <v>54</v>
      </c>
      <c r="C669" s="290" t="s">
        <v>56</v>
      </c>
      <c r="D669" s="289" t="s">
        <v>60</v>
      </c>
      <c r="E669" s="290" t="s">
        <v>8939</v>
      </c>
      <c r="F669" s="289" t="s">
        <v>61</v>
      </c>
      <c r="G669" s="85" t="s">
        <v>63</v>
      </c>
      <c r="H669" s="85" t="s">
        <v>73</v>
      </c>
      <c r="I669" s="237">
        <v>14000000</v>
      </c>
      <c r="J669" s="290"/>
      <c r="K669" s="291"/>
      <c r="L669" s="291"/>
      <c r="M669" s="292">
        <f t="shared" si="30"/>
        <v>14000000</v>
      </c>
      <c r="N669" s="85">
        <v>1143139441</v>
      </c>
      <c r="O669" s="85" t="s">
        <v>8940</v>
      </c>
      <c r="P669" s="85" t="s">
        <v>8941</v>
      </c>
      <c r="Q669" s="309">
        <f t="shared" si="35"/>
        <v>45113</v>
      </c>
      <c r="R669" s="309">
        <f t="shared" si="35"/>
        <v>45113</v>
      </c>
      <c r="S669" s="309">
        <f t="shared" si="34"/>
        <v>45260</v>
      </c>
      <c r="T669" s="293"/>
      <c r="U669" s="293"/>
      <c r="V669" s="293"/>
      <c r="W669" s="294"/>
      <c r="X669" s="237">
        <f>VLOOKUP(N669,[9]Pagos!$C$2:$D$353,2,FALSE)</f>
        <v>2800000</v>
      </c>
      <c r="Y669" s="295">
        <f t="shared" si="31"/>
        <v>11200000</v>
      </c>
      <c r="Z669" s="296">
        <f t="shared" si="32"/>
        <v>0.2</v>
      </c>
      <c r="AA669" s="85">
        <v>84452087</v>
      </c>
      <c r="AB669" s="85" t="s">
        <v>6601</v>
      </c>
      <c r="AC669" s="290" t="s">
        <v>196</v>
      </c>
      <c r="AD669" s="290" t="s">
        <v>196</v>
      </c>
      <c r="AE669" s="303"/>
      <c r="AF669" s="310" t="str">
        <f>VLOOKUP(E669,[10]Hoja1!$D$3:$E$327,2,FALSE)</f>
        <v>https://community.secop.gov.co/Public/Tendering/OpportunityDetail/Index?noticeUID=CO1.NTC.4719456&amp;isFromPublicArea=True&amp;isModal=true&amp;asPopupView=true</v>
      </c>
      <c r="AG669" s="290" t="s">
        <v>192</v>
      </c>
      <c r="AH669" s="290" t="s">
        <v>192</v>
      </c>
    </row>
    <row r="670" spans="1:34" s="297" customFormat="1" ht="15" customHeight="1" x14ac:dyDescent="0.2">
      <c r="A670" s="289">
        <v>891780111</v>
      </c>
      <c r="B670" s="289" t="s">
        <v>54</v>
      </c>
      <c r="C670" s="290" t="s">
        <v>56</v>
      </c>
      <c r="D670" s="289" t="s">
        <v>60</v>
      </c>
      <c r="E670" s="290" t="s">
        <v>8942</v>
      </c>
      <c r="F670" s="289" t="s">
        <v>61</v>
      </c>
      <c r="G670" s="85" t="s">
        <v>63</v>
      </c>
      <c r="H670" s="85" t="s">
        <v>73</v>
      </c>
      <c r="I670" s="237">
        <v>14000000</v>
      </c>
      <c r="J670" s="290"/>
      <c r="K670" s="291"/>
      <c r="L670" s="291"/>
      <c r="M670" s="292">
        <f t="shared" si="30"/>
        <v>14000000</v>
      </c>
      <c r="N670" s="85">
        <v>7602221</v>
      </c>
      <c r="O670" s="85" t="s">
        <v>6800</v>
      </c>
      <c r="P670" s="85" t="s">
        <v>8878</v>
      </c>
      <c r="Q670" s="309">
        <f t="shared" si="35"/>
        <v>45113</v>
      </c>
      <c r="R670" s="309">
        <f t="shared" si="35"/>
        <v>45113</v>
      </c>
      <c r="S670" s="309">
        <f t="shared" si="34"/>
        <v>45260</v>
      </c>
      <c r="T670" s="293"/>
      <c r="U670" s="293"/>
      <c r="V670" s="293"/>
      <c r="W670" s="294"/>
      <c r="X670" s="237">
        <f>VLOOKUP(N670,[9]Pagos!$C$2:$D$353,2,FALSE)</f>
        <v>2800000</v>
      </c>
      <c r="Y670" s="295">
        <f t="shared" si="31"/>
        <v>11200000</v>
      </c>
      <c r="Z670" s="296">
        <f t="shared" si="32"/>
        <v>0.2</v>
      </c>
      <c r="AA670" s="85">
        <v>57297693</v>
      </c>
      <c r="AB670" s="85" t="s">
        <v>8869</v>
      </c>
      <c r="AC670" s="290" t="s">
        <v>196</v>
      </c>
      <c r="AD670" s="290" t="s">
        <v>196</v>
      </c>
      <c r="AE670" s="303"/>
      <c r="AF670" s="310" t="str">
        <f>VLOOKUP(E670,[10]Hoja1!$D$3:$E$327,2,FALSE)</f>
        <v>https://community.secop.gov.co/Public/Tendering/OpportunityDetail/Index?noticeUID=CO1.NTC.4719553&amp;isFromPublicArea=True&amp;isModal=true&amp;asPopupView=true</v>
      </c>
      <c r="AG670" s="290" t="s">
        <v>192</v>
      </c>
      <c r="AH670" s="290" t="s">
        <v>192</v>
      </c>
    </row>
    <row r="671" spans="1:34" s="297" customFormat="1" ht="15" customHeight="1" x14ac:dyDescent="0.2">
      <c r="A671" s="289">
        <v>891780111</v>
      </c>
      <c r="B671" s="289" t="s">
        <v>54</v>
      </c>
      <c r="C671" s="290" t="s">
        <v>59</v>
      </c>
      <c r="D671" s="289" t="s">
        <v>60</v>
      </c>
      <c r="E671" s="290" t="s">
        <v>8943</v>
      </c>
      <c r="F671" s="289" t="s">
        <v>61</v>
      </c>
      <c r="G671" s="85" t="s">
        <v>63</v>
      </c>
      <c r="H671" s="85" t="s">
        <v>73</v>
      </c>
      <c r="I671" s="237">
        <v>5000000</v>
      </c>
      <c r="J671" s="290"/>
      <c r="K671" s="291"/>
      <c r="L671" s="291"/>
      <c r="M671" s="292">
        <f t="shared" si="30"/>
        <v>5000000</v>
      </c>
      <c r="N671" s="85">
        <v>1221977218</v>
      </c>
      <c r="O671" s="85" t="s">
        <v>8944</v>
      </c>
      <c r="P671" s="85" t="s">
        <v>8945</v>
      </c>
      <c r="Q671" s="309">
        <f t="shared" si="35"/>
        <v>45113</v>
      </c>
      <c r="R671" s="309">
        <f t="shared" si="35"/>
        <v>45113</v>
      </c>
      <c r="S671" s="309">
        <f>DATE(2023,8,31)</f>
        <v>45169</v>
      </c>
      <c r="T671" s="293"/>
      <c r="U671" s="293"/>
      <c r="V671" s="293"/>
      <c r="W671" s="294"/>
      <c r="X671" s="237">
        <f>VLOOKUP(N671,[9]Pagos!$C$2:$D$353,2,FALSE)</f>
        <v>2500000</v>
      </c>
      <c r="Y671" s="295">
        <f t="shared" si="31"/>
        <v>2500000</v>
      </c>
      <c r="Z671" s="296">
        <f t="shared" si="32"/>
        <v>0.5</v>
      </c>
      <c r="AA671" s="85">
        <v>85471791</v>
      </c>
      <c r="AB671" s="85" t="s">
        <v>7172</v>
      </c>
      <c r="AC671" s="290" t="s">
        <v>196</v>
      </c>
      <c r="AD671" s="290" t="s">
        <v>196</v>
      </c>
      <c r="AE671" s="303"/>
      <c r="AF671" s="310" t="str">
        <f>VLOOKUP(E671,[10]Hoja1!$D$3:$E$327,2,FALSE)</f>
        <v>https://community.secop.gov.co/Public/Tendering/OpportunityDetail/Index?noticeUID=CO1.NTC.4719554&amp;isFromPublicArea=True&amp;isModal=true&amp;asPopupView=true</v>
      </c>
      <c r="AG671" s="290" t="s">
        <v>192</v>
      </c>
      <c r="AH671" s="290" t="s">
        <v>192</v>
      </c>
    </row>
    <row r="672" spans="1:34" s="297" customFormat="1" ht="15" customHeight="1" x14ac:dyDescent="0.2">
      <c r="A672" s="289">
        <v>891780111</v>
      </c>
      <c r="B672" s="289" t="s">
        <v>54</v>
      </c>
      <c r="C672" s="290" t="s">
        <v>56</v>
      </c>
      <c r="D672" s="289" t="s">
        <v>60</v>
      </c>
      <c r="E672" s="290" t="s">
        <v>8946</v>
      </c>
      <c r="F672" s="289" t="s">
        <v>61</v>
      </c>
      <c r="G672" s="85" t="s">
        <v>63</v>
      </c>
      <c r="H672" s="85" t="s">
        <v>73</v>
      </c>
      <c r="I672" s="237">
        <v>3600000</v>
      </c>
      <c r="J672" s="290"/>
      <c r="K672" s="291"/>
      <c r="L672" s="291"/>
      <c r="M672" s="292">
        <f t="shared" si="30"/>
        <v>3600000</v>
      </c>
      <c r="N672" s="85">
        <v>36669052</v>
      </c>
      <c r="O672" s="85" t="s">
        <v>6476</v>
      </c>
      <c r="P672" s="85" t="s">
        <v>8947</v>
      </c>
      <c r="Q672" s="309">
        <f t="shared" si="35"/>
        <v>45113</v>
      </c>
      <c r="R672" s="309">
        <f>DATE(2023,7,11)</f>
        <v>45118</v>
      </c>
      <c r="S672" s="309">
        <f>DATE(2023,7,31)</f>
        <v>45138</v>
      </c>
      <c r="T672" s="293"/>
      <c r="U672" s="293"/>
      <c r="V672" s="293"/>
      <c r="W672" s="294"/>
      <c r="X672" s="237">
        <f>VLOOKUP(N672,[9]Pagos!$C$2:$D$353,2,FALSE)</f>
        <v>3600000</v>
      </c>
      <c r="Y672" s="295">
        <f t="shared" si="31"/>
        <v>0</v>
      </c>
      <c r="Z672" s="296">
        <f t="shared" si="32"/>
        <v>1</v>
      </c>
      <c r="AA672" s="85">
        <v>41947381</v>
      </c>
      <c r="AB672" s="85" t="s">
        <v>6440</v>
      </c>
      <c r="AC672" s="290" t="s">
        <v>196</v>
      </c>
      <c r="AD672" s="290" t="s">
        <v>196</v>
      </c>
      <c r="AE672" s="303"/>
      <c r="AF672" s="310" t="str">
        <f>VLOOKUP(E672,[10]Hoja1!$D$3:$E$327,2,FALSE)</f>
        <v>https://community.secop.gov.co/Public/Tendering/OpportunityDetail/Index?noticeUID=CO1.NTC.4719555&amp;isFromPublicArea=True&amp;isModal=true&amp;asPopupView=true</v>
      </c>
      <c r="AG672" s="290" t="s">
        <v>192</v>
      </c>
      <c r="AH672" s="290" t="s">
        <v>192</v>
      </c>
    </row>
    <row r="673" spans="1:34" s="297" customFormat="1" ht="15" customHeight="1" x14ac:dyDescent="0.2">
      <c r="A673" s="289">
        <v>891780111</v>
      </c>
      <c r="B673" s="289" t="s">
        <v>54</v>
      </c>
      <c r="C673" s="290" t="s">
        <v>56</v>
      </c>
      <c r="D673" s="289" t="s">
        <v>60</v>
      </c>
      <c r="E673" s="290" t="s">
        <v>8948</v>
      </c>
      <c r="F673" s="289" t="s">
        <v>61</v>
      </c>
      <c r="G673" s="85" t="s">
        <v>63</v>
      </c>
      <c r="H673" s="85" t="s">
        <v>73</v>
      </c>
      <c r="I673" s="237">
        <v>30500000</v>
      </c>
      <c r="J673" s="290"/>
      <c r="K673" s="291"/>
      <c r="L673" s="291"/>
      <c r="M673" s="292">
        <f t="shared" si="30"/>
        <v>30500000</v>
      </c>
      <c r="N673" s="85">
        <v>12564024</v>
      </c>
      <c r="O673" s="85" t="s">
        <v>6569</v>
      </c>
      <c r="P673" s="85" t="s">
        <v>8949</v>
      </c>
      <c r="Q673" s="309">
        <f t="shared" si="35"/>
        <v>45113</v>
      </c>
      <c r="R673" s="309">
        <f t="shared" si="35"/>
        <v>45113</v>
      </c>
      <c r="S673" s="309">
        <f t="shared" si="34"/>
        <v>45260</v>
      </c>
      <c r="T673" s="293"/>
      <c r="U673" s="293"/>
      <c r="V673" s="293"/>
      <c r="W673" s="294"/>
      <c r="X673" s="237">
        <f>VLOOKUP(N673,[9]Pagos!$C$2:$D$353,2,FALSE)</f>
        <v>6100000</v>
      </c>
      <c r="Y673" s="295">
        <f t="shared" si="31"/>
        <v>24400000</v>
      </c>
      <c r="Z673" s="296">
        <f t="shared" si="32"/>
        <v>0.2</v>
      </c>
      <c r="AA673" s="85">
        <v>12621405</v>
      </c>
      <c r="AB673" s="85" t="s">
        <v>8695</v>
      </c>
      <c r="AC673" s="290" t="s">
        <v>196</v>
      </c>
      <c r="AD673" s="290" t="s">
        <v>196</v>
      </c>
      <c r="AE673" s="303"/>
      <c r="AF673" s="310" t="str">
        <f>VLOOKUP(E673,[10]Hoja1!$D$3:$E$327,2,FALSE)</f>
        <v>https://community.secop.gov.co/Public/Tendering/OpportunityDetail/Index?noticeUID=CO1.NTC.4719275&amp;isFromPublicArea=True&amp;isModal=true&amp;asPopupView=true</v>
      </c>
      <c r="AG673" s="290" t="s">
        <v>192</v>
      </c>
      <c r="AH673" s="290" t="s">
        <v>192</v>
      </c>
    </row>
    <row r="674" spans="1:34" s="297" customFormat="1" ht="15" customHeight="1" x14ac:dyDescent="0.2">
      <c r="A674" s="289">
        <v>891780111</v>
      </c>
      <c r="B674" s="289" t="s">
        <v>54</v>
      </c>
      <c r="C674" s="290" t="s">
        <v>56</v>
      </c>
      <c r="D674" s="289" t="s">
        <v>60</v>
      </c>
      <c r="E674" s="290" t="s">
        <v>8950</v>
      </c>
      <c r="F674" s="289" t="s">
        <v>61</v>
      </c>
      <c r="G674" s="85" t="s">
        <v>63</v>
      </c>
      <c r="H674" s="85" t="s">
        <v>73</v>
      </c>
      <c r="I674" s="237">
        <v>9500000</v>
      </c>
      <c r="J674" s="290"/>
      <c r="K674" s="291"/>
      <c r="L674" s="291"/>
      <c r="M674" s="292">
        <f t="shared" si="30"/>
        <v>9500000</v>
      </c>
      <c r="N674" s="85">
        <v>36548123</v>
      </c>
      <c r="O674" s="85" t="s">
        <v>6560</v>
      </c>
      <c r="P674" s="85" t="s">
        <v>8951</v>
      </c>
      <c r="Q674" s="309">
        <f t="shared" si="35"/>
        <v>45113</v>
      </c>
      <c r="R674" s="309">
        <f t="shared" si="35"/>
        <v>45113</v>
      </c>
      <c r="S674" s="309">
        <f t="shared" si="34"/>
        <v>45260</v>
      </c>
      <c r="T674" s="293"/>
      <c r="U674" s="293"/>
      <c r="V674" s="293"/>
      <c r="W674" s="294"/>
      <c r="X674" s="237">
        <f>VLOOKUP(N674,[9]Pagos!$C$2:$D$353,2,FALSE)</f>
        <v>1900000</v>
      </c>
      <c r="Y674" s="295">
        <f t="shared" si="31"/>
        <v>7600000</v>
      </c>
      <c r="Z674" s="296">
        <f t="shared" si="32"/>
        <v>0.2</v>
      </c>
      <c r="AA674" s="85">
        <v>57400977</v>
      </c>
      <c r="AB674" s="85" t="s">
        <v>6562</v>
      </c>
      <c r="AC674" s="290" t="s">
        <v>196</v>
      </c>
      <c r="AD674" s="290" t="s">
        <v>196</v>
      </c>
      <c r="AE674" s="303"/>
      <c r="AF674" s="310" t="str">
        <f>VLOOKUP(E674,[10]Hoja1!$D$3:$E$327,2,FALSE)</f>
        <v>https://community.secop.gov.co/Public/Tendering/OpportunityDetail/Index?noticeUID=CO1.NTC.4719557&amp;isFromPublicArea=True&amp;isModal=true&amp;asPopupView=true</v>
      </c>
      <c r="AG674" s="290" t="s">
        <v>192</v>
      </c>
      <c r="AH674" s="290" t="s">
        <v>192</v>
      </c>
    </row>
    <row r="675" spans="1:34" s="297" customFormat="1" ht="15" customHeight="1" x14ac:dyDescent="0.2">
      <c r="A675" s="289">
        <v>891780111</v>
      </c>
      <c r="B675" s="289" t="s">
        <v>54</v>
      </c>
      <c r="C675" s="290" t="s">
        <v>56</v>
      </c>
      <c r="D675" s="289" t="s">
        <v>60</v>
      </c>
      <c r="E675" s="290" t="s">
        <v>8952</v>
      </c>
      <c r="F675" s="289" t="s">
        <v>61</v>
      </c>
      <c r="G675" s="85" t="s">
        <v>63</v>
      </c>
      <c r="H675" s="85" t="s">
        <v>73</v>
      </c>
      <c r="I675" s="237">
        <v>14850000</v>
      </c>
      <c r="J675" s="290"/>
      <c r="K675" s="291"/>
      <c r="L675" s="291"/>
      <c r="M675" s="292">
        <f t="shared" si="30"/>
        <v>14850000</v>
      </c>
      <c r="N675" s="85">
        <v>57465032</v>
      </c>
      <c r="O675" s="85" t="s">
        <v>6612</v>
      </c>
      <c r="P675" s="85" t="s">
        <v>8953</v>
      </c>
      <c r="Q675" s="309">
        <f t="shared" si="35"/>
        <v>45113</v>
      </c>
      <c r="R675" s="309">
        <f t="shared" si="35"/>
        <v>45113</v>
      </c>
      <c r="S675" s="309">
        <f t="shared" si="34"/>
        <v>45260</v>
      </c>
      <c r="T675" s="293"/>
      <c r="U675" s="293"/>
      <c r="V675" s="293"/>
      <c r="W675" s="294"/>
      <c r="X675" s="237">
        <f>VLOOKUP(N675,[9]Pagos!$C$2:$D$353,2,FALSE)</f>
        <v>2970000</v>
      </c>
      <c r="Y675" s="295">
        <f t="shared" si="31"/>
        <v>11880000</v>
      </c>
      <c r="Z675" s="296">
        <f t="shared" si="32"/>
        <v>0.2</v>
      </c>
      <c r="AA675" s="85">
        <v>57400977</v>
      </c>
      <c r="AB675" s="85" t="s">
        <v>6562</v>
      </c>
      <c r="AC675" s="290" t="s">
        <v>196</v>
      </c>
      <c r="AD675" s="290" t="s">
        <v>196</v>
      </c>
      <c r="AE675" s="303"/>
      <c r="AF675" s="310" t="str">
        <f>VLOOKUP(E675,[10]Hoja1!$D$3:$E$327,2,FALSE)</f>
        <v>https://community.secop.gov.co/Public/Tendering/OpportunityDetail/Index?noticeUID=CO1.NTC.4719458&amp;isFromPublicArea=True&amp;isModal=true&amp;asPopupView=true</v>
      </c>
      <c r="AG675" s="290" t="s">
        <v>192</v>
      </c>
      <c r="AH675" s="290" t="s">
        <v>192</v>
      </c>
    </row>
    <row r="676" spans="1:34" s="297" customFormat="1" ht="15" customHeight="1" x14ac:dyDescent="0.2">
      <c r="A676" s="289">
        <v>891780111</v>
      </c>
      <c r="B676" s="289" t="s">
        <v>54</v>
      </c>
      <c r="C676" s="290" t="s">
        <v>56</v>
      </c>
      <c r="D676" s="289" t="s">
        <v>60</v>
      </c>
      <c r="E676" s="290" t="s">
        <v>8954</v>
      </c>
      <c r="F676" s="289" t="s">
        <v>61</v>
      </c>
      <c r="G676" s="85" t="s">
        <v>63</v>
      </c>
      <c r="H676" s="85" t="s">
        <v>73</v>
      </c>
      <c r="I676" s="237">
        <v>9500000</v>
      </c>
      <c r="J676" s="290"/>
      <c r="K676" s="291"/>
      <c r="L676" s="291"/>
      <c r="M676" s="292">
        <f t="shared" si="30"/>
        <v>9500000</v>
      </c>
      <c r="N676" s="85">
        <v>84455698</v>
      </c>
      <c r="O676" s="85" t="s">
        <v>7454</v>
      </c>
      <c r="P676" s="85" t="s">
        <v>8955</v>
      </c>
      <c r="Q676" s="309">
        <f t="shared" si="35"/>
        <v>45113</v>
      </c>
      <c r="R676" s="309">
        <f t="shared" si="35"/>
        <v>45113</v>
      </c>
      <c r="S676" s="309">
        <f t="shared" si="34"/>
        <v>45260</v>
      </c>
      <c r="T676" s="293"/>
      <c r="U676" s="293"/>
      <c r="V676" s="293"/>
      <c r="W676" s="294"/>
      <c r="X676" s="237">
        <f>VLOOKUP(N676,[9]Pagos!$C$2:$D$353,2,FALSE)</f>
        <v>1900000</v>
      </c>
      <c r="Y676" s="295">
        <f t="shared" si="31"/>
        <v>7600000</v>
      </c>
      <c r="Z676" s="296">
        <f t="shared" si="32"/>
        <v>0.2</v>
      </c>
      <c r="AA676" s="85">
        <v>85459497</v>
      </c>
      <c r="AB676" s="85" t="s">
        <v>4837</v>
      </c>
      <c r="AC676" s="290" t="s">
        <v>196</v>
      </c>
      <c r="AD676" s="290" t="s">
        <v>196</v>
      </c>
      <c r="AE676" s="303"/>
      <c r="AF676" s="310" t="str">
        <f>VLOOKUP(E676,[10]Hoja1!$D$3:$E$327,2,FALSE)</f>
        <v>https://community.secop.gov.co/Public/Tendering/OpportunityDetail/Index?noticeUID=CO1.NTC.4719459&amp;isFromPublicArea=True&amp;isModal=true&amp;asPopupView=true</v>
      </c>
      <c r="AG676" s="290" t="s">
        <v>192</v>
      </c>
      <c r="AH676" s="290" t="s">
        <v>192</v>
      </c>
    </row>
    <row r="677" spans="1:34" s="297" customFormat="1" ht="15" customHeight="1" x14ac:dyDescent="0.2">
      <c r="A677" s="289">
        <v>891780111</v>
      </c>
      <c r="B677" s="289" t="s">
        <v>54</v>
      </c>
      <c r="C677" s="290" t="s">
        <v>56</v>
      </c>
      <c r="D677" s="289" t="s">
        <v>60</v>
      </c>
      <c r="E677" s="290" t="s">
        <v>8956</v>
      </c>
      <c r="F677" s="289" t="s">
        <v>61</v>
      </c>
      <c r="G677" s="85" t="s">
        <v>63</v>
      </c>
      <c r="H677" s="85" t="s">
        <v>73</v>
      </c>
      <c r="I677" s="237">
        <v>12500000</v>
      </c>
      <c r="J677" s="290"/>
      <c r="K677" s="291"/>
      <c r="L677" s="291"/>
      <c r="M677" s="292">
        <f t="shared" si="30"/>
        <v>12500000</v>
      </c>
      <c r="N677" s="85">
        <v>7144425</v>
      </c>
      <c r="O677" s="85" t="s">
        <v>6952</v>
      </c>
      <c r="P677" s="85" t="s">
        <v>8957</v>
      </c>
      <c r="Q677" s="309">
        <f t="shared" si="35"/>
        <v>45113</v>
      </c>
      <c r="R677" s="309">
        <f t="shared" si="35"/>
        <v>45113</v>
      </c>
      <c r="S677" s="309">
        <f t="shared" si="34"/>
        <v>45260</v>
      </c>
      <c r="T677" s="293"/>
      <c r="U677" s="293"/>
      <c r="V677" s="293"/>
      <c r="W677" s="294"/>
      <c r="X677" s="237">
        <f>VLOOKUP(N677,[9]Pagos!$C$2:$D$353,2,FALSE)</f>
        <v>2500000</v>
      </c>
      <c r="Y677" s="295">
        <f t="shared" si="31"/>
        <v>10000000</v>
      </c>
      <c r="Z677" s="296">
        <f t="shared" si="32"/>
        <v>0.2</v>
      </c>
      <c r="AA677" s="85">
        <v>57297693</v>
      </c>
      <c r="AB677" s="85" t="s">
        <v>8869</v>
      </c>
      <c r="AC677" s="290" t="s">
        <v>196</v>
      </c>
      <c r="AD677" s="290" t="s">
        <v>196</v>
      </c>
      <c r="AE677" s="303"/>
      <c r="AF677" s="310" t="str">
        <f>VLOOKUP(E677,[10]Hoja1!$D$3:$E$327,2,FALSE)</f>
        <v>https://community.secop.gov.co/Public/Tendering/OpportunityDetail/Index?noticeUID=CO1.NTC.4719559&amp;isFromPublicArea=True&amp;isModal=true&amp;asPopupView=true</v>
      </c>
      <c r="AG677" s="290" t="s">
        <v>192</v>
      </c>
      <c r="AH677" s="290" t="s">
        <v>192</v>
      </c>
    </row>
    <row r="678" spans="1:34" s="297" customFormat="1" ht="15" customHeight="1" x14ac:dyDescent="0.2">
      <c r="A678" s="289">
        <v>891780111</v>
      </c>
      <c r="B678" s="289" t="s">
        <v>54</v>
      </c>
      <c r="C678" s="290" t="s">
        <v>56</v>
      </c>
      <c r="D678" s="289" t="s">
        <v>60</v>
      </c>
      <c r="E678" s="290" t="s">
        <v>8958</v>
      </c>
      <c r="F678" s="289" t="s">
        <v>61</v>
      </c>
      <c r="G678" s="85" t="s">
        <v>63</v>
      </c>
      <c r="H678" s="85" t="s">
        <v>73</v>
      </c>
      <c r="I678" s="237">
        <v>9500000</v>
      </c>
      <c r="J678" s="290"/>
      <c r="K678" s="291"/>
      <c r="L678" s="291"/>
      <c r="M678" s="292">
        <f t="shared" si="30"/>
        <v>9500000</v>
      </c>
      <c r="N678" s="85">
        <v>12637472</v>
      </c>
      <c r="O678" s="85" t="s">
        <v>6959</v>
      </c>
      <c r="P678" s="85" t="s">
        <v>8955</v>
      </c>
      <c r="Q678" s="309">
        <f t="shared" si="35"/>
        <v>45113</v>
      </c>
      <c r="R678" s="309">
        <f t="shared" si="35"/>
        <v>45113</v>
      </c>
      <c r="S678" s="309">
        <f t="shared" si="34"/>
        <v>45260</v>
      </c>
      <c r="T678" s="293"/>
      <c r="U678" s="293"/>
      <c r="V678" s="293"/>
      <c r="W678" s="294"/>
      <c r="X678" s="237">
        <f>VLOOKUP(N678,[9]Pagos!$C$2:$D$353,2,FALSE)</f>
        <v>1900000</v>
      </c>
      <c r="Y678" s="295">
        <f t="shared" si="31"/>
        <v>7600000</v>
      </c>
      <c r="Z678" s="296">
        <f t="shared" si="32"/>
        <v>0.2</v>
      </c>
      <c r="AA678" s="85">
        <v>85459497</v>
      </c>
      <c r="AB678" s="85" t="s">
        <v>4837</v>
      </c>
      <c r="AC678" s="290" t="s">
        <v>196</v>
      </c>
      <c r="AD678" s="290" t="s">
        <v>196</v>
      </c>
      <c r="AE678" s="303"/>
      <c r="AF678" s="310" t="str">
        <f>VLOOKUP(E678,[10]Hoja1!$D$3:$E$327,2,FALSE)</f>
        <v>https://community.secop.gov.co/Public/Tendering/OpportunityDetail/Index?noticeUID=CO1.NTC.4719460&amp;isFromPublicArea=True&amp;isModal=true&amp;asPopupView=true</v>
      </c>
      <c r="AG678" s="290" t="s">
        <v>192</v>
      </c>
      <c r="AH678" s="290" t="s">
        <v>192</v>
      </c>
    </row>
    <row r="679" spans="1:34" s="297" customFormat="1" ht="15" customHeight="1" x14ac:dyDescent="0.2">
      <c r="A679" s="289">
        <v>891780111</v>
      </c>
      <c r="B679" s="289" t="s">
        <v>54</v>
      </c>
      <c r="C679" s="290" t="s">
        <v>56</v>
      </c>
      <c r="D679" s="289" t="s">
        <v>60</v>
      </c>
      <c r="E679" s="290" t="s">
        <v>8959</v>
      </c>
      <c r="F679" s="289" t="s">
        <v>61</v>
      </c>
      <c r="G679" s="85" t="s">
        <v>63</v>
      </c>
      <c r="H679" s="85" t="s">
        <v>73</v>
      </c>
      <c r="I679" s="237">
        <v>12500000</v>
      </c>
      <c r="J679" s="290"/>
      <c r="K679" s="291"/>
      <c r="L679" s="291"/>
      <c r="M679" s="292">
        <f t="shared" si="30"/>
        <v>12500000</v>
      </c>
      <c r="N679" s="85">
        <v>1084789581</v>
      </c>
      <c r="O679" s="85" t="s">
        <v>7776</v>
      </c>
      <c r="P679" s="85" t="s">
        <v>8960</v>
      </c>
      <c r="Q679" s="309">
        <f t="shared" si="35"/>
        <v>45113</v>
      </c>
      <c r="R679" s="309">
        <f t="shared" si="35"/>
        <v>45113</v>
      </c>
      <c r="S679" s="309">
        <f t="shared" si="34"/>
        <v>45260</v>
      </c>
      <c r="T679" s="293"/>
      <c r="U679" s="293"/>
      <c r="V679" s="293"/>
      <c r="W679" s="294"/>
      <c r="X679" s="237">
        <f>VLOOKUP(N679,[9]Pagos!$C$2:$D$353,2,FALSE)</f>
        <v>2500000</v>
      </c>
      <c r="Y679" s="295">
        <f t="shared" si="31"/>
        <v>10000000</v>
      </c>
      <c r="Z679" s="296">
        <f t="shared" si="32"/>
        <v>0.2</v>
      </c>
      <c r="AA679" s="85">
        <v>72004252</v>
      </c>
      <c r="AB679" s="85" t="s">
        <v>6898</v>
      </c>
      <c r="AC679" s="290" t="s">
        <v>196</v>
      </c>
      <c r="AD679" s="290" t="s">
        <v>196</v>
      </c>
      <c r="AE679" s="303"/>
      <c r="AF679" s="310" t="str">
        <f>VLOOKUP(E679,[10]Hoja1!$D$3:$E$327,2,FALSE)</f>
        <v>https://community.secop.gov.co/Public/Tendering/OpportunityDetail/Index?noticeUID=CO1.NTC.4719461&amp;isFromPublicArea=True&amp;isModal=true&amp;asPopupView=true</v>
      </c>
      <c r="AG679" s="290" t="s">
        <v>192</v>
      </c>
      <c r="AH679" s="290" t="s">
        <v>192</v>
      </c>
    </row>
    <row r="680" spans="1:34" s="297" customFormat="1" ht="15" customHeight="1" x14ac:dyDescent="0.2">
      <c r="A680" s="289">
        <v>891780111</v>
      </c>
      <c r="B680" s="289" t="s">
        <v>54</v>
      </c>
      <c r="C680" s="290" t="s">
        <v>56</v>
      </c>
      <c r="D680" s="289" t="s">
        <v>60</v>
      </c>
      <c r="E680" s="290" t="s">
        <v>8961</v>
      </c>
      <c r="F680" s="289" t="s">
        <v>61</v>
      </c>
      <c r="G680" s="85" t="s">
        <v>63</v>
      </c>
      <c r="H680" s="85" t="s">
        <v>73</v>
      </c>
      <c r="I680" s="237">
        <v>12500000</v>
      </c>
      <c r="J680" s="290"/>
      <c r="K680" s="291"/>
      <c r="L680" s="291"/>
      <c r="M680" s="292">
        <f t="shared" si="30"/>
        <v>12500000</v>
      </c>
      <c r="N680" s="85">
        <v>1084789302</v>
      </c>
      <c r="O680" s="85" t="s">
        <v>7962</v>
      </c>
      <c r="P680" s="85" t="s">
        <v>8962</v>
      </c>
      <c r="Q680" s="309">
        <f t="shared" si="35"/>
        <v>45113</v>
      </c>
      <c r="R680" s="309">
        <f t="shared" si="35"/>
        <v>45113</v>
      </c>
      <c r="S680" s="309">
        <f t="shared" si="34"/>
        <v>45260</v>
      </c>
      <c r="T680" s="293"/>
      <c r="U680" s="293"/>
      <c r="V680" s="293"/>
      <c r="W680" s="294"/>
      <c r="X680" s="237">
        <f>VLOOKUP(N680,[9]Pagos!$C$2:$D$353,2,FALSE)</f>
        <v>2500000</v>
      </c>
      <c r="Y680" s="295">
        <f t="shared" si="31"/>
        <v>10000000</v>
      </c>
      <c r="Z680" s="296">
        <f t="shared" si="32"/>
        <v>0.2</v>
      </c>
      <c r="AA680" s="85">
        <v>72004252</v>
      </c>
      <c r="AB680" s="85" t="s">
        <v>6898</v>
      </c>
      <c r="AC680" s="290" t="s">
        <v>196</v>
      </c>
      <c r="AD680" s="290" t="s">
        <v>196</v>
      </c>
      <c r="AE680" s="303"/>
      <c r="AF680" s="310" t="str">
        <f>VLOOKUP(E680,[10]Hoja1!$D$3:$E$327,2,FALSE)</f>
        <v>https://community.secop.gov.co/Public/Tendering/OpportunityDetail/Index?noticeUID=CO1.NTC.4719465&amp;isFromPublicArea=True&amp;isModal=true&amp;asPopupView=true</v>
      </c>
      <c r="AG680" s="290" t="s">
        <v>192</v>
      </c>
      <c r="AH680" s="290" t="s">
        <v>192</v>
      </c>
    </row>
    <row r="681" spans="1:34" s="297" customFormat="1" ht="15" customHeight="1" x14ac:dyDescent="0.2">
      <c r="A681" s="289">
        <v>891780111</v>
      </c>
      <c r="B681" s="289" t="s">
        <v>54</v>
      </c>
      <c r="C681" s="290" t="s">
        <v>56</v>
      </c>
      <c r="D681" s="289" t="s">
        <v>60</v>
      </c>
      <c r="E681" s="290" t="s">
        <v>8963</v>
      </c>
      <c r="F681" s="289" t="s">
        <v>61</v>
      </c>
      <c r="G681" s="85" t="s">
        <v>63</v>
      </c>
      <c r="H681" s="85" t="s">
        <v>73</v>
      </c>
      <c r="I681" s="237">
        <v>15500000</v>
      </c>
      <c r="J681" s="290"/>
      <c r="K681" s="291"/>
      <c r="L681" s="291"/>
      <c r="M681" s="292">
        <f t="shared" si="30"/>
        <v>15500000</v>
      </c>
      <c r="N681" s="85">
        <v>75035405</v>
      </c>
      <c r="O681" s="85" t="s">
        <v>7434</v>
      </c>
      <c r="P681" s="85" t="s">
        <v>8964</v>
      </c>
      <c r="Q681" s="309">
        <f t="shared" si="35"/>
        <v>45113</v>
      </c>
      <c r="R681" s="309">
        <f t="shared" si="35"/>
        <v>45113</v>
      </c>
      <c r="S681" s="309">
        <f t="shared" si="34"/>
        <v>45260</v>
      </c>
      <c r="T681" s="293"/>
      <c r="U681" s="293"/>
      <c r="V681" s="293"/>
      <c r="W681" s="294"/>
      <c r="X681" s="237">
        <f>VLOOKUP(N681,[9]Pagos!$C$2:$D$353,2,FALSE)</f>
        <v>3100000</v>
      </c>
      <c r="Y681" s="295">
        <f t="shared" si="31"/>
        <v>12400000</v>
      </c>
      <c r="Z681" s="296">
        <f t="shared" si="32"/>
        <v>0.2</v>
      </c>
      <c r="AA681" s="85">
        <v>85152695</v>
      </c>
      <c r="AB681" s="85" t="s">
        <v>8965</v>
      </c>
      <c r="AC681" s="290" t="s">
        <v>196</v>
      </c>
      <c r="AD681" s="290" t="s">
        <v>196</v>
      </c>
      <c r="AE681" s="303"/>
      <c r="AF681" s="310" t="str">
        <f>VLOOKUP(E681,[10]Hoja1!$D$3:$E$327,2,FALSE)</f>
        <v>https://community.secop.gov.co/Public/Tendering/OpportunityDetail/Index?noticeUID=CO1.NTC.4719276&amp;isFromPublicArea=True&amp;isModal=true&amp;asPopupView=true</v>
      </c>
      <c r="AG681" s="290" t="s">
        <v>192</v>
      </c>
      <c r="AH681" s="290" t="s">
        <v>192</v>
      </c>
    </row>
    <row r="682" spans="1:34" s="297" customFormat="1" ht="15" customHeight="1" x14ac:dyDescent="0.2">
      <c r="A682" s="289">
        <v>891780111</v>
      </c>
      <c r="B682" s="289" t="s">
        <v>54</v>
      </c>
      <c r="C682" s="290" t="s">
        <v>56</v>
      </c>
      <c r="D682" s="289" t="s">
        <v>60</v>
      </c>
      <c r="E682" s="290" t="s">
        <v>8966</v>
      </c>
      <c r="F682" s="289" t="s">
        <v>61</v>
      </c>
      <c r="G682" s="85" t="s">
        <v>63</v>
      </c>
      <c r="H682" s="85" t="s">
        <v>73</v>
      </c>
      <c r="I682" s="237">
        <v>14000000</v>
      </c>
      <c r="J682" s="290"/>
      <c r="K682" s="291"/>
      <c r="L682" s="291"/>
      <c r="M682" s="292">
        <f t="shared" si="30"/>
        <v>14000000</v>
      </c>
      <c r="N682" s="85">
        <v>1083038004</v>
      </c>
      <c r="O682" s="85" t="s">
        <v>8720</v>
      </c>
      <c r="P682" s="85" t="s">
        <v>8967</v>
      </c>
      <c r="Q682" s="309">
        <f t="shared" si="35"/>
        <v>45113</v>
      </c>
      <c r="R682" s="309">
        <f t="shared" si="35"/>
        <v>45113</v>
      </c>
      <c r="S682" s="309">
        <f t="shared" si="34"/>
        <v>45260</v>
      </c>
      <c r="T682" s="293"/>
      <c r="U682" s="293"/>
      <c r="V682" s="293"/>
      <c r="W682" s="294"/>
      <c r="X682" s="237">
        <f>VLOOKUP(N682,[9]Pagos!$C$2:$D$353,2,FALSE)</f>
        <v>2800000</v>
      </c>
      <c r="Y682" s="295">
        <f t="shared" si="31"/>
        <v>11200000</v>
      </c>
      <c r="Z682" s="296">
        <f t="shared" si="32"/>
        <v>0.2</v>
      </c>
      <c r="AA682" s="85">
        <v>93400727</v>
      </c>
      <c r="AB682" s="85" t="s">
        <v>6418</v>
      </c>
      <c r="AC682" s="290" t="s">
        <v>196</v>
      </c>
      <c r="AD682" s="290" t="s">
        <v>196</v>
      </c>
      <c r="AE682" s="303"/>
      <c r="AF682" s="310" t="str">
        <f>VLOOKUP(E682,[10]Hoja1!$D$3:$E$327,2,FALSE)</f>
        <v>https://community.secop.gov.co/Public/Tendering/OpportunityDetail/Index?noticeUID=CO1.NTC.4719466&amp;isFromPublicArea=True&amp;isModal=true&amp;asPopupView=true</v>
      </c>
      <c r="AG682" s="290" t="s">
        <v>192</v>
      </c>
      <c r="AH682" s="290" t="s">
        <v>192</v>
      </c>
    </row>
    <row r="683" spans="1:34" s="297" customFormat="1" ht="15" customHeight="1" x14ac:dyDescent="0.2">
      <c r="A683" s="289">
        <v>891780111</v>
      </c>
      <c r="B683" s="289" t="s">
        <v>54</v>
      </c>
      <c r="C683" s="290" t="s">
        <v>56</v>
      </c>
      <c r="D683" s="289" t="s">
        <v>60</v>
      </c>
      <c r="E683" s="290" t="s">
        <v>8968</v>
      </c>
      <c r="F683" s="289" t="s">
        <v>61</v>
      </c>
      <c r="G683" s="85" t="s">
        <v>63</v>
      </c>
      <c r="H683" s="85" t="s">
        <v>73</v>
      </c>
      <c r="I683" s="237">
        <v>11000000</v>
      </c>
      <c r="J683" s="290"/>
      <c r="K683" s="291"/>
      <c r="L683" s="291"/>
      <c r="M683" s="292">
        <f t="shared" si="30"/>
        <v>11000000</v>
      </c>
      <c r="N683" s="85">
        <v>1082958221</v>
      </c>
      <c r="O683" s="85" t="s">
        <v>6604</v>
      </c>
      <c r="P683" s="85" t="s">
        <v>8969</v>
      </c>
      <c r="Q683" s="309">
        <f t="shared" si="35"/>
        <v>45113</v>
      </c>
      <c r="R683" s="309">
        <f t="shared" si="35"/>
        <v>45113</v>
      </c>
      <c r="S683" s="309">
        <f t="shared" si="34"/>
        <v>45260</v>
      </c>
      <c r="T683" s="293"/>
      <c r="U683" s="293"/>
      <c r="V683" s="293"/>
      <c r="W683" s="294"/>
      <c r="X683" s="237">
        <f>VLOOKUP(N683,[9]Pagos!$C$2:$D$353,2,FALSE)</f>
        <v>2200000</v>
      </c>
      <c r="Y683" s="295">
        <f t="shared" si="31"/>
        <v>8800000</v>
      </c>
      <c r="Z683" s="296">
        <f t="shared" si="32"/>
        <v>0.2</v>
      </c>
      <c r="AA683" s="85">
        <v>57400977</v>
      </c>
      <c r="AB683" s="85" t="s">
        <v>6562</v>
      </c>
      <c r="AC683" s="290" t="s">
        <v>196</v>
      </c>
      <c r="AD683" s="290" t="s">
        <v>196</v>
      </c>
      <c r="AE683" s="303"/>
      <c r="AF683" s="310" t="str">
        <f>VLOOKUP(E683,[10]Hoja1!$D$3:$E$327,2,FALSE)</f>
        <v>https://community.secop.gov.co/Public/Tendering/OpportunityDetail/Index?noticeUID=CO1.NTC.4719277&amp;isFromPublicArea=True&amp;isModal=true&amp;asPopupView=true</v>
      </c>
      <c r="AG683" s="290" t="s">
        <v>192</v>
      </c>
      <c r="AH683" s="290" t="s">
        <v>192</v>
      </c>
    </row>
    <row r="684" spans="1:34" s="297" customFormat="1" ht="15" customHeight="1" x14ac:dyDescent="0.2">
      <c r="A684" s="289">
        <v>891780111</v>
      </c>
      <c r="B684" s="289" t="s">
        <v>54</v>
      </c>
      <c r="C684" s="290" t="s">
        <v>56</v>
      </c>
      <c r="D684" s="289" t="s">
        <v>60</v>
      </c>
      <c r="E684" s="290" t="s">
        <v>8970</v>
      </c>
      <c r="F684" s="289" t="s">
        <v>61</v>
      </c>
      <c r="G684" s="85" t="s">
        <v>63</v>
      </c>
      <c r="H684" s="85" t="s">
        <v>73</v>
      </c>
      <c r="I684" s="237">
        <v>14000000</v>
      </c>
      <c r="J684" s="290"/>
      <c r="K684" s="291"/>
      <c r="L684" s="291"/>
      <c r="M684" s="292">
        <f t="shared" si="30"/>
        <v>14000000</v>
      </c>
      <c r="N684" s="85">
        <v>57441673</v>
      </c>
      <c r="O684" s="85" t="s">
        <v>7046</v>
      </c>
      <c r="P684" s="85" t="s">
        <v>8971</v>
      </c>
      <c r="Q684" s="309">
        <f t="shared" si="35"/>
        <v>45113</v>
      </c>
      <c r="R684" s="309">
        <f t="shared" si="35"/>
        <v>45113</v>
      </c>
      <c r="S684" s="309">
        <f t="shared" si="34"/>
        <v>45260</v>
      </c>
      <c r="T684" s="293"/>
      <c r="U684" s="293"/>
      <c r="V684" s="293"/>
      <c r="W684" s="294"/>
      <c r="X684" s="237">
        <f>VLOOKUP(N684,[9]Pagos!$C$2:$D$353,2,FALSE)</f>
        <v>2800000</v>
      </c>
      <c r="Y684" s="295">
        <f t="shared" si="31"/>
        <v>11200000</v>
      </c>
      <c r="Z684" s="296">
        <f t="shared" si="32"/>
        <v>0.2</v>
      </c>
      <c r="AA684" s="85">
        <v>57400977</v>
      </c>
      <c r="AB684" s="85" t="s">
        <v>6562</v>
      </c>
      <c r="AC684" s="290" t="s">
        <v>196</v>
      </c>
      <c r="AD684" s="290" t="s">
        <v>196</v>
      </c>
      <c r="AE684" s="303"/>
      <c r="AF684" s="310" t="str">
        <f>VLOOKUP(E684,[10]Hoja1!$D$3:$E$327,2,FALSE)</f>
        <v>https://community.secop.gov.co/Public/Tendering/OpportunityDetail/Index?noticeUID=CO1.NTC.4719280&amp;isFromPublicArea=True&amp;isModal=true&amp;asPopupView=true</v>
      </c>
      <c r="AG684" s="290" t="s">
        <v>192</v>
      </c>
      <c r="AH684" s="290" t="s">
        <v>192</v>
      </c>
    </row>
    <row r="685" spans="1:34" s="297" customFormat="1" ht="15" customHeight="1" x14ac:dyDescent="0.2">
      <c r="A685" s="289">
        <v>891780111</v>
      </c>
      <c r="B685" s="289" t="s">
        <v>54</v>
      </c>
      <c r="C685" s="290" t="s">
        <v>56</v>
      </c>
      <c r="D685" s="289" t="s">
        <v>60</v>
      </c>
      <c r="E685" s="290" t="s">
        <v>8972</v>
      </c>
      <c r="F685" s="289" t="s">
        <v>61</v>
      </c>
      <c r="G685" s="85" t="s">
        <v>63</v>
      </c>
      <c r="H685" s="85" t="s">
        <v>73</v>
      </c>
      <c r="I685" s="237">
        <v>17000000</v>
      </c>
      <c r="J685" s="290"/>
      <c r="K685" s="291"/>
      <c r="L685" s="291"/>
      <c r="M685" s="292">
        <f t="shared" si="30"/>
        <v>17000000</v>
      </c>
      <c r="N685" s="85">
        <v>1082968283</v>
      </c>
      <c r="O685" s="85" t="s">
        <v>6824</v>
      </c>
      <c r="P685" s="85" t="s">
        <v>8973</v>
      </c>
      <c r="Q685" s="309">
        <f t="shared" si="35"/>
        <v>45113</v>
      </c>
      <c r="R685" s="309">
        <f t="shared" si="35"/>
        <v>45113</v>
      </c>
      <c r="S685" s="309">
        <f t="shared" si="34"/>
        <v>45260</v>
      </c>
      <c r="T685" s="293"/>
      <c r="U685" s="293"/>
      <c r="V685" s="293"/>
      <c r="W685" s="294"/>
      <c r="X685" s="237">
        <f>VLOOKUP(N685,[9]Pagos!$C$2:$D$353,2,FALSE)</f>
        <v>3400000</v>
      </c>
      <c r="Y685" s="295">
        <f t="shared" si="31"/>
        <v>13600000</v>
      </c>
      <c r="Z685" s="296">
        <f t="shared" si="32"/>
        <v>0.2</v>
      </c>
      <c r="AA685" s="85">
        <v>12621405</v>
      </c>
      <c r="AB685" s="85" t="s">
        <v>8695</v>
      </c>
      <c r="AC685" s="290" t="s">
        <v>196</v>
      </c>
      <c r="AD685" s="290" t="s">
        <v>196</v>
      </c>
      <c r="AE685" s="303"/>
      <c r="AF685" s="310" t="str">
        <f>VLOOKUP(E685,[10]Hoja1!$D$3:$E$327,2,FALSE)</f>
        <v>https://community.secop.gov.co/Public/Tendering/OpportunityDetail/Index?noticeUID=CO1.NTC.4719282&amp;isFromPublicArea=True&amp;isModal=true&amp;asPopupView=true</v>
      </c>
      <c r="AG685" s="290" t="s">
        <v>192</v>
      </c>
      <c r="AH685" s="290" t="s">
        <v>192</v>
      </c>
    </row>
    <row r="686" spans="1:34" s="297" customFormat="1" ht="15" customHeight="1" x14ac:dyDescent="0.2">
      <c r="A686" s="289">
        <v>891780111</v>
      </c>
      <c r="B686" s="289" t="s">
        <v>54</v>
      </c>
      <c r="C686" s="290" t="s">
        <v>56</v>
      </c>
      <c r="D686" s="289" t="s">
        <v>60</v>
      </c>
      <c r="E686" s="290" t="s">
        <v>8974</v>
      </c>
      <c r="F686" s="289" t="s">
        <v>61</v>
      </c>
      <c r="G686" s="85" t="s">
        <v>63</v>
      </c>
      <c r="H686" s="85" t="s">
        <v>73</v>
      </c>
      <c r="I686" s="237">
        <v>17000000</v>
      </c>
      <c r="J686" s="290"/>
      <c r="K686" s="291"/>
      <c r="L686" s="291"/>
      <c r="M686" s="292">
        <f t="shared" si="30"/>
        <v>17000000</v>
      </c>
      <c r="N686" s="85">
        <v>1082926372</v>
      </c>
      <c r="O686" s="85" t="s">
        <v>6867</v>
      </c>
      <c r="P686" s="85" t="s">
        <v>8975</v>
      </c>
      <c r="Q686" s="309">
        <f t="shared" si="35"/>
        <v>45113</v>
      </c>
      <c r="R686" s="309">
        <f t="shared" si="35"/>
        <v>45113</v>
      </c>
      <c r="S686" s="309">
        <f t="shared" si="34"/>
        <v>45260</v>
      </c>
      <c r="T686" s="293"/>
      <c r="U686" s="293"/>
      <c r="V686" s="293"/>
      <c r="W686" s="294"/>
      <c r="X686" s="237">
        <f>VLOOKUP(N686,[9]Pagos!$C$2:$D$353,2,FALSE)</f>
        <v>3400000</v>
      </c>
      <c r="Y686" s="295">
        <f t="shared" si="31"/>
        <v>13600000</v>
      </c>
      <c r="Z686" s="296">
        <f t="shared" si="32"/>
        <v>0.2</v>
      </c>
      <c r="AA686" s="85">
        <v>12621405</v>
      </c>
      <c r="AB686" s="85" t="s">
        <v>8695</v>
      </c>
      <c r="AC686" s="290" t="s">
        <v>196</v>
      </c>
      <c r="AD686" s="290" t="s">
        <v>196</v>
      </c>
      <c r="AE686" s="303"/>
      <c r="AF686" s="310" t="str">
        <f>VLOOKUP(E686,[10]Hoja1!$D$3:$E$327,2,FALSE)</f>
        <v>https://community.secop.gov.co/Public/Tendering/OpportunityDetail/Index?noticeUID=CO1.NTC.4719284&amp;isFromPublicArea=True&amp;isModal=true&amp;asPopupView=true</v>
      </c>
      <c r="AG686" s="290" t="s">
        <v>192</v>
      </c>
      <c r="AH686" s="290" t="s">
        <v>192</v>
      </c>
    </row>
    <row r="687" spans="1:34" s="297" customFormat="1" ht="15" customHeight="1" x14ac:dyDescent="0.2">
      <c r="A687" s="289">
        <v>891780111</v>
      </c>
      <c r="B687" s="289" t="s">
        <v>54</v>
      </c>
      <c r="C687" s="290" t="s">
        <v>56</v>
      </c>
      <c r="D687" s="289" t="s">
        <v>60</v>
      </c>
      <c r="E687" s="290" t="s">
        <v>8976</v>
      </c>
      <c r="F687" s="289" t="s">
        <v>61</v>
      </c>
      <c r="G687" s="85" t="s">
        <v>63</v>
      </c>
      <c r="H687" s="85" t="s">
        <v>73</v>
      </c>
      <c r="I687" s="237">
        <v>30500000</v>
      </c>
      <c r="J687" s="290"/>
      <c r="K687" s="291"/>
      <c r="L687" s="291"/>
      <c r="M687" s="292">
        <f t="shared" si="30"/>
        <v>30500000</v>
      </c>
      <c r="N687" s="85">
        <v>7603745</v>
      </c>
      <c r="O687" s="85" t="s">
        <v>7126</v>
      </c>
      <c r="P687" s="85" t="s">
        <v>8977</v>
      </c>
      <c r="Q687" s="309">
        <f t="shared" si="35"/>
        <v>45113</v>
      </c>
      <c r="R687" s="309">
        <f t="shared" si="35"/>
        <v>45113</v>
      </c>
      <c r="S687" s="309">
        <f t="shared" si="34"/>
        <v>45260</v>
      </c>
      <c r="T687" s="293"/>
      <c r="U687" s="293"/>
      <c r="V687" s="293"/>
      <c r="W687" s="294"/>
      <c r="X687" s="237">
        <f>VLOOKUP(N687,[9]Pagos!$C$2:$D$353,2,FALSE)</f>
        <v>6100000</v>
      </c>
      <c r="Y687" s="295">
        <f t="shared" si="31"/>
        <v>24400000</v>
      </c>
      <c r="Z687" s="296">
        <f t="shared" si="32"/>
        <v>0.2</v>
      </c>
      <c r="AA687" s="85">
        <v>12621405</v>
      </c>
      <c r="AB687" s="85" t="s">
        <v>8695</v>
      </c>
      <c r="AC687" s="290" t="s">
        <v>196</v>
      </c>
      <c r="AD687" s="290" t="s">
        <v>196</v>
      </c>
      <c r="AE687" s="303"/>
      <c r="AF687" s="310" t="str">
        <f>VLOOKUP(E687,[10]Hoja1!$D$3:$E$327,2,FALSE)</f>
        <v>https://community.secop.gov.co/Public/Tendering/OpportunityDetail/Index?noticeUID=CO1.NTC.4719468&amp;isFromPublicArea=True&amp;isModal=true&amp;asPopupView=true</v>
      </c>
      <c r="AG687" s="290" t="s">
        <v>192</v>
      </c>
      <c r="AH687" s="290" t="s">
        <v>192</v>
      </c>
    </row>
    <row r="688" spans="1:34" s="297" customFormat="1" ht="15" customHeight="1" x14ac:dyDescent="0.2">
      <c r="A688" s="289">
        <v>891780111</v>
      </c>
      <c r="B688" s="289" t="s">
        <v>54</v>
      </c>
      <c r="C688" s="290" t="s">
        <v>56</v>
      </c>
      <c r="D688" s="289" t="s">
        <v>60</v>
      </c>
      <c r="E688" s="290" t="s">
        <v>8978</v>
      </c>
      <c r="F688" s="289" t="s">
        <v>61</v>
      </c>
      <c r="G688" s="85" t="s">
        <v>63</v>
      </c>
      <c r="H688" s="85" t="s">
        <v>73</v>
      </c>
      <c r="I688" s="237">
        <v>3800000</v>
      </c>
      <c r="J688" s="290"/>
      <c r="K688" s="291"/>
      <c r="L688" s="291"/>
      <c r="M688" s="292">
        <f t="shared" si="30"/>
        <v>3800000</v>
      </c>
      <c r="N688" s="85">
        <v>1082886955</v>
      </c>
      <c r="O688" s="85" t="s">
        <v>6482</v>
      </c>
      <c r="P688" s="85" t="s">
        <v>8979</v>
      </c>
      <c r="Q688" s="309">
        <f t="shared" si="35"/>
        <v>45113</v>
      </c>
      <c r="R688" s="309">
        <f>DATE(2023,7,7)</f>
        <v>45114</v>
      </c>
      <c r="S688" s="309">
        <f>DATE(2023,7,31)</f>
        <v>45138</v>
      </c>
      <c r="T688" s="293"/>
      <c r="U688" s="293"/>
      <c r="V688" s="293"/>
      <c r="W688" s="294"/>
      <c r="X688" s="237">
        <f>VLOOKUP(N688,[9]Pagos!$C$2:$D$353,2,FALSE)</f>
        <v>3800000</v>
      </c>
      <c r="Y688" s="295">
        <f t="shared" si="31"/>
        <v>0</v>
      </c>
      <c r="Z688" s="296">
        <f t="shared" si="32"/>
        <v>1</v>
      </c>
      <c r="AA688" s="85">
        <v>41947381</v>
      </c>
      <c r="AB688" s="85" t="s">
        <v>6440</v>
      </c>
      <c r="AC688" s="290" t="s">
        <v>196</v>
      </c>
      <c r="AD688" s="290" t="s">
        <v>196</v>
      </c>
      <c r="AE688" s="303"/>
      <c r="AF688" s="310" t="str">
        <f>VLOOKUP(E688,[10]Hoja1!$D$3:$E$327,2,FALSE)</f>
        <v>https://community.secop.gov.co/Public/Tendering/OpportunityDetail/Index?noticeUID=CO1.NTC.4719638&amp;isFromPublicArea=True&amp;isModal=true&amp;asPopupView=true</v>
      </c>
      <c r="AG688" s="290" t="s">
        <v>192</v>
      </c>
      <c r="AH688" s="290" t="s">
        <v>192</v>
      </c>
    </row>
    <row r="689" spans="1:34" s="297" customFormat="1" ht="15" customHeight="1" x14ac:dyDescent="0.2">
      <c r="A689" s="289">
        <v>891780111</v>
      </c>
      <c r="B689" s="289" t="s">
        <v>54</v>
      </c>
      <c r="C689" s="290" t="s">
        <v>56</v>
      </c>
      <c r="D689" s="289" t="s">
        <v>60</v>
      </c>
      <c r="E689" s="290" t="s">
        <v>8980</v>
      </c>
      <c r="F689" s="289" t="s">
        <v>61</v>
      </c>
      <c r="G689" s="85" t="s">
        <v>63</v>
      </c>
      <c r="H689" s="85" t="s">
        <v>73</v>
      </c>
      <c r="I689" s="237">
        <v>15500000</v>
      </c>
      <c r="J689" s="290"/>
      <c r="K689" s="291"/>
      <c r="L689" s="291"/>
      <c r="M689" s="292">
        <f t="shared" si="30"/>
        <v>15500000</v>
      </c>
      <c r="N689" s="85">
        <v>7601915</v>
      </c>
      <c r="O689" s="85" t="s">
        <v>6875</v>
      </c>
      <c r="P689" s="85" t="s">
        <v>8981</v>
      </c>
      <c r="Q689" s="309">
        <f t="shared" si="35"/>
        <v>45113</v>
      </c>
      <c r="R689" s="309">
        <f t="shared" si="35"/>
        <v>45113</v>
      </c>
      <c r="S689" s="309">
        <f t="shared" si="34"/>
        <v>45260</v>
      </c>
      <c r="T689" s="293"/>
      <c r="U689" s="293"/>
      <c r="V689" s="293"/>
      <c r="W689" s="294"/>
      <c r="X689" s="237">
        <f>VLOOKUP(N689,[9]Pagos!$C$2:$D$353,2,FALSE)</f>
        <v>3100000</v>
      </c>
      <c r="Y689" s="295">
        <f t="shared" si="31"/>
        <v>12400000</v>
      </c>
      <c r="Z689" s="296">
        <f t="shared" si="32"/>
        <v>0.2</v>
      </c>
      <c r="AA689" s="85">
        <v>39058006</v>
      </c>
      <c r="AB689" s="85" t="s">
        <v>6699</v>
      </c>
      <c r="AC689" s="290" t="s">
        <v>196</v>
      </c>
      <c r="AD689" s="290" t="s">
        <v>196</v>
      </c>
      <c r="AE689" s="303"/>
      <c r="AF689" s="310" t="str">
        <f>VLOOKUP(E689,[10]Hoja1!$D$3:$E$327,2,FALSE)</f>
        <v>https://community.secop.gov.co/Public/Tendering/OpportunityDetail/Index?noticeUID=CO1.NTC.4719469&amp;isFromPublicArea=True&amp;isModal=true&amp;asPopupView=true</v>
      </c>
      <c r="AG689" s="290" t="s">
        <v>192</v>
      </c>
      <c r="AH689" s="290" t="s">
        <v>192</v>
      </c>
    </row>
    <row r="690" spans="1:34" s="297" customFormat="1" ht="15" customHeight="1" x14ac:dyDescent="0.2">
      <c r="A690" s="289">
        <v>891780111</v>
      </c>
      <c r="B690" s="289" t="s">
        <v>54</v>
      </c>
      <c r="C690" s="290" t="s">
        <v>56</v>
      </c>
      <c r="D690" s="289" t="s">
        <v>60</v>
      </c>
      <c r="E690" s="290" t="s">
        <v>8982</v>
      </c>
      <c r="F690" s="289" t="s">
        <v>61</v>
      </c>
      <c r="G690" s="85" t="s">
        <v>63</v>
      </c>
      <c r="H690" s="85" t="s">
        <v>73</v>
      </c>
      <c r="I690" s="237">
        <v>15500000</v>
      </c>
      <c r="J690" s="290"/>
      <c r="K690" s="291"/>
      <c r="L690" s="291"/>
      <c r="M690" s="292">
        <f t="shared" si="30"/>
        <v>15500000</v>
      </c>
      <c r="N690" s="85">
        <v>7602309</v>
      </c>
      <c r="O690" s="85" t="s">
        <v>6697</v>
      </c>
      <c r="P690" s="85" t="s">
        <v>8983</v>
      </c>
      <c r="Q690" s="309">
        <f t="shared" si="35"/>
        <v>45113</v>
      </c>
      <c r="R690" s="309">
        <f t="shared" si="35"/>
        <v>45113</v>
      </c>
      <c r="S690" s="309">
        <f t="shared" si="34"/>
        <v>45260</v>
      </c>
      <c r="T690" s="293"/>
      <c r="U690" s="293"/>
      <c r="V690" s="293"/>
      <c r="W690" s="294"/>
      <c r="X690" s="237">
        <f>VLOOKUP(N690,[9]Pagos!$C$2:$D$353,2,FALSE)</f>
        <v>3100000</v>
      </c>
      <c r="Y690" s="295">
        <f t="shared" si="31"/>
        <v>12400000</v>
      </c>
      <c r="Z690" s="296">
        <f t="shared" si="32"/>
        <v>0.2</v>
      </c>
      <c r="AA690" s="85">
        <v>39058006</v>
      </c>
      <c r="AB690" s="85" t="s">
        <v>6699</v>
      </c>
      <c r="AC690" s="290" t="s">
        <v>196</v>
      </c>
      <c r="AD690" s="290" t="s">
        <v>196</v>
      </c>
      <c r="AE690" s="303"/>
      <c r="AF690" s="310" t="str">
        <f>VLOOKUP(E690,[10]Hoja1!$D$3:$E$327,2,FALSE)</f>
        <v>https://community.secop.gov.co/Public/Tendering/OpportunityDetail/Index?noticeUID=CO1.NTC.4719641&amp;isFromPublicArea=True&amp;isModal=true&amp;asPopupView=true</v>
      </c>
      <c r="AG690" s="290" t="s">
        <v>192</v>
      </c>
      <c r="AH690" s="290" t="s">
        <v>192</v>
      </c>
    </row>
    <row r="691" spans="1:34" s="297" customFormat="1" ht="15" customHeight="1" x14ac:dyDescent="0.2">
      <c r="A691" s="289">
        <v>891780111</v>
      </c>
      <c r="B691" s="289" t="s">
        <v>54</v>
      </c>
      <c r="C691" s="290" t="s">
        <v>56</v>
      </c>
      <c r="D691" s="289" t="s">
        <v>60</v>
      </c>
      <c r="E691" s="290" t="s">
        <v>8984</v>
      </c>
      <c r="F691" s="289" t="s">
        <v>61</v>
      </c>
      <c r="G691" s="85" t="s">
        <v>63</v>
      </c>
      <c r="H691" s="85" t="s">
        <v>73</v>
      </c>
      <c r="I691" s="237">
        <v>20000000</v>
      </c>
      <c r="J691" s="290"/>
      <c r="K691" s="291"/>
      <c r="L691" s="291"/>
      <c r="M691" s="292">
        <f t="shared" si="30"/>
        <v>20000000</v>
      </c>
      <c r="N691" s="85">
        <v>85460949</v>
      </c>
      <c r="O691" s="85" t="s">
        <v>7145</v>
      </c>
      <c r="P691" s="85" t="s">
        <v>8985</v>
      </c>
      <c r="Q691" s="309">
        <f t="shared" si="35"/>
        <v>45113</v>
      </c>
      <c r="R691" s="309">
        <f t="shared" si="35"/>
        <v>45113</v>
      </c>
      <c r="S691" s="309">
        <f t="shared" si="34"/>
        <v>45260</v>
      </c>
      <c r="T691" s="293"/>
      <c r="U691" s="293"/>
      <c r="V691" s="293"/>
      <c r="W691" s="294"/>
      <c r="X691" s="237">
        <f>VLOOKUP(N691,[9]Pagos!$C$2:$D$353,2,FALSE)</f>
        <v>4000000</v>
      </c>
      <c r="Y691" s="295">
        <f t="shared" si="31"/>
        <v>16000000</v>
      </c>
      <c r="Z691" s="296">
        <f t="shared" si="32"/>
        <v>0.2</v>
      </c>
      <c r="AA691" s="85">
        <v>12621405</v>
      </c>
      <c r="AB691" s="85" t="s">
        <v>8695</v>
      </c>
      <c r="AC691" s="290" t="s">
        <v>196</v>
      </c>
      <c r="AD691" s="290" t="s">
        <v>196</v>
      </c>
      <c r="AE691" s="303"/>
      <c r="AF691" s="310" t="str">
        <f>VLOOKUP(E691,[10]Hoja1!$D$3:$E$327,2,FALSE)</f>
        <v>https://community.secop.gov.co/Public/Tendering/OpportunityDetail/Index?noticeUID=CO1.NTC.4719642&amp;isFromPublicArea=True&amp;isModal=true&amp;asPopupView=true</v>
      </c>
      <c r="AG691" s="290" t="s">
        <v>192</v>
      </c>
      <c r="AH691" s="290" t="s">
        <v>192</v>
      </c>
    </row>
    <row r="692" spans="1:34" s="297" customFormat="1" ht="15" customHeight="1" x14ac:dyDescent="0.2">
      <c r="A692" s="289">
        <v>891780111</v>
      </c>
      <c r="B692" s="289" t="s">
        <v>54</v>
      </c>
      <c r="C692" s="290" t="s">
        <v>56</v>
      </c>
      <c r="D692" s="289" t="s">
        <v>60</v>
      </c>
      <c r="E692" s="290" t="s">
        <v>8986</v>
      </c>
      <c r="F692" s="289" t="s">
        <v>61</v>
      </c>
      <c r="G692" s="85" t="s">
        <v>63</v>
      </c>
      <c r="H692" s="85" t="s">
        <v>73</v>
      </c>
      <c r="I692" s="237">
        <v>17000000</v>
      </c>
      <c r="J692" s="290"/>
      <c r="K692" s="291"/>
      <c r="L692" s="291"/>
      <c r="M692" s="292">
        <f t="shared" si="30"/>
        <v>17000000</v>
      </c>
      <c r="N692" s="85">
        <v>57295586</v>
      </c>
      <c r="O692" s="85" t="s">
        <v>7030</v>
      </c>
      <c r="P692" s="85" t="s">
        <v>8987</v>
      </c>
      <c r="Q692" s="309">
        <f>DATE(2023,7,7)</f>
        <v>45114</v>
      </c>
      <c r="R692" s="309">
        <f>DATE(2023,7,7)</f>
        <v>45114</v>
      </c>
      <c r="S692" s="309">
        <f t="shared" si="34"/>
        <v>45260</v>
      </c>
      <c r="T692" s="293"/>
      <c r="U692" s="293"/>
      <c r="V692" s="293"/>
      <c r="W692" s="294"/>
      <c r="X692" s="237">
        <f>VLOOKUP(N692,[9]Pagos!$C$2:$D$353,2,FALSE)</f>
        <v>3400000</v>
      </c>
      <c r="Y692" s="295">
        <f t="shared" si="31"/>
        <v>13600000</v>
      </c>
      <c r="Z692" s="296">
        <f t="shared" si="32"/>
        <v>0.2</v>
      </c>
      <c r="AA692" s="85">
        <v>1082889541</v>
      </c>
      <c r="AB692" s="85" t="s">
        <v>5388</v>
      </c>
      <c r="AC692" s="290" t="s">
        <v>196</v>
      </c>
      <c r="AD692" s="290" t="s">
        <v>196</v>
      </c>
      <c r="AE692" s="303"/>
      <c r="AF692" s="310" t="str">
        <f>VLOOKUP(E692,[10]Hoja1!$D$3:$E$327,2,FALSE)</f>
        <v>https://community.secop.gov.co/Public/Tendering/OpportunityDetail/Index?noticeUID=CO1.NTC.4724306&amp;isFromPublicArea=True&amp;isModal=true&amp;asPopupView=true</v>
      </c>
      <c r="AG692" s="290" t="s">
        <v>192</v>
      </c>
      <c r="AH692" s="290" t="s">
        <v>192</v>
      </c>
    </row>
    <row r="693" spans="1:34" s="297" customFormat="1" ht="15" customHeight="1" x14ac:dyDescent="0.2">
      <c r="A693" s="289">
        <v>891780111</v>
      </c>
      <c r="B693" s="289" t="s">
        <v>54</v>
      </c>
      <c r="C693" s="290" t="s">
        <v>56</v>
      </c>
      <c r="D693" s="289" t="s">
        <v>60</v>
      </c>
      <c r="E693" s="290" t="s">
        <v>8988</v>
      </c>
      <c r="F693" s="289" t="s">
        <v>61</v>
      </c>
      <c r="G693" s="85" t="s">
        <v>63</v>
      </c>
      <c r="H693" s="85" t="s">
        <v>73</v>
      </c>
      <c r="I693" s="237">
        <v>14000000</v>
      </c>
      <c r="J693" s="290"/>
      <c r="K693" s="291"/>
      <c r="L693" s="291"/>
      <c r="M693" s="292">
        <f t="shared" si="30"/>
        <v>14000000</v>
      </c>
      <c r="N693" s="85">
        <v>57461182</v>
      </c>
      <c r="O693" s="85" t="s">
        <v>7006</v>
      </c>
      <c r="P693" s="85" t="s">
        <v>8989</v>
      </c>
      <c r="Q693" s="309">
        <f t="shared" ref="Q693:R708" si="36">DATE(2023,7,7)</f>
        <v>45114</v>
      </c>
      <c r="R693" s="309">
        <f t="shared" si="36"/>
        <v>45114</v>
      </c>
      <c r="S693" s="309">
        <f t="shared" si="34"/>
        <v>45260</v>
      </c>
      <c r="T693" s="293"/>
      <c r="U693" s="293"/>
      <c r="V693" s="293"/>
      <c r="W693" s="294"/>
      <c r="X693" s="237">
        <f>VLOOKUP(N693,[9]Pagos!$C$2:$D$353,2,FALSE)</f>
        <v>2800000</v>
      </c>
      <c r="Y693" s="295">
        <f t="shared" si="31"/>
        <v>11200000</v>
      </c>
      <c r="Z693" s="296">
        <f t="shared" si="32"/>
        <v>0.2</v>
      </c>
      <c r="AA693" s="85">
        <v>1082889541</v>
      </c>
      <c r="AB693" s="85" t="s">
        <v>5388</v>
      </c>
      <c r="AC693" s="290" t="s">
        <v>196</v>
      </c>
      <c r="AD693" s="290" t="s">
        <v>196</v>
      </c>
      <c r="AE693" s="303"/>
      <c r="AF693" s="310" t="str">
        <f>VLOOKUP(E693,[10]Hoja1!$D$3:$E$327,2,FALSE)</f>
        <v>https://community.secop.gov.co/Public/Tendering/OpportunityDetail/Index?noticeUID=CO1.NTC.4724237&amp;isFromPublicArea=True&amp;isModal=true&amp;asPopupView=true</v>
      </c>
      <c r="AG693" s="290" t="s">
        <v>192</v>
      </c>
      <c r="AH693" s="290" t="s">
        <v>192</v>
      </c>
    </row>
    <row r="694" spans="1:34" s="297" customFormat="1" ht="15" customHeight="1" x14ac:dyDescent="0.2">
      <c r="A694" s="289">
        <v>891780111</v>
      </c>
      <c r="B694" s="289" t="s">
        <v>54</v>
      </c>
      <c r="C694" s="290" t="s">
        <v>56</v>
      </c>
      <c r="D694" s="289" t="s">
        <v>60</v>
      </c>
      <c r="E694" s="290" t="s">
        <v>8990</v>
      </c>
      <c r="F694" s="289" t="s">
        <v>61</v>
      </c>
      <c r="G694" s="85" t="s">
        <v>63</v>
      </c>
      <c r="H694" s="85" t="s">
        <v>73</v>
      </c>
      <c r="I694" s="237">
        <v>12500000</v>
      </c>
      <c r="J694" s="290"/>
      <c r="K694" s="291"/>
      <c r="L694" s="291"/>
      <c r="M694" s="292">
        <f t="shared" si="30"/>
        <v>12500000</v>
      </c>
      <c r="N694" s="85">
        <v>35117743</v>
      </c>
      <c r="O694" s="85" t="s">
        <v>6626</v>
      </c>
      <c r="P694" s="85" t="s">
        <v>8991</v>
      </c>
      <c r="Q694" s="309">
        <f t="shared" si="36"/>
        <v>45114</v>
      </c>
      <c r="R694" s="309">
        <f t="shared" si="36"/>
        <v>45114</v>
      </c>
      <c r="S694" s="309">
        <f t="shared" si="34"/>
        <v>45260</v>
      </c>
      <c r="T694" s="293"/>
      <c r="U694" s="293"/>
      <c r="V694" s="293"/>
      <c r="W694" s="294"/>
      <c r="X694" s="237">
        <f>VLOOKUP(N694,[9]Pagos!$C$2:$D$353,2,FALSE)</f>
        <v>2500000</v>
      </c>
      <c r="Y694" s="295">
        <f t="shared" si="31"/>
        <v>10000000</v>
      </c>
      <c r="Z694" s="296">
        <f t="shared" si="32"/>
        <v>0.2</v>
      </c>
      <c r="AA694" s="85">
        <v>85465146</v>
      </c>
      <c r="AB694" s="85" t="s">
        <v>6628</v>
      </c>
      <c r="AC694" s="290" t="s">
        <v>196</v>
      </c>
      <c r="AD694" s="290" t="s">
        <v>196</v>
      </c>
      <c r="AE694" s="303"/>
      <c r="AF694" s="310" t="str">
        <f>VLOOKUP(E694,[10]Hoja1!$D$3:$E$327,2,FALSE)</f>
        <v>https://community.secop.gov.co/Public/Tendering/OpportunityDetail/Index?noticeUID=CO1.NTC.4724327&amp;isFromPublicArea=True&amp;isModal=true&amp;asPopupView=true</v>
      </c>
      <c r="AG694" s="290" t="s">
        <v>192</v>
      </c>
      <c r="AH694" s="290" t="s">
        <v>192</v>
      </c>
    </row>
    <row r="695" spans="1:34" s="297" customFormat="1" ht="15" customHeight="1" x14ac:dyDescent="0.2">
      <c r="A695" s="289">
        <v>891780111</v>
      </c>
      <c r="B695" s="289" t="s">
        <v>54</v>
      </c>
      <c r="C695" s="290" t="s">
        <v>56</v>
      </c>
      <c r="D695" s="289" t="s">
        <v>60</v>
      </c>
      <c r="E695" s="290" t="s">
        <v>8992</v>
      </c>
      <c r="F695" s="289" t="s">
        <v>61</v>
      </c>
      <c r="G695" s="85" t="s">
        <v>63</v>
      </c>
      <c r="H695" s="85" t="s">
        <v>73</v>
      </c>
      <c r="I695" s="237">
        <v>28000000</v>
      </c>
      <c r="J695" s="290"/>
      <c r="K695" s="291"/>
      <c r="L695" s="291"/>
      <c r="M695" s="292">
        <f t="shared" si="30"/>
        <v>28000000</v>
      </c>
      <c r="N695" s="85">
        <v>19601307</v>
      </c>
      <c r="O695" s="85" t="s">
        <v>6636</v>
      </c>
      <c r="P695" s="85" t="s">
        <v>8993</v>
      </c>
      <c r="Q695" s="309">
        <f t="shared" si="36"/>
        <v>45114</v>
      </c>
      <c r="R695" s="309">
        <f t="shared" si="36"/>
        <v>45114</v>
      </c>
      <c r="S695" s="309">
        <f t="shared" si="34"/>
        <v>45260</v>
      </c>
      <c r="T695" s="293"/>
      <c r="U695" s="293"/>
      <c r="V695" s="293"/>
      <c r="W695" s="294"/>
      <c r="X695" s="237">
        <f>VLOOKUP(N695,[9]Pagos!$C$2:$D$353,2,FALSE)</f>
        <v>5600000</v>
      </c>
      <c r="Y695" s="295">
        <f t="shared" si="31"/>
        <v>22400000</v>
      </c>
      <c r="Z695" s="296">
        <f t="shared" si="32"/>
        <v>0.2</v>
      </c>
      <c r="AA695" s="85">
        <v>85465146</v>
      </c>
      <c r="AB695" s="85" t="s">
        <v>6628</v>
      </c>
      <c r="AC695" s="290" t="s">
        <v>196</v>
      </c>
      <c r="AD695" s="290" t="s">
        <v>196</v>
      </c>
      <c r="AE695" s="303"/>
      <c r="AF695" s="310" t="str">
        <f>VLOOKUP(E695,[10]Hoja1!$D$3:$E$327,2,FALSE)</f>
        <v>https://community.secop.gov.co/Public/Tendering/OpportunityDetail/Index?noticeUID=CO1.NTC.4724332&amp;isFromPublicArea=True&amp;isModal=true&amp;asPopupView=true</v>
      </c>
      <c r="AG695" s="290" t="s">
        <v>192</v>
      </c>
      <c r="AH695" s="290" t="s">
        <v>192</v>
      </c>
    </row>
    <row r="696" spans="1:34" s="297" customFormat="1" ht="15" customHeight="1" x14ac:dyDescent="0.2">
      <c r="A696" s="289">
        <v>891780111</v>
      </c>
      <c r="B696" s="289" t="s">
        <v>54</v>
      </c>
      <c r="C696" s="290" t="s">
        <v>56</v>
      </c>
      <c r="D696" s="289" t="s">
        <v>60</v>
      </c>
      <c r="E696" s="290" t="s">
        <v>8994</v>
      </c>
      <c r="F696" s="289" t="s">
        <v>61</v>
      </c>
      <c r="G696" s="85" t="s">
        <v>63</v>
      </c>
      <c r="H696" s="85" t="s">
        <v>73</v>
      </c>
      <c r="I696" s="237">
        <v>14000000</v>
      </c>
      <c r="J696" s="290"/>
      <c r="K696" s="291"/>
      <c r="L696" s="291"/>
      <c r="M696" s="292">
        <f t="shared" si="30"/>
        <v>14000000</v>
      </c>
      <c r="N696" s="85">
        <v>1083567834</v>
      </c>
      <c r="O696" s="85" t="s">
        <v>6669</v>
      </c>
      <c r="P696" s="85" t="s">
        <v>8995</v>
      </c>
      <c r="Q696" s="309">
        <f t="shared" si="36"/>
        <v>45114</v>
      </c>
      <c r="R696" s="309">
        <f t="shared" si="36"/>
        <v>45114</v>
      </c>
      <c r="S696" s="309">
        <f t="shared" si="34"/>
        <v>45260</v>
      </c>
      <c r="T696" s="293"/>
      <c r="U696" s="293"/>
      <c r="V696" s="293"/>
      <c r="W696" s="294"/>
      <c r="X696" s="237">
        <f>VLOOKUP(N696,[9]Pagos!$C$2:$D$353,2,FALSE)</f>
        <v>2800000</v>
      </c>
      <c r="Y696" s="295">
        <f t="shared" si="31"/>
        <v>11200000</v>
      </c>
      <c r="Z696" s="296">
        <f t="shared" si="32"/>
        <v>0.2</v>
      </c>
      <c r="AA696" s="85">
        <v>85465146</v>
      </c>
      <c r="AB696" s="85" t="s">
        <v>6628</v>
      </c>
      <c r="AC696" s="290" t="s">
        <v>196</v>
      </c>
      <c r="AD696" s="290" t="s">
        <v>196</v>
      </c>
      <c r="AE696" s="303"/>
      <c r="AF696" s="310" t="str">
        <f>VLOOKUP(E696,[10]Hoja1!$D$3:$E$327,2,FALSE)</f>
        <v>https://community.secop.gov.co/Public/Tendering/OpportunityDetail/Index?noticeUID=CO1.NTC.4724345&amp;isFromPublicArea=True&amp;isModal=true&amp;asPopupView=true</v>
      </c>
      <c r="AG696" s="290" t="s">
        <v>192</v>
      </c>
      <c r="AH696" s="290" t="s">
        <v>192</v>
      </c>
    </row>
    <row r="697" spans="1:34" s="297" customFormat="1" ht="15" customHeight="1" x14ac:dyDescent="0.2">
      <c r="A697" s="289">
        <v>891780111</v>
      </c>
      <c r="B697" s="289" t="s">
        <v>54</v>
      </c>
      <c r="C697" s="290" t="s">
        <v>56</v>
      </c>
      <c r="D697" s="289" t="s">
        <v>60</v>
      </c>
      <c r="E697" s="290" t="s">
        <v>8996</v>
      </c>
      <c r="F697" s="289" t="s">
        <v>61</v>
      </c>
      <c r="G697" s="85" t="s">
        <v>63</v>
      </c>
      <c r="H697" s="85" t="s">
        <v>73</v>
      </c>
      <c r="I697" s="237">
        <v>15500000</v>
      </c>
      <c r="J697" s="290"/>
      <c r="K697" s="291"/>
      <c r="L697" s="291"/>
      <c r="M697" s="292">
        <f t="shared" si="30"/>
        <v>15500000</v>
      </c>
      <c r="N697" s="85">
        <v>7634396</v>
      </c>
      <c r="O697" s="85" t="s">
        <v>6702</v>
      </c>
      <c r="P697" s="85" t="s">
        <v>8997</v>
      </c>
      <c r="Q697" s="309">
        <f t="shared" si="36"/>
        <v>45114</v>
      </c>
      <c r="R697" s="309">
        <f t="shared" si="36"/>
        <v>45114</v>
      </c>
      <c r="S697" s="309">
        <f t="shared" si="34"/>
        <v>45260</v>
      </c>
      <c r="T697" s="293"/>
      <c r="U697" s="293"/>
      <c r="V697" s="293"/>
      <c r="W697" s="294"/>
      <c r="X697" s="237">
        <f>VLOOKUP(N697,[9]Pagos!$C$2:$D$353,2,FALSE)</f>
        <v>3100000</v>
      </c>
      <c r="Y697" s="295">
        <f t="shared" si="31"/>
        <v>12400000</v>
      </c>
      <c r="Z697" s="296">
        <f t="shared" si="32"/>
        <v>0.2</v>
      </c>
      <c r="AA697" s="85">
        <v>85465146</v>
      </c>
      <c r="AB697" s="85" t="s">
        <v>6628</v>
      </c>
      <c r="AC697" s="290" t="s">
        <v>196</v>
      </c>
      <c r="AD697" s="290" t="s">
        <v>196</v>
      </c>
      <c r="AE697" s="303"/>
      <c r="AF697" s="310" t="str">
        <f>VLOOKUP(E697,[10]Hoja1!$D$3:$E$327,2,FALSE)</f>
        <v>https://community.secop.gov.co/Public/Tendering/OpportunityDetail/Index?noticeUID=CO1.NTC.4724826&amp;isFromPublicArea=True&amp;isModal=true&amp;asPopupView=true</v>
      </c>
      <c r="AG697" s="290" t="s">
        <v>192</v>
      </c>
      <c r="AH697" s="290" t="s">
        <v>192</v>
      </c>
    </row>
    <row r="698" spans="1:34" s="297" customFormat="1" ht="15" customHeight="1" x14ac:dyDescent="0.2">
      <c r="A698" s="289">
        <v>891780111</v>
      </c>
      <c r="B698" s="289" t="s">
        <v>54</v>
      </c>
      <c r="C698" s="290" t="s">
        <v>56</v>
      </c>
      <c r="D698" s="289" t="s">
        <v>60</v>
      </c>
      <c r="E698" s="290" t="s">
        <v>8998</v>
      </c>
      <c r="F698" s="289" t="s">
        <v>61</v>
      </c>
      <c r="G698" s="85" t="s">
        <v>63</v>
      </c>
      <c r="H698" s="85" t="s">
        <v>73</v>
      </c>
      <c r="I698" s="237">
        <v>14000000</v>
      </c>
      <c r="J698" s="290"/>
      <c r="K698" s="291"/>
      <c r="L698" s="291"/>
      <c r="M698" s="292">
        <f t="shared" si="30"/>
        <v>14000000</v>
      </c>
      <c r="N698" s="85">
        <v>1082872335</v>
      </c>
      <c r="O698" s="85" t="s">
        <v>6761</v>
      </c>
      <c r="P698" s="85" t="s">
        <v>8999</v>
      </c>
      <c r="Q698" s="309">
        <f t="shared" si="36"/>
        <v>45114</v>
      </c>
      <c r="R698" s="309">
        <f t="shared" si="36"/>
        <v>45114</v>
      </c>
      <c r="S698" s="309">
        <f t="shared" si="34"/>
        <v>45260</v>
      </c>
      <c r="T698" s="293"/>
      <c r="U698" s="293"/>
      <c r="V698" s="293"/>
      <c r="W698" s="294"/>
      <c r="X698" s="237">
        <f>VLOOKUP(N698,[9]Pagos!$C$2:$D$353,2,FALSE)</f>
        <v>2800000</v>
      </c>
      <c r="Y698" s="295">
        <f t="shared" si="31"/>
        <v>11200000</v>
      </c>
      <c r="Z698" s="296">
        <f t="shared" si="32"/>
        <v>0.2</v>
      </c>
      <c r="AA698" s="85">
        <v>85465146</v>
      </c>
      <c r="AB698" s="85" t="s">
        <v>6628</v>
      </c>
      <c r="AC698" s="290" t="s">
        <v>196</v>
      </c>
      <c r="AD698" s="290" t="s">
        <v>196</v>
      </c>
      <c r="AE698" s="303"/>
      <c r="AF698" s="310" t="str">
        <f>VLOOKUP(E698,[10]Hoja1!$D$3:$E$327,2,FALSE)</f>
        <v>https://community.secop.gov.co/Public/Tendering/OpportunityDetail/Index?noticeUID=CO1.NTC.4724832&amp;isFromPublicArea=True&amp;isModal=true&amp;asPopupView=true</v>
      </c>
      <c r="AG698" s="290" t="s">
        <v>192</v>
      </c>
      <c r="AH698" s="290" t="s">
        <v>192</v>
      </c>
    </row>
    <row r="699" spans="1:34" s="297" customFormat="1" ht="15" customHeight="1" x14ac:dyDescent="0.2">
      <c r="A699" s="289">
        <v>891780111</v>
      </c>
      <c r="B699" s="289" t="s">
        <v>54</v>
      </c>
      <c r="C699" s="290" t="s">
        <v>56</v>
      </c>
      <c r="D699" s="289" t="s">
        <v>60</v>
      </c>
      <c r="E699" s="290" t="s">
        <v>9000</v>
      </c>
      <c r="F699" s="289" t="s">
        <v>61</v>
      </c>
      <c r="G699" s="85" t="s">
        <v>63</v>
      </c>
      <c r="H699" s="85" t="s">
        <v>73</v>
      </c>
      <c r="I699" s="237">
        <v>11000000</v>
      </c>
      <c r="J699" s="290"/>
      <c r="K699" s="291"/>
      <c r="L699" s="291"/>
      <c r="M699" s="292">
        <f t="shared" si="30"/>
        <v>11000000</v>
      </c>
      <c r="N699" s="85">
        <v>1082972337</v>
      </c>
      <c r="O699" s="85" t="s">
        <v>6710</v>
      </c>
      <c r="P699" s="85" t="s">
        <v>9001</v>
      </c>
      <c r="Q699" s="309">
        <f t="shared" si="36"/>
        <v>45114</v>
      </c>
      <c r="R699" s="309">
        <f t="shared" si="36"/>
        <v>45114</v>
      </c>
      <c r="S699" s="309">
        <f t="shared" si="34"/>
        <v>45260</v>
      </c>
      <c r="T699" s="293"/>
      <c r="U699" s="293"/>
      <c r="V699" s="293"/>
      <c r="W699" s="294"/>
      <c r="X699" s="237">
        <f>VLOOKUP(N699,[9]Pagos!$C$2:$D$353,2,FALSE)</f>
        <v>2200000</v>
      </c>
      <c r="Y699" s="295">
        <f t="shared" si="31"/>
        <v>8800000</v>
      </c>
      <c r="Z699" s="296">
        <f t="shared" si="32"/>
        <v>0.2</v>
      </c>
      <c r="AA699" s="85">
        <v>85465146</v>
      </c>
      <c r="AB699" s="85" t="s">
        <v>6628</v>
      </c>
      <c r="AC699" s="290" t="s">
        <v>196</v>
      </c>
      <c r="AD699" s="290" t="s">
        <v>196</v>
      </c>
      <c r="AE699" s="303"/>
      <c r="AF699" s="310" t="str">
        <f>VLOOKUP(E699,[10]Hoja1!$D$3:$E$327,2,FALSE)</f>
        <v>https://community.secop.gov.co/Public/Tendering/OpportunityDetail/Index?noticeUID=CO1.NTC.4724728&amp;isFromPublicArea=True&amp;isModal=true&amp;asPopupView=true</v>
      </c>
      <c r="AG699" s="290" t="s">
        <v>192</v>
      </c>
      <c r="AH699" s="290" t="s">
        <v>192</v>
      </c>
    </row>
    <row r="700" spans="1:34" s="297" customFormat="1" ht="15" customHeight="1" x14ac:dyDescent="0.2">
      <c r="A700" s="289">
        <v>891780111</v>
      </c>
      <c r="B700" s="289" t="s">
        <v>54</v>
      </c>
      <c r="C700" s="290" t="s">
        <v>56</v>
      </c>
      <c r="D700" s="289" t="s">
        <v>60</v>
      </c>
      <c r="E700" s="290" t="s">
        <v>9002</v>
      </c>
      <c r="F700" s="289" t="s">
        <v>61</v>
      </c>
      <c r="G700" s="85" t="s">
        <v>63</v>
      </c>
      <c r="H700" s="85" t="s">
        <v>73</v>
      </c>
      <c r="I700" s="237">
        <v>9500000</v>
      </c>
      <c r="J700" s="290"/>
      <c r="K700" s="291"/>
      <c r="L700" s="291"/>
      <c r="M700" s="292">
        <f t="shared" si="30"/>
        <v>9500000</v>
      </c>
      <c r="N700" s="85">
        <v>1083023147</v>
      </c>
      <c r="O700" s="85" t="s">
        <v>6773</v>
      </c>
      <c r="P700" s="85" t="s">
        <v>9003</v>
      </c>
      <c r="Q700" s="309">
        <f t="shared" si="36"/>
        <v>45114</v>
      </c>
      <c r="R700" s="309">
        <f t="shared" si="36"/>
        <v>45114</v>
      </c>
      <c r="S700" s="309">
        <f t="shared" si="34"/>
        <v>45260</v>
      </c>
      <c r="T700" s="293"/>
      <c r="U700" s="293"/>
      <c r="V700" s="293"/>
      <c r="W700" s="294"/>
      <c r="X700" s="237">
        <f>VLOOKUP(N700,[9]Pagos!$C$2:$D$353,2,FALSE)</f>
        <v>1900000</v>
      </c>
      <c r="Y700" s="295">
        <f t="shared" si="31"/>
        <v>7600000</v>
      </c>
      <c r="Z700" s="296">
        <f t="shared" si="32"/>
        <v>0.2</v>
      </c>
      <c r="AA700" s="85">
        <v>93400727</v>
      </c>
      <c r="AB700" s="85" t="s">
        <v>6418</v>
      </c>
      <c r="AC700" s="290" t="s">
        <v>196</v>
      </c>
      <c r="AD700" s="290" t="s">
        <v>196</v>
      </c>
      <c r="AE700" s="303"/>
      <c r="AF700" s="310" t="str">
        <f>VLOOKUP(E700,[10]Hoja1!$D$3:$E$327,2,FALSE)</f>
        <v>https://community.secop.gov.co/Public/Tendering/OpportunityDetail/Index?noticeUID=CO1.NTC.4724843&amp;isFromPublicArea=True&amp;isModal=true&amp;asPopupView=true</v>
      </c>
      <c r="AG700" s="290" t="s">
        <v>192</v>
      </c>
      <c r="AH700" s="290" t="s">
        <v>192</v>
      </c>
    </row>
    <row r="701" spans="1:34" s="297" customFormat="1" ht="15" customHeight="1" x14ac:dyDescent="0.2">
      <c r="A701" s="289">
        <v>891780111</v>
      </c>
      <c r="B701" s="289" t="s">
        <v>54</v>
      </c>
      <c r="C701" s="290" t="s">
        <v>56</v>
      </c>
      <c r="D701" s="289" t="s">
        <v>60</v>
      </c>
      <c r="E701" s="290" t="s">
        <v>9004</v>
      </c>
      <c r="F701" s="289" t="s">
        <v>61</v>
      </c>
      <c r="G701" s="85" t="s">
        <v>63</v>
      </c>
      <c r="H701" s="85" t="s">
        <v>73</v>
      </c>
      <c r="I701" s="237">
        <v>19250000</v>
      </c>
      <c r="J701" s="290"/>
      <c r="K701" s="291"/>
      <c r="L701" s="291"/>
      <c r="M701" s="292">
        <f t="shared" si="30"/>
        <v>19250000</v>
      </c>
      <c r="N701" s="85">
        <v>1082882287</v>
      </c>
      <c r="O701" s="85" t="s">
        <v>6660</v>
      </c>
      <c r="P701" s="85" t="s">
        <v>9005</v>
      </c>
      <c r="Q701" s="309">
        <f t="shared" si="36"/>
        <v>45114</v>
      </c>
      <c r="R701" s="309">
        <f t="shared" si="36"/>
        <v>45114</v>
      </c>
      <c r="S701" s="309">
        <f t="shared" si="34"/>
        <v>45260</v>
      </c>
      <c r="T701" s="293"/>
      <c r="U701" s="293"/>
      <c r="V701" s="293"/>
      <c r="W701" s="294"/>
      <c r="X701" s="237">
        <f>VLOOKUP(N701,[9]Pagos!$C$2:$D$353,2,FALSE)</f>
        <v>3850000</v>
      </c>
      <c r="Y701" s="295">
        <f t="shared" si="31"/>
        <v>15400000</v>
      </c>
      <c r="Z701" s="296">
        <f t="shared" si="32"/>
        <v>0.2</v>
      </c>
      <c r="AA701" s="85">
        <v>12621405</v>
      </c>
      <c r="AB701" s="85" t="s">
        <v>8695</v>
      </c>
      <c r="AC701" s="290" t="s">
        <v>196</v>
      </c>
      <c r="AD701" s="290" t="s">
        <v>196</v>
      </c>
      <c r="AE701" s="303"/>
      <c r="AF701" s="310" t="str">
        <f>VLOOKUP(E701,[10]Hoja1!$D$3:$E$327,2,FALSE)</f>
        <v>https://community.secop.gov.co/Public/Tendering/OpportunityDetail/Index?noticeUID=CO1.NTC.4724911&amp;isFromPublicArea=True&amp;isModal=true&amp;asPopupView=true</v>
      </c>
      <c r="AG701" s="290" t="s">
        <v>192</v>
      </c>
      <c r="AH701" s="290" t="s">
        <v>192</v>
      </c>
    </row>
    <row r="702" spans="1:34" s="297" customFormat="1" ht="15" customHeight="1" x14ac:dyDescent="0.2">
      <c r="A702" s="289">
        <v>891780111</v>
      </c>
      <c r="B702" s="289" t="s">
        <v>54</v>
      </c>
      <c r="C702" s="290" t="s">
        <v>56</v>
      </c>
      <c r="D702" s="289" t="s">
        <v>60</v>
      </c>
      <c r="E702" s="290" t="s">
        <v>9006</v>
      </c>
      <c r="F702" s="289" t="s">
        <v>61</v>
      </c>
      <c r="G702" s="85" t="s">
        <v>63</v>
      </c>
      <c r="H702" s="85" t="s">
        <v>73</v>
      </c>
      <c r="I702" s="237">
        <v>17000000</v>
      </c>
      <c r="J702" s="290"/>
      <c r="K702" s="291"/>
      <c r="L702" s="291"/>
      <c r="M702" s="292">
        <f t="shared" si="30"/>
        <v>17000000</v>
      </c>
      <c r="N702" s="85">
        <v>1082977841</v>
      </c>
      <c r="O702" s="85" t="s">
        <v>7282</v>
      </c>
      <c r="P702" s="85" t="s">
        <v>9007</v>
      </c>
      <c r="Q702" s="309">
        <f t="shared" si="36"/>
        <v>45114</v>
      </c>
      <c r="R702" s="309">
        <f t="shared" si="36"/>
        <v>45114</v>
      </c>
      <c r="S702" s="309">
        <f t="shared" si="34"/>
        <v>45260</v>
      </c>
      <c r="T702" s="293"/>
      <c r="U702" s="293"/>
      <c r="V702" s="293"/>
      <c r="W702" s="294"/>
      <c r="X702" s="237">
        <f>VLOOKUP(N702,[9]Pagos!$C$2:$D$353,2,FALSE)</f>
        <v>3400000</v>
      </c>
      <c r="Y702" s="295">
        <f t="shared" si="31"/>
        <v>13600000</v>
      </c>
      <c r="Z702" s="296">
        <f t="shared" si="32"/>
        <v>0.2</v>
      </c>
      <c r="AA702" s="85">
        <v>85460304</v>
      </c>
      <c r="AB702" s="85" t="s">
        <v>7284</v>
      </c>
      <c r="AC702" s="290" t="s">
        <v>196</v>
      </c>
      <c r="AD702" s="290" t="s">
        <v>196</v>
      </c>
      <c r="AE702" s="303"/>
      <c r="AF702" s="310" t="str">
        <f>VLOOKUP(E702,[10]Hoja1!$D$3:$E$327,2,FALSE)</f>
        <v>https://community.secop.gov.co/Public/Tendering/OpportunityDetail/Index?noticeUID=CO1.NTC.4724789&amp;isFromPublicArea=True&amp;isModal=true&amp;asPopupView=true</v>
      </c>
      <c r="AG702" s="290" t="s">
        <v>192</v>
      </c>
      <c r="AH702" s="290" t="s">
        <v>192</v>
      </c>
    </row>
    <row r="703" spans="1:34" s="297" customFormat="1" ht="15" customHeight="1" x14ac:dyDescent="0.2">
      <c r="A703" s="289">
        <v>891780111</v>
      </c>
      <c r="B703" s="289" t="s">
        <v>54</v>
      </c>
      <c r="C703" s="290" t="s">
        <v>56</v>
      </c>
      <c r="D703" s="289" t="s">
        <v>60</v>
      </c>
      <c r="E703" s="290" t="s">
        <v>9008</v>
      </c>
      <c r="F703" s="289" t="s">
        <v>61</v>
      </c>
      <c r="G703" s="85" t="s">
        <v>63</v>
      </c>
      <c r="H703" s="85" t="s">
        <v>73</v>
      </c>
      <c r="I703" s="237">
        <v>17000000</v>
      </c>
      <c r="J703" s="290"/>
      <c r="K703" s="291"/>
      <c r="L703" s="291"/>
      <c r="M703" s="292">
        <f t="shared" si="30"/>
        <v>17000000</v>
      </c>
      <c r="N703" s="85">
        <v>1004370372</v>
      </c>
      <c r="O703" s="85" t="s">
        <v>7303</v>
      </c>
      <c r="P703" s="85" t="s">
        <v>9009</v>
      </c>
      <c r="Q703" s="309">
        <f t="shared" si="36"/>
        <v>45114</v>
      </c>
      <c r="R703" s="309">
        <f t="shared" si="36"/>
        <v>45114</v>
      </c>
      <c r="S703" s="309">
        <f t="shared" si="34"/>
        <v>45260</v>
      </c>
      <c r="T703" s="293"/>
      <c r="U703" s="293"/>
      <c r="V703" s="293"/>
      <c r="W703" s="294"/>
      <c r="X703" s="237">
        <f>VLOOKUP(N703,[9]Pagos!$C$2:$D$353,2,FALSE)</f>
        <v>3400000</v>
      </c>
      <c r="Y703" s="295">
        <f t="shared" si="31"/>
        <v>13600000</v>
      </c>
      <c r="Z703" s="296">
        <f t="shared" si="32"/>
        <v>0.2</v>
      </c>
      <c r="AA703" s="85">
        <v>85460304</v>
      </c>
      <c r="AB703" s="85" t="s">
        <v>7284</v>
      </c>
      <c r="AC703" s="290" t="s">
        <v>196</v>
      </c>
      <c r="AD703" s="290" t="s">
        <v>196</v>
      </c>
      <c r="AE703" s="303"/>
      <c r="AF703" s="310" t="str">
        <f>VLOOKUP(E703,[10]Hoja1!$D$3:$E$327,2,FALSE)</f>
        <v>https://community.secop.gov.co/Public/Tendering/OpportunityDetail/Index?noticeUID=CO1.NTC.4724691&amp;isFromPublicArea=True&amp;isModal=true&amp;asPopupView=true</v>
      </c>
      <c r="AG703" s="290" t="s">
        <v>192</v>
      </c>
      <c r="AH703" s="290" t="s">
        <v>192</v>
      </c>
    </row>
    <row r="704" spans="1:34" s="297" customFormat="1" ht="15" customHeight="1" x14ac:dyDescent="0.2">
      <c r="A704" s="289">
        <v>891780111</v>
      </c>
      <c r="B704" s="289" t="s">
        <v>54</v>
      </c>
      <c r="C704" s="290" t="s">
        <v>56</v>
      </c>
      <c r="D704" s="289" t="s">
        <v>60</v>
      </c>
      <c r="E704" s="290" t="s">
        <v>9010</v>
      </c>
      <c r="F704" s="289" t="s">
        <v>61</v>
      </c>
      <c r="G704" s="85" t="s">
        <v>63</v>
      </c>
      <c r="H704" s="85" t="s">
        <v>73</v>
      </c>
      <c r="I704" s="237">
        <v>17000000</v>
      </c>
      <c r="J704" s="290"/>
      <c r="K704" s="291"/>
      <c r="L704" s="291"/>
      <c r="M704" s="292">
        <f t="shared" si="30"/>
        <v>17000000</v>
      </c>
      <c r="N704" s="85">
        <v>1083017290</v>
      </c>
      <c r="O704" s="85" t="s">
        <v>1058</v>
      </c>
      <c r="P704" s="85" t="s">
        <v>9011</v>
      </c>
      <c r="Q704" s="309">
        <f t="shared" si="36"/>
        <v>45114</v>
      </c>
      <c r="R704" s="309">
        <f t="shared" si="36"/>
        <v>45114</v>
      </c>
      <c r="S704" s="309">
        <f t="shared" si="34"/>
        <v>45260</v>
      </c>
      <c r="T704" s="293"/>
      <c r="U704" s="293"/>
      <c r="V704" s="293"/>
      <c r="W704" s="294"/>
      <c r="X704" s="237">
        <f>VLOOKUP(N704,[9]Pagos!$C$2:$D$353,2,FALSE)</f>
        <v>3400000</v>
      </c>
      <c r="Y704" s="295">
        <f t="shared" si="31"/>
        <v>13600000</v>
      </c>
      <c r="Z704" s="296">
        <f t="shared" si="32"/>
        <v>0.2</v>
      </c>
      <c r="AA704" s="85">
        <v>7632607</v>
      </c>
      <c r="AB704" s="85" t="s">
        <v>9012</v>
      </c>
      <c r="AC704" s="290" t="s">
        <v>196</v>
      </c>
      <c r="AD704" s="290" t="s">
        <v>196</v>
      </c>
      <c r="AE704" s="303"/>
      <c r="AF704" s="310" t="str">
        <f>VLOOKUP(E704,[10]Hoja1!$D$3:$E$327,2,FALSE)</f>
        <v>https://community.secop.gov.co/Public/Tendering/OpportunityDetail/Index?noticeUID=CO1.NTC.4724695&amp;isFromPublicArea=True&amp;isModal=true&amp;asPopupView=true</v>
      </c>
      <c r="AG704" s="290" t="s">
        <v>192</v>
      </c>
      <c r="AH704" s="290" t="s">
        <v>192</v>
      </c>
    </row>
    <row r="705" spans="1:34" s="297" customFormat="1" ht="15" customHeight="1" x14ac:dyDescent="0.2">
      <c r="A705" s="289">
        <v>891780111</v>
      </c>
      <c r="B705" s="289" t="s">
        <v>54</v>
      </c>
      <c r="C705" s="290" t="s">
        <v>56</v>
      </c>
      <c r="D705" s="289" t="s">
        <v>60</v>
      </c>
      <c r="E705" s="290" t="s">
        <v>9013</v>
      </c>
      <c r="F705" s="289" t="s">
        <v>61</v>
      </c>
      <c r="G705" s="85" t="s">
        <v>63</v>
      </c>
      <c r="H705" s="85" t="s">
        <v>73</v>
      </c>
      <c r="I705" s="237">
        <v>14000000</v>
      </c>
      <c r="J705" s="290"/>
      <c r="K705" s="291"/>
      <c r="L705" s="291"/>
      <c r="M705" s="292">
        <f t="shared" si="30"/>
        <v>14000000</v>
      </c>
      <c r="N705" s="85">
        <v>1064804291</v>
      </c>
      <c r="O705" s="85" t="s">
        <v>7098</v>
      </c>
      <c r="P705" s="85" t="s">
        <v>9014</v>
      </c>
      <c r="Q705" s="309">
        <f t="shared" si="36"/>
        <v>45114</v>
      </c>
      <c r="R705" s="309">
        <f t="shared" si="36"/>
        <v>45114</v>
      </c>
      <c r="S705" s="309">
        <f t="shared" si="34"/>
        <v>45260</v>
      </c>
      <c r="T705" s="293"/>
      <c r="U705" s="293"/>
      <c r="V705" s="293"/>
      <c r="W705" s="294"/>
      <c r="X705" s="237">
        <f>VLOOKUP(N705,[9]Pagos!$C$2:$D$353,2,FALSE)</f>
        <v>2800000</v>
      </c>
      <c r="Y705" s="295">
        <f t="shared" si="31"/>
        <v>11200000</v>
      </c>
      <c r="Z705" s="296">
        <f t="shared" si="32"/>
        <v>0.2</v>
      </c>
      <c r="AA705" s="85">
        <v>85152695</v>
      </c>
      <c r="AB705" s="85" t="s">
        <v>8965</v>
      </c>
      <c r="AC705" s="290" t="s">
        <v>196</v>
      </c>
      <c r="AD705" s="290" t="s">
        <v>196</v>
      </c>
      <c r="AE705" s="303"/>
      <c r="AF705" s="310" t="str">
        <f>VLOOKUP(E705,[10]Hoja1!$D$3:$E$327,2,FALSE)</f>
        <v>https://community.secop.gov.co/Public/Tendering/OpportunityDetail/Index?noticeUID=CO1.NTC.4727701&amp;isFromPublicArea=True&amp;isModal=true&amp;asPopupView=true</v>
      </c>
      <c r="AG705" s="290" t="s">
        <v>192</v>
      </c>
      <c r="AH705" s="290" t="s">
        <v>192</v>
      </c>
    </row>
    <row r="706" spans="1:34" s="297" customFormat="1" ht="15" customHeight="1" x14ac:dyDescent="0.2">
      <c r="A706" s="289">
        <v>891780111</v>
      </c>
      <c r="B706" s="289" t="s">
        <v>54</v>
      </c>
      <c r="C706" s="290" t="s">
        <v>56</v>
      </c>
      <c r="D706" s="289" t="s">
        <v>60</v>
      </c>
      <c r="E706" s="290" t="s">
        <v>9015</v>
      </c>
      <c r="F706" s="289" t="s">
        <v>61</v>
      </c>
      <c r="G706" s="85" t="s">
        <v>63</v>
      </c>
      <c r="H706" s="85" t="s">
        <v>73</v>
      </c>
      <c r="I706" s="237">
        <v>17000000</v>
      </c>
      <c r="J706" s="290"/>
      <c r="K706" s="291"/>
      <c r="L706" s="291"/>
      <c r="M706" s="292">
        <f t="shared" si="30"/>
        <v>17000000</v>
      </c>
      <c r="N706" s="85">
        <v>1082964829</v>
      </c>
      <c r="O706" s="85" t="s">
        <v>6982</v>
      </c>
      <c r="P706" s="85" t="s">
        <v>9016</v>
      </c>
      <c r="Q706" s="309">
        <f t="shared" si="36"/>
        <v>45114</v>
      </c>
      <c r="R706" s="309">
        <f t="shared" si="36"/>
        <v>45114</v>
      </c>
      <c r="S706" s="309">
        <f t="shared" si="34"/>
        <v>45260</v>
      </c>
      <c r="T706" s="293"/>
      <c r="U706" s="293"/>
      <c r="V706" s="293"/>
      <c r="W706" s="294"/>
      <c r="X706" s="237">
        <f>VLOOKUP(N706,[9]Pagos!$C$2:$D$353,2,FALSE)</f>
        <v>3400000</v>
      </c>
      <c r="Y706" s="295">
        <f t="shared" si="31"/>
        <v>13600000</v>
      </c>
      <c r="Z706" s="296">
        <f t="shared" si="32"/>
        <v>0.2</v>
      </c>
      <c r="AA706" s="85">
        <v>85152695</v>
      </c>
      <c r="AB706" s="85" t="s">
        <v>8965</v>
      </c>
      <c r="AC706" s="290" t="s">
        <v>196</v>
      </c>
      <c r="AD706" s="290" t="s">
        <v>196</v>
      </c>
      <c r="AE706" s="303"/>
      <c r="AF706" s="310" t="str">
        <f>VLOOKUP(E706,[10]Hoja1!$D$3:$E$327,2,FALSE)</f>
        <v>https://community.secop.gov.co/Public/Tendering/OpportunityDetail/Index?noticeUID=CO1.NTC.4724697&amp;isFromPublicArea=True&amp;isModal=true&amp;asPopupView=true</v>
      </c>
      <c r="AG706" s="290" t="s">
        <v>192</v>
      </c>
      <c r="AH706" s="290" t="s">
        <v>192</v>
      </c>
    </row>
    <row r="707" spans="1:34" s="297" customFormat="1" ht="15" customHeight="1" x14ac:dyDescent="0.2">
      <c r="A707" s="289">
        <v>891780111</v>
      </c>
      <c r="B707" s="289" t="s">
        <v>54</v>
      </c>
      <c r="C707" s="290" t="s">
        <v>56</v>
      </c>
      <c r="D707" s="289" t="s">
        <v>60</v>
      </c>
      <c r="E707" s="290" t="s">
        <v>9017</v>
      </c>
      <c r="F707" s="289" t="s">
        <v>61</v>
      </c>
      <c r="G707" s="85" t="s">
        <v>63</v>
      </c>
      <c r="H707" s="85" t="s">
        <v>73</v>
      </c>
      <c r="I707" s="237">
        <v>15500000</v>
      </c>
      <c r="J707" s="290"/>
      <c r="K707" s="291"/>
      <c r="L707" s="291"/>
      <c r="M707" s="292">
        <f t="shared" si="30"/>
        <v>15500000</v>
      </c>
      <c r="N707" s="85">
        <v>1004369176</v>
      </c>
      <c r="O707" s="85" t="s">
        <v>6753</v>
      </c>
      <c r="P707" s="85" t="s">
        <v>9018</v>
      </c>
      <c r="Q707" s="309">
        <f t="shared" si="36"/>
        <v>45114</v>
      </c>
      <c r="R707" s="309">
        <f t="shared" si="36"/>
        <v>45114</v>
      </c>
      <c r="S707" s="309">
        <f t="shared" si="34"/>
        <v>45260</v>
      </c>
      <c r="T707" s="293"/>
      <c r="U707" s="293"/>
      <c r="V707" s="293"/>
      <c r="W707" s="294"/>
      <c r="X707" s="237">
        <f>VLOOKUP(N707,[9]Pagos!$C$2:$D$353,2,FALSE)</f>
        <v>3100000</v>
      </c>
      <c r="Y707" s="295">
        <f t="shared" si="31"/>
        <v>12400000</v>
      </c>
      <c r="Z707" s="296">
        <f t="shared" si="32"/>
        <v>0.2</v>
      </c>
      <c r="AA707" s="85">
        <v>85449357</v>
      </c>
      <c r="AB707" s="85" t="s">
        <v>2417</v>
      </c>
      <c r="AC707" s="290" t="s">
        <v>196</v>
      </c>
      <c r="AD707" s="290" t="s">
        <v>196</v>
      </c>
      <c r="AE707" s="303"/>
      <c r="AF707" s="310" t="str">
        <f>VLOOKUP(E707,[10]Hoja1!$D$3:$E$327,2,FALSE)</f>
        <v>https://community.secop.gov.co/Public/Tendering/OpportunityDetail/Index?noticeUID=CO1.NTC.4725036&amp;isFromPublicArea=True&amp;isModal=true&amp;asPopupView=true</v>
      </c>
      <c r="AG707" s="290" t="s">
        <v>192</v>
      </c>
      <c r="AH707" s="290" t="s">
        <v>192</v>
      </c>
    </row>
    <row r="708" spans="1:34" s="297" customFormat="1" ht="15" customHeight="1" x14ac:dyDescent="0.2">
      <c r="A708" s="289">
        <v>891780111</v>
      </c>
      <c r="B708" s="289" t="s">
        <v>54</v>
      </c>
      <c r="C708" s="290" t="s">
        <v>56</v>
      </c>
      <c r="D708" s="289" t="s">
        <v>60</v>
      </c>
      <c r="E708" s="290" t="s">
        <v>9019</v>
      </c>
      <c r="F708" s="289" t="s">
        <v>61</v>
      </c>
      <c r="G708" s="85" t="s">
        <v>63</v>
      </c>
      <c r="H708" s="85" t="s">
        <v>73</v>
      </c>
      <c r="I708" s="237">
        <v>9500000</v>
      </c>
      <c r="J708" s="290"/>
      <c r="K708" s="291"/>
      <c r="L708" s="291"/>
      <c r="M708" s="292">
        <f t="shared" si="30"/>
        <v>9500000</v>
      </c>
      <c r="N708" s="85">
        <v>1007934124</v>
      </c>
      <c r="O708" s="85" t="s">
        <v>8735</v>
      </c>
      <c r="P708" s="85" t="s">
        <v>9020</v>
      </c>
      <c r="Q708" s="309">
        <f t="shared" si="36"/>
        <v>45114</v>
      </c>
      <c r="R708" s="309">
        <f t="shared" si="36"/>
        <v>45114</v>
      </c>
      <c r="S708" s="309">
        <f t="shared" si="34"/>
        <v>45260</v>
      </c>
      <c r="T708" s="293"/>
      <c r="U708" s="293"/>
      <c r="V708" s="293"/>
      <c r="W708" s="294"/>
      <c r="X708" s="237">
        <f>VLOOKUP(N708,[9]Pagos!$C$2:$D$353,2,FALSE)</f>
        <v>1900000</v>
      </c>
      <c r="Y708" s="295">
        <f t="shared" si="31"/>
        <v>7600000</v>
      </c>
      <c r="Z708" s="296">
        <f t="shared" si="32"/>
        <v>0.2</v>
      </c>
      <c r="AA708" s="85">
        <v>85459497</v>
      </c>
      <c r="AB708" s="85" t="s">
        <v>4837</v>
      </c>
      <c r="AC708" s="290" t="s">
        <v>196</v>
      </c>
      <c r="AD708" s="290" t="s">
        <v>196</v>
      </c>
      <c r="AE708" s="303"/>
      <c r="AF708" s="310" t="str">
        <f>VLOOKUP(E708,[10]Hoja1!$D$3:$E$327,2,FALSE)</f>
        <v>https://community.secop.gov.co/Public/Tendering/OpportunityDetail/Index?noticeUID=CO1.NTC.4725113&amp;isFromPublicArea=True&amp;isModal=true&amp;asPopupView=true</v>
      </c>
      <c r="AG708" s="290" t="s">
        <v>192</v>
      </c>
      <c r="AH708" s="290" t="s">
        <v>192</v>
      </c>
    </row>
    <row r="709" spans="1:34" s="297" customFormat="1" ht="15" customHeight="1" x14ac:dyDescent="0.2">
      <c r="A709" s="289">
        <v>891780111</v>
      </c>
      <c r="B709" s="289" t="s">
        <v>54</v>
      </c>
      <c r="C709" s="290" t="s">
        <v>56</v>
      </c>
      <c r="D709" s="289" t="s">
        <v>60</v>
      </c>
      <c r="E709" s="290" t="s">
        <v>9021</v>
      </c>
      <c r="F709" s="289" t="s">
        <v>61</v>
      </c>
      <c r="G709" s="85" t="s">
        <v>63</v>
      </c>
      <c r="H709" s="85" t="s">
        <v>73</v>
      </c>
      <c r="I709" s="237">
        <v>9500000</v>
      </c>
      <c r="J709" s="290"/>
      <c r="K709" s="291"/>
      <c r="L709" s="291"/>
      <c r="M709" s="292">
        <f t="shared" ref="M709:M772" si="37">I709+K709-L709</f>
        <v>9500000</v>
      </c>
      <c r="N709" s="85">
        <v>7631755</v>
      </c>
      <c r="O709" s="85" t="s">
        <v>6588</v>
      </c>
      <c r="P709" s="85" t="s">
        <v>9022</v>
      </c>
      <c r="Q709" s="309">
        <f t="shared" ref="Q709:R731" si="38">DATE(2023,7,7)</f>
        <v>45114</v>
      </c>
      <c r="R709" s="309">
        <f t="shared" si="38"/>
        <v>45114</v>
      </c>
      <c r="S709" s="309">
        <f t="shared" si="34"/>
        <v>45260</v>
      </c>
      <c r="T709" s="293"/>
      <c r="U709" s="293"/>
      <c r="V709" s="293"/>
      <c r="W709" s="294"/>
      <c r="X709" s="237">
        <f>VLOOKUP(N709,[9]Pagos!$C$2:$D$353,2,FALSE)</f>
        <v>1900000</v>
      </c>
      <c r="Y709" s="295">
        <f t="shared" ref="Y709:Y772" si="39">M709-X709</f>
        <v>7600000</v>
      </c>
      <c r="Z709" s="296">
        <f t="shared" ref="Z709:Z772" si="40">+(X709/M709)</f>
        <v>0.2</v>
      </c>
      <c r="AA709" s="85">
        <v>85459497</v>
      </c>
      <c r="AB709" s="85" t="s">
        <v>4837</v>
      </c>
      <c r="AC709" s="290" t="s">
        <v>196</v>
      </c>
      <c r="AD709" s="290" t="s">
        <v>196</v>
      </c>
      <c r="AE709" s="303"/>
      <c r="AF709" s="310" t="str">
        <f>VLOOKUP(E709,[10]Hoja1!$D$3:$E$327,2,FALSE)</f>
        <v>https://community.secop.gov.co/Public/Tendering/OpportunityDetail/Index?noticeUID=CO1.NTC.4725116&amp;isFromPublicArea=True&amp;isModal=true&amp;asPopupView=true</v>
      </c>
      <c r="AG709" s="290" t="s">
        <v>192</v>
      </c>
      <c r="AH709" s="290" t="s">
        <v>192</v>
      </c>
    </row>
    <row r="710" spans="1:34" s="297" customFormat="1" ht="15" customHeight="1" x14ac:dyDescent="0.2">
      <c r="A710" s="289">
        <v>891780111</v>
      </c>
      <c r="B710" s="289" t="s">
        <v>54</v>
      </c>
      <c r="C710" s="290" t="s">
        <v>56</v>
      </c>
      <c r="D710" s="289" t="s">
        <v>60</v>
      </c>
      <c r="E710" s="290" t="s">
        <v>9023</v>
      </c>
      <c r="F710" s="289" t="s">
        <v>61</v>
      </c>
      <c r="G710" s="85" t="s">
        <v>63</v>
      </c>
      <c r="H710" s="85" t="s">
        <v>73</v>
      </c>
      <c r="I710" s="237">
        <v>9500000</v>
      </c>
      <c r="J710" s="290"/>
      <c r="K710" s="291"/>
      <c r="L710" s="291"/>
      <c r="M710" s="292">
        <f t="shared" si="37"/>
        <v>9500000</v>
      </c>
      <c r="N710" s="85">
        <v>85466757</v>
      </c>
      <c r="O710" s="85" t="s">
        <v>6585</v>
      </c>
      <c r="P710" s="85" t="s">
        <v>9022</v>
      </c>
      <c r="Q710" s="309">
        <f t="shared" si="38"/>
        <v>45114</v>
      </c>
      <c r="R710" s="309">
        <f t="shared" si="38"/>
        <v>45114</v>
      </c>
      <c r="S710" s="309">
        <f t="shared" si="34"/>
        <v>45260</v>
      </c>
      <c r="T710" s="293"/>
      <c r="U710" s="293"/>
      <c r="V710" s="293"/>
      <c r="W710" s="294"/>
      <c r="X710" s="237">
        <f>VLOOKUP(N710,[9]Pagos!$C$2:$D$353,2,FALSE)</f>
        <v>1900000</v>
      </c>
      <c r="Y710" s="295">
        <f t="shared" si="39"/>
        <v>7600000</v>
      </c>
      <c r="Z710" s="296">
        <f t="shared" si="40"/>
        <v>0.2</v>
      </c>
      <c r="AA710" s="85">
        <v>85459497</v>
      </c>
      <c r="AB710" s="85" t="s">
        <v>4837</v>
      </c>
      <c r="AC710" s="290" t="s">
        <v>196</v>
      </c>
      <c r="AD710" s="290" t="s">
        <v>196</v>
      </c>
      <c r="AE710" s="303"/>
      <c r="AF710" s="310" t="str">
        <f>VLOOKUP(E710,[10]Hoja1!$D$3:$E$327,2,FALSE)</f>
        <v>https://community.secop.gov.co/Public/Tendering/OpportunityDetail/Index?noticeUID=CO1.NTC.4725040&amp;isFromPublicArea=True&amp;isModal=true&amp;asPopupView=true</v>
      </c>
      <c r="AG710" s="290" t="s">
        <v>192</v>
      </c>
      <c r="AH710" s="290" t="s">
        <v>192</v>
      </c>
    </row>
    <row r="711" spans="1:34" s="297" customFormat="1" ht="15" customHeight="1" x14ac:dyDescent="0.2">
      <c r="A711" s="289">
        <v>891780111</v>
      </c>
      <c r="B711" s="289" t="s">
        <v>54</v>
      </c>
      <c r="C711" s="290" t="s">
        <v>56</v>
      </c>
      <c r="D711" s="289" t="s">
        <v>60</v>
      </c>
      <c r="E711" s="290" t="s">
        <v>9024</v>
      </c>
      <c r="F711" s="289" t="s">
        <v>61</v>
      </c>
      <c r="G711" s="85" t="s">
        <v>63</v>
      </c>
      <c r="H711" s="85" t="s">
        <v>73</v>
      </c>
      <c r="I711" s="237">
        <v>15500000</v>
      </c>
      <c r="J711" s="290"/>
      <c r="K711" s="291"/>
      <c r="L711" s="291"/>
      <c r="M711" s="292">
        <f t="shared" si="37"/>
        <v>15500000</v>
      </c>
      <c r="N711" s="85">
        <v>7634651</v>
      </c>
      <c r="O711" s="85" t="s">
        <v>6693</v>
      </c>
      <c r="P711" s="85" t="s">
        <v>9025</v>
      </c>
      <c r="Q711" s="309">
        <f t="shared" si="38"/>
        <v>45114</v>
      </c>
      <c r="R711" s="309">
        <f t="shared" si="38"/>
        <v>45114</v>
      </c>
      <c r="S711" s="309">
        <f t="shared" si="34"/>
        <v>45260</v>
      </c>
      <c r="T711" s="293"/>
      <c r="U711" s="293"/>
      <c r="V711" s="293"/>
      <c r="W711" s="294"/>
      <c r="X711" s="237">
        <f>VLOOKUP(N711,[9]Pagos!$C$2:$D$353,2,FALSE)</f>
        <v>3100000</v>
      </c>
      <c r="Y711" s="295">
        <f t="shared" si="39"/>
        <v>12400000</v>
      </c>
      <c r="Z711" s="296">
        <f t="shared" si="40"/>
        <v>0.2</v>
      </c>
      <c r="AA711" s="85">
        <v>85459497</v>
      </c>
      <c r="AB711" s="85" t="s">
        <v>4837</v>
      </c>
      <c r="AC711" s="290" t="s">
        <v>196</v>
      </c>
      <c r="AD711" s="290" t="s">
        <v>196</v>
      </c>
      <c r="AE711" s="303"/>
      <c r="AF711" s="310" t="str">
        <f>VLOOKUP(E711,[10]Hoja1!$D$3:$E$327,2,FALSE)</f>
        <v>https://community.secop.gov.co/Public/Tendering/OpportunityDetail/Index?noticeUID=CO1.NTC.4725221&amp;isFromPublicArea=True&amp;isModal=true&amp;asPopupView=true</v>
      </c>
      <c r="AG711" s="290" t="s">
        <v>192</v>
      </c>
      <c r="AH711" s="290" t="s">
        <v>192</v>
      </c>
    </row>
    <row r="712" spans="1:34" s="297" customFormat="1" ht="15" customHeight="1" x14ac:dyDescent="0.2">
      <c r="A712" s="289">
        <v>891780111</v>
      </c>
      <c r="B712" s="289" t="s">
        <v>54</v>
      </c>
      <c r="C712" s="290" t="s">
        <v>56</v>
      </c>
      <c r="D712" s="289" t="s">
        <v>60</v>
      </c>
      <c r="E712" s="290" t="s">
        <v>9026</v>
      </c>
      <c r="F712" s="289" t="s">
        <v>61</v>
      </c>
      <c r="G712" s="85" t="s">
        <v>63</v>
      </c>
      <c r="H712" s="85" t="s">
        <v>73</v>
      </c>
      <c r="I712" s="237">
        <v>9500000</v>
      </c>
      <c r="J712" s="290"/>
      <c r="K712" s="291"/>
      <c r="L712" s="291"/>
      <c r="M712" s="292">
        <f t="shared" si="37"/>
        <v>9500000</v>
      </c>
      <c r="N712" s="85">
        <v>85153213</v>
      </c>
      <c r="O712" s="85" t="s">
        <v>6991</v>
      </c>
      <c r="P712" s="85" t="s">
        <v>9022</v>
      </c>
      <c r="Q712" s="309">
        <f t="shared" si="38"/>
        <v>45114</v>
      </c>
      <c r="R712" s="309">
        <f t="shared" si="38"/>
        <v>45114</v>
      </c>
      <c r="S712" s="309">
        <f t="shared" si="34"/>
        <v>45260</v>
      </c>
      <c r="T712" s="293"/>
      <c r="U712" s="293"/>
      <c r="V712" s="293"/>
      <c r="W712" s="294"/>
      <c r="X712" s="237">
        <f>VLOOKUP(N712,[9]Pagos!$C$2:$D$353,2,FALSE)</f>
        <v>1900000</v>
      </c>
      <c r="Y712" s="295">
        <f t="shared" si="39"/>
        <v>7600000</v>
      </c>
      <c r="Z712" s="296">
        <f t="shared" si="40"/>
        <v>0.2</v>
      </c>
      <c r="AA712" s="85">
        <v>85459497</v>
      </c>
      <c r="AB712" s="85" t="s">
        <v>4837</v>
      </c>
      <c r="AC712" s="290" t="s">
        <v>196</v>
      </c>
      <c r="AD712" s="290" t="s">
        <v>196</v>
      </c>
      <c r="AE712" s="303"/>
      <c r="AF712" s="310" t="str">
        <f>VLOOKUP(E712,[10]Hoja1!$D$3:$E$327,2,FALSE)</f>
        <v>https://community.secop.gov.co/Public/Tendering/OpportunityDetail/Index?noticeUID=CO1.NTC.4726523&amp;isFromPublicArea=True&amp;isModal=true&amp;asPopupView=true</v>
      </c>
      <c r="AG712" s="290" t="s">
        <v>192</v>
      </c>
      <c r="AH712" s="290" t="s">
        <v>192</v>
      </c>
    </row>
    <row r="713" spans="1:34" s="297" customFormat="1" ht="15" customHeight="1" x14ac:dyDescent="0.2">
      <c r="A713" s="289">
        <v>891780111</v>
      </c>
      <c r="B713" s="289" t="s">
        <v>54</v>
      </c>
      <c r="C713" s="290" t="s">
        <v>56</v>
      </c>
      <c r="D713" s="289" t="s">
        <v>60</v>
      </c>
      <c r="E713" s="290" t="s">
        <v>9027</v>
      </c>
      <c r="F713" s="289" t="s">
        <v>61</v>
      </c>
      <c r="G713" s="85" t="s">
        <v>63</v>
      </c>
      <c r="H713" s="85" t="s">
        <v>73</v>
      </c>
      <c r="I713" s="237">
        <v>9500000</v>
      </c>
      <c r="J713" s="290"/>
      <c r="K713" s="291"/>
      <c r="L713" s="291"/>
      <c r="M713" s="292">
        <f t="shared" si="37"/>
        <v>9500000</v>
      </c>
      <c r="N713" s="85">
        <v>19617471</v>
      </c>
      <c r="O713" s="85" t="s">
        <v>7390</v>
      </c>
      <c r="P713" s="85" t="s">
        <v>9028</v>
      </c>
      <c r="Q713" s="309">
        <f t="shared" si="38"/>
        <v>45114</v>
      </c>
      <c r="R713" s="309">
        <f t="shared" si="38"/>
        <v>45114</v>
      </c>
      <c r="S713" s="309">
        <f t="shared" si="34"/>
        <v>45260</v>
      </c>
      <c r="T713" s="293"/>
      <c r="U713" s="293"/>
      <c r="V713" s="293"/>
      <c r="W713" s="294"/>
      <c r="X713" s="237">
        <f>VLOOKUP(N713,[9]Pagos!$C$2:$D$353,2,FALSE)</f>
        <v>1900000</v>
      </c>
      <c r="Y713" s="295">
        <f t="shared" si="39"/>
        <v>7600000</v>
      </c>
      <c r="Z713" s="296">
        <f t="shared" si="40"/>
        <v>0.2</v>
      </c>
      <c r="AA713" s="85">
        <v>85459497</v>
      </c>
      <c r="AB713" s="85" t="s">
        <v>4837</v>
      </c>
      <c r="AC713" s="290" t="s">
        <v>196</v>
      </c>
      <c r="AD713" s="290" t="s">
        <v>196</v>
      </c>
      <c r="AE713" s="303"/>
      <c r="AF713" s="310" t="e">
        <f>VLOOKUP(E713,[10]Hoja1!$D$3:$E$327,2,FALSE)</f>
        <v>#N/A</v>
      </c>
      <c r="AG713" s="290" t="s">
        <v>192</v>
      </c>
      <c r="AH713" s="290" t="s">
        <v>192</v>
      </c>
    </row>
    <row r="714" spans="1:34" s="297" customFormat="1" ht="15" customHeight="1" x14ac:dyDescent="0.2">
      <c r="A714" s="289">
        <v>891780111</v>
      </c>
      <c r="B714" s="289" t="s">
        <v>54</v>
      </c>
      <c r="C714" s="290" t="s">
        <v>56</v>
      </c>
      <c r="D714" s="289" t="s">
        <v>60</v>
      </c>
      <c r="E714" s="290" t="s">
        <v>9029</v>
      </c>
      <c r="F714" s="289" t="s">
        <v>61</v>
      </c>
      <c r="G714" s="85" t="s">
        <v>63</v>
      </c>
      <c r="H714" s="85" t="s">
        <v>73</v>
      </c>
      <c r="I714" s="237">
        <v>9500000</v>
      </c>
      <c r="J714" s="290"/>
      <c r="K714" s="291"/>
      <c r="L714" s="291"/>
      <c r="M714" s="292">
        <f t="shared" si="37"/>
        <v>9500000</v>
      </c>
      <c r="N714" s="85">
        <v>19612853</v>
      </c>
      <c r="O714" s="85" t="s">
        <v>7725</v>
      </c>
      <c r="P714" s="85" t="s">
        <v>9022</v>
      </c>
      <c r="Q714" s="309">
        <f t="shared" si="38"/>
        <v>45114</v>
      </c>
      <c r="R714" s="309">
        <f t="shared" si="38"/>
        <v>45114</v>
      </c>
      <c r="S714" s="309">
        <f t="shared" si="34"/>
        <v>45260</v>
      </c>
      <c r="T714" s="293"/>
      <c r="U714" s="293"/>
      <c r="V714" s="293"/>
      <c r="W714" s="294"/>
      <c r="X714" s="237">
        <f>VLOOKUP(N714,[9]Pagos!$C$2:$D$353,2,FALSE)</f>
        <v>1900000</v>
      </c>
      <c r="Y714" s="295">
        <f t="shared" si="39"/>
        <v>7600000</v>
      </c>
      <c r="Z714" s="296">
        <f t="shared" si="40"/>
        <v>0.2</v>
      </c>
      <c r="AA714" s="85">
        <v>85459497</v>
      </c>
      <c r="AB714" s="85" t="s">
        <v>4837</v>
      </c>
      <c r="AC714" s="290" t="s">
        <v>196</v>
      </c>
      <c r="AD714" s="290" t="s">
        <v>196</v>
      </c>
      <c r="AE714" s="303"/>
      <c r="AF714" s="310" t="str">
        <f>VLOOKUP(E714,[10]Hoja1!$D$3:$E$327,2,FALSE)</f>
        <v>https://community.secop.gov.co/Public/Tendering/OpportunityDetail/Index?noticeUID=CO1.NTC.4727209&amp;isFromPublicArea=True&amp;isModal=true&amp;asPopupView=true</v>
      </c>
      <c r="AG714" s="290" t="s">
        <v>192</v>
      </c>
      <c r="AH714" s="290" t="s">
        <v>192</v>
      </c>
    </row>
    <row r="715" spans="1:34" s="297" customFormat="1" ht="15" customHeight="1" x14ac:dyDescent="0.2">
      <c r="A715" s="289">
        <v>891780111</v>
      </c>
      <c r="B715" s="289" t="s">
        <v>54</v>
      </c>
      <c r="C715" s="290" t="s">
        <v>56</v>
      </c>
      <c r="D715" s="289" t="s">
        <v>60</v>
      </c>
      <c r="E715" s="290" t="s">
        <v>9030</v>
      </c>
      <c r="F715" s="289" t="s">
        <v>61</v>
      </c>
      <c r="G715" s="85" t="s">
        <v>63</v>
      </c>
      <c r="H715" s="85" t="s">
        <v>73</v>
      </c>
      <c r="I715" s="237">
        <v>9500000</v>
      </c>
      <c r="J715" s="290"/>
      <c r="K715" s="291"/>
      <c r="L715" s="291"/>
      <c r="M715" s="292">
        <f t="shared" si="37"/>
        <v>9500000</v>
      </c>
      <c r="N715" s="85">
        <v>1082900551</v>
      </c>
      <c r="O715" s="85" t="s">
        <v>6840</v>
      </c>
      <c r="P715" s="85" t="s">
        <v>9031</v>
      </c>
      <c r="Q715" s="309">
        <f t="shared" si="38"/>
        <v>45114</v>
      </c>
      <c r="R715" s="309">
        <f t="shared" si="38"/>
        <v>45114</v>
      </c>
      <c r="S715" s="309">
        <f t="shared" si="34"/>
        <v>45260</v>
      </c>
      <c r="T715" s="293"/>
      <c r="U715" s="293"/>
      <c r="V715" s="293"/>
      <c r="W715" s="294"/>
      <c r="X715" s="237">
        <f>VLOOKUP(N715,[9]Pagos!$C$2:$D$353,2,FALSE)</f>
        <v>1900000</v>
      </c>
      <c r="Y715" s="295">
        <f t="shared" si="39"/>
        <v>7600000</v>
      </c>
      <c r="Z715" s="296">
        <f t="shared" si="40"/>
        <v>0.2</v>
      </c>
      <c r="AA715" s="85">
        <v>7631392</v>
      </c>
      <c r="AB715" s="85" t="s">
        <v>6633</v>
      </c>
      <c r="AC715" s="290" t="s">
        <v>196</v>
      </c>
      <c r="AD715" s="290" t="s">
        <v>196</v>
      </c>
      <c r="AE715" s="303"/>
      <c r="AF715" s="310" t="str">
        <f>VLOOKUP(E715,[10]Hoja1!$D$3:$E$327,2,FALSE)</f>
        <v>https://community.secop.gov.co/Public/Tendering/OpportunityDetail/Index?noticeUID=CO1.NTC.4727427&amp;isFromPublicArea=True&amp;isModal=true&amp;asPopupView=true</v>
      </c>
      <c r="AG715" s="290" t="s">
        <v>192</v>
      </c>
      <c r="AH715" s="290" t="s">
        <v>192</v>
      </c>
    </row>
    <row r="716" spans="1:34" s="297" customFormat="1" ht="15" customHeight="1" x14ac:dyDescent="0.2">
      <c r="A716" s="289">
        <v>891780111</v>
      </c>
      <c r="B716" s="289" t="s">
        <v>54</v>
      </c>
      <c r="C716" s="290" t="s">
        <v>56</v>
      </c>
      <c r="D716" s="289" t="s">
        <v>60</v>
      </c>
      <c r="E716" s="290" t="s">
        <v>9032</v>
      </c>
      <c r="F716" s="289" t="s">
        <v>61</v>
      </c>
      <c r="G716" s="85" t="s">
        <v>63</v>
      </c>
      <c r="H716" s="85" t="s">
        <v>73</v>
      </c>
      <c r="I716" s="237">
        <v>3600000</v>
      </c>
      <c r="J716" s="290"/>
      <c r="K716" s="291"/>
      <c r="L716" s="291"/>
      <c r="M716" s="292">
        <f t="shared" si="37"/>
        <v>3600000</v>
      </c>
      <c r="N716" s="85">
        <v>1083567101</v>
      </c>
      <c r="O716" s="85" t="s">
        <v>6463</v>
      </c>
      <c r="P716" s="85" t="s">
        <v>9033</v>
      </c>
      <c r="Q716" s="309">
        <f t="shared" si="38"/>
        <v>45114</v>
      </c>
      <c r="R716" s="309">
        <f>DATE(2023,7,11)</f>
        <v>45118</v>
      </c>
      <c r="S716" s="309">
        <f>DATE(2023,7,31)</f>
        <v>45138</v>
      </c>
      <c r="T716" s="293"/>
      <c r="U716" s="293"/>
      <c r="V716" s="293"/>
      <c r="W716" s="294"/>
      <c r="X716" s="237">
        <f>VLOOKUP(N716,[9]Pagos!$C$2:$D$353,2,FALSE)</f>
        <v>3600000</v>
      </c>
      <c r="Y716" s="295">
        <f t="shared" si="39"/>
        <v>0</v>
      </c>
      <c r="Z716" s="296">
        <f t="shared" si="40"/>
        <v>1</v>
      </c>
      <c r="AA716" s="85">
        <v>41947381</v>
      </c>
      <c r="AB716" s="85" t="s">
        <v>6440</v>
      </c>
      <c r="AC716" s="290" t="s">
        <v>196</v>
      </c>
      <c r="AD716" s="290" t="s">
        <v>196</v>
      </c>
      <c r="AE716" s="303"/>
      <c r="AF716" s="310" t="str">
        <f>VLOOKUP(E716,[10]Hoja1!$D$3:$E$327,2,FALSE)</f>
        <v>https://community.secop.gov.co/Public/Tendering/OpportunityDetail/Index?noticeUID=CO1.NTC.4727386&amp;isFromPublicArea=True&amp;isModal=true&amp;asPopupView=true</v>
      </c>
      <c r="AG716" s="290" t="s">
        <v>192</v>
      </c>
      <c r="AH716" s="290" t="s">
        <v>192</v>
      </c>
    </row>
    <row r="717" spans="1:34" s="297" customFormat="1" ht="15" customHeight="1" x14ac:dyDescent="0.2">
      <c r="A717" s="289">
        <v>891780111</v>
      </c>
      <c r="B717" s="289" t="s">
        <v>54</v>
      </c>
      <c r="C717" s="290" t="s">
        <v>56</v>
      </c>
      <c r="D717" s="289" t="s">
        <v>60</v>
      </c>
      <c r="E717" s="290" t="s">
        <v>9034</v>
      </c>
      <c r="F717" s="289" t="s">
        <v>61</v>
      </c>
      <c r="G717" s="85" t="s">
        <v>63</v>
      </c>
      <c r="H717" s="85" t="s">
        <v>73</v>
      </c>
      <c r="I717" s="237">
        <v>9500000</v>
      </c>
      <c r="J717" s="290"/>
      <c r="K717" s="291"/>
      <c r="L717" s="291"/>
      <c r="M717" s="292">
        <f t="shared" si="37"/>
        <v>9500000</v>
      </c>
      <c r="N717" s="85">
        <v>36668600</v>
      </c>
      <c r="O717" s="85" t="s">
        <v>7348</v>
      </c>
      <c r="P717" s="85" t="s">
        <v>9035</v>
      </c>
      <c r="Q717" s="309">
        <f t="shared" si="38"/>
        <v>45114</v>
      </c>
      <c r="R717" s="309">
        <f t="shared" si="38"/>
        <v>45114</v>
      </c>
      <c r="S717" s="309">
        <f t="shared" si="34"/>
        <v>45260</v>
      </c>
      <c r="T717" s="293"/>
      <c r="U717" s="293"/>
      <c r="V717" s="293"/>
      <c r="W717" s="294"/>
      <c r="X717" s="237">
        <f>VLOOKUP(N717,[9]Pagos!$C$2:$D$353,2,FALSE)</f>
        <v>1900000</v>
      </c>
      <c r="Y717" s="295">
        <f t="shared" si="39"/>
        <v>7600000</v>
      </c>
      <c r="Z717" s="296">
        <f t="shared" si="40"/>
        <v>0.2</v>
      </c>
      <c r="AA717" s="85">
        <v>7633817</v>
      </c>
      <c r="AB717" s="85" t="s">
        <v>5425</v>
      </c>
      <c r="AC717" s="290" t="s">
        <v>196</v>
      </c>
      <c r="AD717" s="290" t="s">
        <v>196</v>
      </c>
      <c r="AE717" s="303"/>
      <c r="AF717" s="310" t="str">
        <f>VLOOKUP(E717,[10]Hoja1!$D$3:$E$327,2,FALSE)</f>
        <v>https://community.secop.gov.co/Public/Tendering/OpportunityDetail/Index?noticeUID=CO1.NTC.4725977&amp;isFromPublicArea=True&amp;isModal=true&amp;asPopupView=true</v>
      </c>
      <c r="AG717" s="290" t="s">
        <v>192</v>
      </c>
      <c r="AH717" s="290" t="s">
        <v>192</v>
      </c>
    </row>
    <row r="718" spans="1:34" s="297" customFormat="1" ht="15" customHeight="1" x14ac:dyDescent="0.2">
      <c r="A718" s="289">
        <v>891780111</v>
      </c>
      <c r="B718" s="289" t="s">
        <v>54</v>
      </c>
      <c r="C718" s="290" t="s">
        <v>56</v>
      </c>
      <c r="D718" s="289" t="s">
        <v>60</v>
      </c>
      <c r="E718" s="290" t="s">
        <v>9036</v>
      </c>
      <c r="F718" s="289" t="s">
        <v>61</v>
      </c>
      <c r="G718" s="85" t="s">
        <v>63</v>
      </c>
      <c r="H718" s="85" t="s">
        <v>73</v>
      </c>
      <c r="I718" s="237">
        <v>15500000</v>
      </c>
      <c r="J718" s="290"/>
      <c r="K718" s="291"/>
      <c r="L718" s="291"/>
      <c r="M718" s="292">
        <f t="shared" si="37"/>
        <v>15500000</v>
      </c>
      <c r="N718" s="85">
        <v>1083554776</v>
      </c>
      <c r="O718" s="85" t="s">
        <v>6741</v>
      </c>
      <c r="P718" s="85" t="s">
        <v>9035</v>
      </c>
      <c r="Q718" s="309">
        <f t="shared" si="38"/>
        <v>45114</v>
      </c>
      <c r="R718" s="309">
        <f t="shared" si="38"/>
        <v>45114</v>
      </c>
      <c r="S718" s="309">
        <f t="shared" si="34"/>
        <v>45260</v>
      </c>
      <c r="T718" s="293"/>
      <c r="U718" s="293"/>
      <c r="V718" s="293"/>
      <c r="W718" s="294"/>
      <c r="X718" s="237">
        <f>VLOOKUP(N718,[9]Pagos!$C$2:$D$353,2,FALSE)</f>
        <v>3100000</v>
      </c>
      <c r="Y718" s="295">
        <f t="shared" si="39"/>
        <v>12400000</v>
      </c>
      <c r="Z718" s="296">
        <f t="shared" si="40"/>
        <v>0.2</v>
      </c>
      <c r="AA718" s="85">
        <v>85465146</v>
      </c>
      <c r="AB718" s="85" t="s">
        <v>6628</v>
      </c>
      <c r="AC718" s="290" t="s">
        <v>196</v>
      </c>
      <c r="AD718" s="290" t="s">
        <v>196</v>
      </c>
      <c r="AE718" s="303"/>
      <c r="AF718" s="310" t="str">
        <f>VLOOKUP(E718,[10]Hoja1!$D$3:$E$327,2,FALSE)</f>
        <v>https://community.secop.gov.co/Public/Tendering/OpportunityDetail/Index?noticeUID=CO1.NTC.4729947&amp;isFromPublicArea=True&amp;isModal=true&amp;asPopupView=true</v>
      </c>
      <c r="AG718" s="290" t="s">
        <v>192</v>
      </c>
      <c r="AH718" s="290" t="s">
        <v>192</v>
      </c>
    </row>
    <row r="719" spans="1:34" s="297" customFormat="1" ht="15" customHeight="1" x14ac:dyDescent="0.2">
      <c r="A719" s="289">
        <v>891780111</v>
      </c>
      <c r="B719" s="289" t="s">
        <v>54</v>
      </c>
      <c r="C719" s="290" t="s">
        <v>56</v>
      </c>
      <c r="D719" s="289" t="s">
        <v>60</v>
      </c>
      <c r="E719" s="290" t="s">
        <v>9037</v>
      </c>
      <c r="F719" s="289" t="s">
        <v>61</v>
      </c>
      <c r="G719" s="85" t="s">
        <v>63</v>
      </c>
      <c r="H719" s="85" t="s">
        <v>73</v>
      </c>
      <c r="I719" s="237">
        <v>15500000</v>
      </c>
      <c r="J719" s="290"/>
      <c r="K719" s="291"/>
      <c r="L719" s="291"/>
      <c r="M719" s="292">
        <f t="shared" si="37"/>
        <v>15500000</v>
      </c>
      <c r="N719" s="85">
        <v>1066000092</v>
      </c>
      <c r="O719" s="85" t="s">
        <v>8452</v>
      </c>
      <c r="P719" s="85" t="s">
        <v>9038</v>
      </c>
      <c r="Q719" s="309">
        <f t="shared" si="38"/>
        <v>45114</v>
      </c>
      <c r="R719" s="309">
        <f t="shared" si="38"/>
        <v>45114</v>
      </c>
      <c r="S719" s="309">
        <f t="shared" si="34"/>
        <v>45260</v>
      </c>
      <c r="T719" s="293"/>
      <c r="U719" s="293"/>
      <c r="V719" s="293"/>
      <c r="W719" s="294"/>
      <c r="X719" s="237">
        <f>VLOOKUP(N719,[9]Pagos!$C$2:$D$353,2,FALSE)</f>
        <v>3100000</v>
      </c>
      <c r="Y719" s="295">
        <f t="shared" si="39"/>
        <v>12400000</v>
      </c>
      <c r="Z719" s="296">
        <f t="shared" si="40"/>
        <v>0.2</v>
      </c>
      <c r="AA719" s="85">
        <v>21400608</v>
      </c>
      <c r="AB719" s="85" t="s">
        <v>8445</v>
      </c>
      <c r="AC719" s="290" t="s">
        <v>196</v>
      </c>
      <c r="AD719" s="290" t="s">
        <v>196</v>
      </c>
      <c r="AE719" s="303"/>
      <c r="AF719" s="310" t="str">
        <f>VLOOKUP(E719,[10]Hoja1!$D$3:$E$327,2,FALSE)</f>
        <v>https://community.secop.gov.co/Public/Tendering/OpportunityDetail/Index?noticeUID=CO1.NTC.4726772&amp;isFromPublicArea=True&amp;isModal=true&amp;asPopupView=true</v>
      </c>
      <c r="AG719" s="290" t="s">
        <v>192</v>
      </c>
      <c r="AH719" s="290" t="s">
        <v>192</v>
      </c>
    </row>
    <row r="720" spans="1:34" s="297" customFormat="1" ht="15" customHeight="1" x14ac:dyDescent="0.2">
      <c r="A720" s="289">
        <v>891780111</v>
      </c>
      <c r="B720" s="289" t="s">
        <v>54</v>
      </c>
      <c r="C720" s="290" t="s">
        <v>56</v>
      </c>
      <c r="D720" s="289" t="s">
        <v>60</v>
      </c>
      <c r="E720" s="290" t="s">
        <v>9039</v>
      </c>
      <c r="F720" s="289" t="s">
        <v>61</v>
      </c>
      <c r="G720" s="85" t="s">
        <v>63</v>
      </c>
      <c r="H720" s="85" t="s">
        <v>73</v>
      </c>
      <c r="I720" s="237">
        <v>12500000</v>
      </c>
      <c r="J720" s="290"/>
      <c r="K720" s="291"/>
      <c r="L720" s="291"/>
      <c r="M720" s="292">
        <f t="shared" si="37"/>
        <v>12500000</v>
      </c>
      <c r="N720" s="85">
        <v>1102880046</v>
      </c>
      <c r="O720" s="85" t="s">
        <v>8443</v>
      </c>
      <c r="P720" s="85" t="s">
        <v>9040</v>
      </c>
      <c r="Q720" s="309">
        <f t="shared" si="38"/>
        <v>45114</v>
      </c>
      <c r="R720" s="309">
        <f t="shared" si="38"/>
        <v>45114</v>
      </c>
      <c r="S720" s="309">
        <f t="shared" ref="S720:S783" si="41">DATE(2023,11,30)</f>
        <v>45260</v>
      </c>
      <c r="T720" s="293"/>
      <c r="U720" s="293"/>
      <c r="V720" s="293"/>
      <c r="W720" s="294"/>
      <c r="X720" s="237">
        <f>VLOOKUP(N720,[9]Pagos!$C$2:$D$353,2,FALSE)</f>
        <v>2500000</v>
      </c>
      <c r="Y720" s="295">
        <f t="shared" si="39"/>
        <v>10000000</v>
      </c>
      <c r="Z720" s="296">
        <f t="shared" si="40"/>
        <v>0.2</v>
      </c>
      <c r="AA720" s="85">
        <v>21400608</v>
      </c>
      <c r="AB720" s="85" t="s">
        <v>8445</v>
      </c>
      <c r="AC720" s="290" t="s">
        <v>196</v>
      </c>
      <c r="AD720" s="290" t="s">
        <v>196</v>
      </c>
      <c r="AE720" s="303"/>
      <c r="AF720" s="310" t="str">
        <f>VLOOKUP(E720,[10]Hoja1!$D$3:$E$327,2,FALSE)</f>
        <v>https://community.secop.gov.co/Public/Tendering/OpportunityDetail/Index?noticeUID=CO1.NTC.4726682&amp;isFromPublicArea=True&amp;isModal=true&amp;asPopupView=true</v>
      </c>
      <c r="AG720" s="290" t="s">
        <v>192</v>
      </c>
      <c r="AH720" s="290" t="s">
        <v>192</v>
      </c>
    </row>
    <row r="721" spans="1:34" s="297" customFormat="1" ht="15" customHeight="1" x14ac:dyDescent="0.2">
      <c r="A721" s="289">
        <v>891780111</v>
      </c>
      <c r="B721" s="289" t="s">
        <v>54</v>
      </c>
      <c r="C721" s="290" t="s">
        <v>56</v>
      </c>
      <c r="D721" s="289" t="s">
        <v>60</v>
      </c>
      <c r="E721" s="290" t="s">
        <v>9041</v>
      </c>
      <c r="F721" s="289" t="s">
        <v>61</v>
      </c>
      <c r="G721" s="85" t="s">
        <v>63</v>
      </c>
      <c r="H721" s="85" t="s">
        <v>73</v>
      </c>
      <c r="I721" s="237">
        <v>11000000</v>
      </c>
      <c r="J721" s="290"/>
      <c r="K721" s="291"/>
      <c r="L721" s="291"/>
      <c r="M721" s="292">
        <f t="shared" si="37"/>
        <v>11000000</v>
      </c>
      <c r="N721" s="85">
        <v>1082880869</v>
      </c>
      <c r="O721" s="85" t="s">
        <v>6765</v>
      </c>
      <c r="P721" s="85" t="s">
        <v>9042</v>
      </c>
      <c r="Q721" s="309">
        <f t="shared" si="38"/>
        <v>45114</v>
      </c>
      <c r="R721" s="309">
        <f t="shared" si="38"/>
        <v>45114</v>
      </c>
      <c r="S721" s="309">
        <f t="shared" si="41"/>
        <v>45260</v>
      </c>
      <c r="T721" s="293"/>
      <c r="U721" s="293"/>
      <c r="V721" s="293"/>
      <c r="W721" s="294"/>
      <c r="X721" s="237">
        <f>VLOOKUP(N721,[9]Pagos!$C$2:$D$353,2,FALSE)</f>
        <v>2200000</v>
      </c>
      <c r="Y721" s="295">
        <f t="shared" si="39"/>
        <v>8800000</v>
      </c>
      <c r="Z721" s="296">
        <f t="shared" si="40"/>
        <v>0.2</v>
      </c>
      <c r="AA721" s="85">
        <v>57444673</v>
      </c>
      <c r="AB721" s="85" t="s">
        <v>5370</v>
      </c>
      <c r="AC721" s="290" t="s">
        <v>196</v>
      </c>
      <c r="AD721" s="290" t="s">
        <v>196</v>
      </c>
      <c r="AE721" s="303"/>
      <c r="AF721" s="310" t="str">
        <f>VLOOKUP(E721,[10]Hoja1!$D$3:$E$327,2,FALSE)</f>
        <v>https://community.secop.gov.co/Public/Tendering/OpportunityDetail/Index?noticeUID=CO1.NTC.4727806&amp;isFromPublicArea=True&amp;isModal=true&amp;asPopupView=true</v>
      </c>
      <c r="AG721" s="290" t="s">
        <v>192</v>
      </c>
      <c r="AH721" s="290" t="s">
        <v>192</v>
      </c>
    </row>
    <row r="722" spans="1:34" s="297" customFormat="1" ht="15" customHeight="1" x14ac:dyDescent="0.2">
      <c r="A722" s="289">
        <v>891780111</v>
      </c>
      <c r="B722" s="289" t="s">
        <v>54</v>
      </c>
      <c r="C722" s="290" t="s">
        <v>56</v>
      </c>
      <c r="D722" s="289" t="s">
        <v>60</v>
      </c>
      <c r="E722" s="290" t="s">
        <v>9043</v>
      </c>
      <c r="F722" s="289" t="s">
        <v>61</v>
      </c>
      <c r="G722" s="85" t="s">
        <v>63</v>
      </c>
      <c r="H722" s="85" t="s">
        <v>73</v>
      </c>
      <c r="I722" s="237">
        <v>9500000</v>
      </c>
      <c r="J722" s="290"/>
      <c r="K722" s="291"/>
      <c r="L722" s="291"/>
      <c r="M722" s="292">
        <f t="shared" si="37"/>
        <v>9500000</v>
      </c>
      <c r="N722" s="85">
        <v>1082983512</v>
      </c>
      <c r="O722" s="85" t="s">
        <v>7527</v>
      </c>
      <c r="P722" s="85" t="s">
        <v>9044</v>
      </c>
      <c r="Q722" s="309">
        <f t="shared" si="38"/>
        <v>45114</v>
      </c>
      <c r="R722" s="309">
        <f t="shared" si="38"/>
        <v>45114</v>
      </c>
      <c r="S722" s="309">
        <f t="shared" si="41"/>
        <v>45260</v>
      </c>
      <c r="T722" s="293"/>
      <c r="U722" s="293"/>
      <c r="V722" s="293"/>
      <c r="W722" s="294"/>
      <c r="X722" s="237">
        <f>VLOOKUP(N722,[9]Pagos!$C$2:$D$353,2,FALSE)</f>
        <v>1900000</v>
      </c>
      <c r="Y722" s="295">
        <f t="shared" si="39"/>
        <v>7600000</v>
      </c>
      <c r="Z722" s="296">
        <f t="shared" si="40"/>
        <v>0.2</v>
      </c>
      <c r="AA722" s="85">
        <v>7633817</v>
      </c>
      <c r="AB722" s="85" t="s">
        <v>5425</v>
      </c>
      <c r="AC722" s="290" t="s">
        <v>196</v>
      </c>
      <c r="AD722" s="290" t="s">
        <v>196</v>
      </c>
      <c r="AE722" s="303"/>
      <c r="AF722" s="310" t="str">
        <f>VLOOKUP(E722,[10]Hoja1!$D$3:$E$327,2,FALSE)</f>
        <v>https://community.secop.gov.co/Public/Tendering/OpportunityDetail/Index?noticeUID=CO1.NTC.4725951&amp;isFromPublicArea=True&amp;isModal=true&amp;asPopupView=true</v>
      </c>
      <c r="AG722" s="290" t="s">
        <v>192</v>
      </c>
      <c r="AH722" s="290" t="s">
        <v>192</v>
      </c>
    </row>
    <row r="723" spans="1:34" s="297" customFormat="1" ht="15" customHeight="1" x14ac:dyDescent="0.2">
      <c r="A723" s="289">
        <v>891780111</v>
      </c>
      <c r="B723" s="289" t="s">
        <v>54</v>
      </c>
      <c r="C723" s="290" t="s">
        <v>56</v>
      </c>
      <c r="D723" s="289" t="s">
        <v>60</v>
      </c>
      <c r="E723" s="290" t="s">
        <v>9045</v>
      </c>
      <c r="F723" s="289" t="s">
        <v>61</v>
      </c>
      <c r="G723" s="85" t="s">
        <v>63</v>
      </c>
      <c r="H723" s="85" t="s">
        <v>73</v>
      </c>
      <c r="I723" s="237">
        <v>18500000</v>
      </c>
      <c r="J723" s="290"/>
      <c r="K723" s="291"/>
      <c r="L723" s="291"/>
      <c r="M723" s="292">
        <f t="shared" si="37"/>
        <v>18500000</v>
      </c>
      <c r="N723" s="85">
        <v>57170631</v>
      </c>
      <c r="O723" s="85" t="s">
        <v>9046</v>
      </c>
      <c r="P723" s="85" t="s">
        <v>9047</v>
      </c>
      <c r="Q723" s="309">
        <f t="shared" si="38"/>
        <v>45114</v>
      </c>
      <c r="R723" s="309">
        <f t="shared" si="38"/>
        <v>45114</v>
      </c>
      <c r="S723" s="309">
        <f t="shared" si="41"/>
        <v>45260</v>
      </c>
      <c r="T723" s="293"/>
      <c r="U723" s="293"/>
      <c r="V723" s="293"/>
      <c r="W723" s="294"/>
      <c r="X723" s="237">
        <f>VLOOKUP(N723,[9]Pagos!$C$2:$D$353,2,FALSE)</f>
        <v>3700000</v>
      </c>
      <c r="Y723" s="295">
        <f t="shared" si="39"/>
        <v>14800000</v>
      </c>
      <c r="Z723" s="296">
        <f t="shared" si="40"/>
        <v>0.2</v>
      </c>
      <c r="AA723" s="85"/>
      <c r="AB723" s="85" t="s">
        <v>8760</v>
      </c>
      <c r="AC723" s="290" t="s">
        <v>196</v>
      </c>
      <c r="AD723" s="290" t="s">
        <v>196</v>
      </c>
      <c r="AE723" s="303"/>
      <c r="AF723" s="310" t="str">
        <f>VLOOKUP(E723,[10]Hoja1!$D$3:$E$327,2,FALSE)</f>
        <v>https://community.secop.gov.co/Public/Tendering/OpportunityDetail/Index?noticeUID=CO1.NTC.4725500&amp;isFromPublicArea=True&amp;isModal=true&amp;asPopupView=true</v>
      </c>
      <c r="AG723" s="290" t="s">
        <v>192</v>
      </c>
      <c r="AH723" s="290" t="s">
        <v>192</v>
      </c>
    </row>
    <row r="724" spans="1:34" s="297" customFormat="1" ht="15" customHeight="1" x14ac:dyDescent="0.2">
      <c r="A724" s="289">
        <v>891780111</v>
      </c>
      <c r="B724" s="289" t="s">
        <v>54</v>
      </c>
      <c r="C724" s="290" t="s">
        <v>56</v>
      </c>
      <c r="D724" s="289" t="s">
        <v>60</v>
      </c>
      <c r="E724" s="290" t="s">
        <v>9048</v>
      </c>
      <c r="F724" s="289" t="s">
        <v>61</v>
      </c>
      <c r="G724" s="85" t="s">
        <v>63</v>
      </c>
      <c r="H724" s="85" t="s">
        <v>73</v>
      </c>
      <c r="I724" s="237">
        <v>14000000</v>
      </c>
      <c r="J724" s="290"/>
      <c r="K724" s="291"/>
      <c r="L724" s="291"/>
      <c r="M724" s="292">
        <f t="shared" si="37"/>
        <v>14000000</v>
      </c>
      <c r="N724" s="85">
        <v>57427768</v>
      </c>
      <c r="O724" s="85" t="s">
        <v>7233</v>
      </c>
      <c r="P724" s="85" t="s">
        <v>9049</v>
      </c>
      <c r="Q724" s="309">
        <f t="shared" si="38"/>
        <v>45114</v>
      </c>
      <c r="R724" s="309">
        <f t="shared" si="38"/>
        <v>45114</v>
      </c>
      <c r="S724" s="309">
        <f t="shared" si="41"/>
        <v>45260</v>
      </c>
      <c r="T724" s="293"/>
      <c r="U724" s="293"/>
      <c r="V724" s="293"/>
      <c r="W724" s="294"/>
      <c r="X724" s="237">
        <f>VLOOKUP(N724,[9]Pagos!$C$2:$D$353,2,FALSE)</f>
        <v>2800000</v>
      </c>
      <c r="Y724" s="295">
        <f t="shared" si="39"/>
        <v>11200000</v>
      </c>
      <c r="Z724" s="296">
        <f t="shared" si="40"/>
        <v>0.2</v>
      </c>
      <c r="AA724" s="85">
        <v>36557666</v>
      </c>
      <c r="AB724" s="85" t="s">
        <v>6916</v>
      </c>
      <c r="AC724" s="290" t="s">
        <v>196</v>
      </c>
      <c r="AD724" s="290" t="s">
        <v>196</v>
      </c>
      <c r="AE724" s="303"/>
      <c r="AF724" s="310" t="str">
        <f>VLOOKUP(E724,[10]Hoja1!$D$3:$E$327,2,FALSE)</f>
        <v>https://community.secop.gov.co/Public/Tendering/OpportunityDetail/Index?noticeUID=CO1.NTC.4726323&amp;isFromPublicArea=True&amp;isModal=true&amp;asPopupView=true</v>
      </c>
      <c r="AG724" s="290" t="s">
        <v>192</v>
      </c>
      <c r="AH724" s="290" t="s">
        <v>192</v>
      </c>
    </row>
    <row r="725" spans="1:34" s="297" customFormat="1" ht="15" customHeight="1" x14ac:dyDescent="0.2">
      <c r="A725" s="289">
        <v>891780111</v>
      </c>
      <c r="B725" s="289" t="s">
        <v>54</v>
      </c>
      <c r="C725" s="290" t="s">
        <v>56</v>
      </c>
      <c r="D725" s="289" t="s">
        <v>60</v>
      </c>
      <c r="E725" s="290" t="s">
        <v>9050</v>
      </c>
      <c r="F725" s="289" t="s">
        <v>61</v>
      </c>
      <c r="G725" s="85" t="s">
        <v>63</v>
      </c>
      <c r="H725" s="85" t="s">
        <v>73</v>
      </c>
      <c r="I725" s="237">
        <v>11000000</v>
      </c>
      <c r="J725" s="290"/>
      <c r="K725" s="291"/>
      <c r="L725" s="291"/>
      <c r="M725" s="292">
        <f t="shared" si="37"/>
        <v>11000000</v>
      </c>
      <c r="N725" s="85">
        <v>39047351</v>
      </c>
      <c r="O725" s="85" t="s">
        <v>6883</v>
      </c>
      <c r="P725" s="85" t="s">
        <v>9051</v>
      </c>
      <c r="Q725" s="309">
        <f t="shared" si="38"/>
        <v>45114</v>
      </c>
      <c r="R725" s="309">
        <f t="shared" si="38"/>
        <v>45114</v>
      </c>
      <c r="S725" s="309">
        <f t="shared" si="41"/>
        <v>45260</v>
      </c>
      <c r="T725" s="293"/>
      <c r="U725" s="293"/>
      <c r="V725" s="293"/>
      <c r="W725" s="294"/>
      <c r="X725" s="237">
        <f>VLOOKUP(N725,[9]Pagos!$C$2:$D$353,2,FALSE)</f>
        <v>2200000</v>
      </c>
      <c r="Y725" s="295">
        <f t="shared" si="39"/>
        <v>8800000</v>
      </c>
      <c r="Z725" s="296">
        <f t="shared" si="40"/>
        <v>0.2</v>
      </c>
      <c r="AA725" s="85">
        <v>57441846</v>
      </c>
      <c r="AB725" s="85" t="s">
        <v>9052</v>
      </c>
      <c r="AC725" s="290" t="s">
        <v>196</v>
      </c>
      <c r="AD725" s="290" t="s">
        <v>196</v>
      </c>
      <c r="AE725" s="303"/>
      <c r="AF725" s="310" t="str">
        <f>VLOOKUP(E725,[10]Hoja1!$D$3:$E$327,2,FALSE)</f>
        <v>https://community.secop.gov.co/Public/Tendering/OpportunityDetail/Index?noticeUID=CO1.NTC.4728761&amp;isFromPublicArea=True&amp;isModal=true&amp;asPopupView=true</v>
      </c>
      <c r="AG725" s="290" t="s">
        <v>192</v>
      </c>
      <c r="AH725" s="290" t="s">
        <v>192</v>
      </c>
    </row>
    <row r="726" spans="1:34" s="297" customFormat="1" ht="15" customHeight="1" x14ac:dyDescent="0.2">
      <c r="A726" s="289">
        <v>891780111</v>
      </c>
      <c r="B726" s="289" t="s">
        <v>54</v>
      </c>
      <c r="C726" s="290" t="s">
        <v>56</v>
      </c>
      <c r="D726" s="289" t="s">
        <v>60</v>
      </c>
      <c r="E726" s="290" t="s">
        <v>9053</v>
      </c>
      <c r="F726" s="289" t="s">
        <v>61</v>
      </c>
      <c r="G726" s="85" t="s">
        <v>63</v>
      </c>
      <c r="H726" s="85" t="s">
        <v>73</v>
      </c>
      <c r="I726" s="237">
        <v>14000000</v>
      </c>
      <c r="J726" s="290"/>
      <c r="K726" s="291"/>
      <c r="L726" s="291"/>
      <c r="M726" s="292">
        <f t="shared" si="37"/>
        <v>14000000</v>
      </c>
      <c r="N726" s="85">
        <v>1083025029</v>
      </c>
      <c r="O726" s="85" t="s">
        <v>8448</v>
      </c>
      <c r="P726" s="85" t="s">
        <v>9054</v>
      </c>
      <c r="Q726" s="309">
        <f t="shared" si="38"/>
        <v>45114</v>
      </c>
      <c r="R726" s="309">
        <f t="shared" si="38"/>
        <v>45114</v>
      </c>
      <c r="S726" s="309">
        <f t="shared" si="41"/>
        <v>45260</v>
      </c>
      <c r="T726" s="293"/>
      <c r="U726" s="293"/>
      <c r="V726" s="293"/>
      <c r="W726" s="294"/>
      <c r="X726" s="237">
        <f>VLOOKUP(N726,[9]Pagos!$C$2:$D$353,2,FALSE)</f>
        <v>2800000</v>
      </c>
      <c r="Y726" s="295">
        <f t="shared" si="39"/>
        <v>11200000</v>
      </c>
      <c r="Z726" s="296">
        <f t="shared" si="40"/>
        <v>0.2</v>
      </c>
      <c r="AA726" s="85">
        <v>21400608</v>
      </c>
      <c r="AB726" s="85" t="s">
        <v>8445</v>
      </c>
      <c r="AC726" s="290" t="s">
        <v>196</v>
      </c>
      <c r="AD726" s="290" t="s">
        <v>196</v>
      </c>
      <c r="AE726" s="303"/>
      <c r="AF726" s="310" t="str">
        <f>VLOOKUP(E726,[10]Hoja1!$D$3:$E$327,2,FALSE)</f>
        <v>https://community.secop.gov.co/Public/Tendering/OpportunityDetail/Index?noticeUID=CO1.NTC.4726518&amp;isFromPublicArea=True&amp;isModal=true&amp;asPopupView=true</v>
      </c>
      <c r="AG726" s="290" t="s">
        <v>192</v>
      </c>
      <c r="AH726" s="290" t="s">
        <v>192</v>
      </c>
    </row>
    <row r="727" spans="1:34" s="297" customFormat="1" ht="15" customHeight="1" x14ac:dyDescent="0.2">
      <c r="A727" s="289">
        <v>891780111</v>
      </c>
      <c r="B727" s="289" t="s">
        <v>54</v>
      </c>
      <c r="C727" s="290" t="s">
        <v>56</v>
      </c>
      <c r="D727" s="289" t="s">
        <v>60</v>
      </c>
      <c r="E727" s="290" t="s">
        <v>9055</v>
      </c>
      <c r="F727" s="289" t="s">
        <v>61</v>
      </c>
      <c r="G727" s="85" t="s">
        <v>63</v>
      </c>
      <c r="H727" s="85" t="s">
        <v>73</v>
      </c>
      <c r="I727" s="237">
        <v>11000000</v>
      </c>
      <c r="J727" s="290"/>
      <c r="K727" s="291"/>
      <c r="L727" s="291"/>
      <c r="M727" s="292">
        <f t="shared" si="37"/>
        <v>11000000</v>
      </c>
      <c r="N727" s="85">
        <v>57427809</v>
      </c>
      <c r="O727" s="85" t="s">
        <v>7430</v>
      </c>
      <c r="P727" s="85" t="s">
        <v>9056</v>
      </c>
      <c r="Q727" s="309">
        <f t="shared" si="38"/>
        <v>45114</v>
      </c>
      <c r="R727" s="309">
        <f t="shared" si="38"/>
        <v>45114</v>
      </c>
      <c r="S727" s="309">
        <f t="shared" si="41"/>
        <v>45260</v>
      </c>
      <c r="T727" s="293"/>
      <c r="U727" s="293"/>
      <c r="V727" s="293"/>
      <c r="W727" s="294"/>
      <c r="X727" s="237">
        <f>VLOOKUP(N727,[9]Pagos!$C$2:$D$353,2,FALSE)</f>
        <v>2200000</v>
      </c>
      <c r="Y727" s="295">
        <f t="shared" si="39"/>
        <v>8800000</v>
      </c>
      <c r="Z727" s="296">
        <f t="shared" si="40"/>
        <v>0.2</v>
      </c>
      <c r="AA727" s="85">
        <v>36557666</v>
      </c>
      <c r="AB727" s="85" t="s">
        <v>6916</v>
      </c>
      <c r="AC727" s="290" t="s">
        <v>196</v>
      </c>
      <c r="AD727" s="290" t="s">
        <v>196</v>
      </c>
      <c r="AE727" s="303"/>
      <c r="AF727" s="310" t="str">
        <f>VLOOKUP(E727,[10]Hoja1!$D$3:$E$327,2,FALSE)</f>
        <v>https://community.secop.gov.co/Public/Tendering/OpportunityDetail/Index?noticeUID=CO1.NTC.4726638&amp;isFromPublicArea=True&amp;isModal=true&amp;asPopupView=true</v>
      </c>
      <c r="AG727" s="290" t="s">
        <v>192</v>
      </c>
      <c r="AH727" s="290" t="s">
        <v>192</v>
      </c>
    </row>
    <row r="728" spans="1:34" s="297" customFormat="1" ht="15" customHeight="1" x14ac:dyDescent="0.2">
      <c r="A728" s="289">
        <v>891780111</v>
      </c>
      <c r="B728" s="289" t="s">
        <v>54</v>
      </c>
      <c r="C728" s="290" t="s">
        <v>56</v>
      </c>
      <c r="D728" s="289" t="s">
        <v>60</v>
      </c>
      <c r="E728" s="290" t="s">
        <v>9057</v>
      </c>
      <c r="F728" s="289" t="s">
        <v>61</v>
      </c>
      <c r="G728" s="85" t="s">
        <v>63</v>
      </c>
      <c r="H728" s="85" t="s">
        <v>73</v>
      </c>
      <c r="I728" s="237">
        <v>9500000</v>
      </c>
      <c r="J728" s="290"/>
      <c r="K728" s="291"/>
      <c r="L728" s="291"/>
      <c r="M728" s="292">
        <f t="shared" si="37"/>
        <v>9500000</v>
      </c>
      <c r="N728" s="85">
        <v>85465984</v>
      </c>
      <c r="O728" s="85" t="s">
        <v>7362</v>
      </c>
      <c r="P728" s="85" t="s">
        <v>9022</v>
      </c>
      <c r="Q728" s="309">
        <f t="shared" si="38"/>
        <v>45114</v>
      </c>
      <c r="R728" s="309">
        <f t="shared" si="38"/>
        <v>45114</v>
      </c>
      <c r="S728" s="309">
        <f t="shared" si="41"/>
        <v>45260</v>
      </c>
      <c r="T728" s="293"/>
      <c r="U728" s="293"/>
      <c r="V728" s="293"/>
      <c r="W728" s="294"/>
      <c r="X728" s="237">
        <f>VLOOKUP(N728,[9]Pagos!$C$2:$D$353,2,FALSE)</f>
        <v>1900000</v>
      </c>
      <c r="Y728" s="295">
        <f t="shared" si="39"/>
        <v>7600000</v>
      </c>
      <c r="Z728" s="296">
        <f t="shared" si="40"/>
        <v>0.2</v>
      </c>
      <c r="AA728" s="85">
        <v>85459497</v>
      </c>
      <c r="AB728" s="85" t="s">
        <v>4837</v>
      </c>
      <c r="AC728" s="290" t="s">
        <v>196</v>
      </c>
      <c r="AD728" s="290" t="s">
        <v>196</v>
      </c>
      <c r="AE728" s="303"/>
      <c r="AF728" s="310" t="str">
        <f>VLOOKUP(E728,[10]Hoja1!$D$3:$E$327,2,FALSE)</f>
        <v>https://community.secop.gov.co/Public/Tendering/OpportunityDetail/Index?noticeUID=CO1.NTC.4726477&amp;isFromPublicArea=True&amp;isModal=true&amp;asPopupView=true</v>
      </c>
      <c r="AG728" s="290" t="s">
        <v>192</v>
      </c>
      <c r="AH728" s="290" t="s">
        <v>192</v>
      </c>
    </row>
    <row r="729" spans="1:34" s="297" customFormat="1" ht="15" customHeight="1" x14ac:dyDescent="0.2">
      <c r="A729" s="289">
        <v>891780111</v>
      </c>
      <c r="B729" s="289" t="s">
        <v>54</v>
      </c>
      <c r="C729" s="290" t="s">
        <v>56</v>
      </c>
      <c r="D729" s="289" t="s">
        <v>60</v>
      </c>
      <c r="E729" s="290" t="s">
        <v>9058</v>
      </c>
      <c r="F729" s="289" t="s">
        <v>61</v>
      </c>
      <c r="G729" s="85" t="s">
        <v>63</v>
      </c>
      <c r="H729" s="85" t="s">
        <v>73</v>
      </c>
      <c r="I729" s="237">
        <v>17000000</v>
      </c>
      <c r="J729" s="290"/>
      <c r="K729" s="291"/>
      <c r="L729" s="291"/>
      <c r="M729" s="292">
        <f t="shared" si="37"/>
        <v>17000000</v>
      </c>
      <c r="N729" s="85">
        <v>1082920567</v>
      </c>
      <c r="O729" s="85" t="s">
        <v>7114</v>
      </c>
      <c r="P729" s="85" t="s">
        <v>9059</v>
      </c>
      <c r="Q729" s="309">
        <f t="shared" si="38"/>
        <v>45114</v>
      </c>
      <c r="R729" s="309">
        <f t="shared" si="38"/>
        <v>45114</v>
      </c>
      <c r="S729" s="309">
        <f t="shared" si="41"/>
        <v>45260</v>
      </c>
      <c r="T729" s="293"/>
      <c r="U729" s="293"/>
      <c r="V729" s="293"/>
      <c r="W729" s="294"/>
      <c r="X729" s="237">
        <f>VLOOKUP(N729,[9]Pagos!$C$2:$D$353,2,FALSE)</f>
        <v>3400000</v>
      </c>
      <c r="Y729" s="295">
        <f t="shared" si="39"/>
        <v>13600000</v>
      </c>
      <c r="Z729" s="296">
        <f t="shared" si="40"/>
        <v>0.2</v>
      </c>
      <c r="AA729" s="85">
        <v>93400727</v>
      </c>
      <c r="AB729" s="85" t="s">
        <v>6418</v>
      </c>
      <c r="AC729" s="290" t="s">
        <v>196</v>
      </c>
      <c r="AD729" s="290" t="s">
        <v>196</v>
      </c>
      <c r="AE729" s="303"/>
      <c r="AF729" s="310" t="str">
        <f>VLOOKUP(E729,[10]Hoja1!$D$3:$E$327,2,FALSE)</f>
        <v>https://community.secop.gov.co/Public/Tendering/OpportunityDetail/Index?noticeUID=CO1.NTC.4727019&amp;isFromPublicArea=True&amp;isModal=true&amp;asPopupView=true</v>
      </c>
      <c r="AG729" s="290" t="s">
        <v>192</v>
      </c>
      <c r="AH729" s="290" t="s">
        <v>192</v>
      </c>
    </row>
    <row r="730" spans="1:34" s="297" customFormat="1" ht="15" customHeight="1" x14ac:dyDescent="0.2">
      <c r="A730" s="289">
        <v>891780111</v>
      </c>
      <c r="B730" s="289" t="s">
        <v>54</v>
      </c>
      <c r="C730" s="290" t="s">
        <v>56</v>
      </c>
      <c r="D730" s="289" t="s">
        <v>60</v>
      </c>
      <c r="E730" s="290" t="s">
        <v>9060</v>
      </c>
      <c r="F730" s="289" t="s">
        <v>61</v>
      </c>
      <c r="G730" s="85" t="s">
        <v>63</v>
      </c>
      <c r="H730" s="85" t="s">
        <v>73</v>
      </c>
      <c r="I730" s="237">
        <v>15500000</v>
      </c>
      <c r="J730" s="290"/>
      <c r="K730" s="291"/>
      <c r="L730" s="291"/>
      <c r="M730" s="292">
        <f t="shared" si="37"/>
        <v>15500000</v>
      </c>
      <c r="N730" s="85">
        <v>1216968632</v>
      </c>
      <c r="O730" s="85" t="s">
        <v>4293</v>
      </c>
      <c r="P730" s="85" t="s">
        <v>9061</v>
      </c>
      <c r="Q730" s="309">
        <f t="shared" si="38"/>
        <v>45114</v>
      </c>
      <c r="R730" s="309">
        <f t="shared" si="38"/>
        <v>45114</v>
      </c>
      <c r="S730" s="309">
        <f t="shared" si="41"/>
        <v>45260</v>
      </c>
      <c r="T730" s="293"/>
      <c r="U730" s="293"/>
      <c r="V730" s="293"/>
      <c r="W730" s="294"/>
      <c r="X730" s="237">
        <f>VLOOKUP(N730,[9]Pagos!$C$2:$D$353,2,FALSE)</f>
        <v>3100000</v>
      </c>
      <c r="Y730" s="295">
        <f t="shared" si="39"/>
        <v>12400000</v>
      </c>
      <c r="Z730" s="296">
        <f t="shared" si="40"/>
        <v>0.2</v>
      </c>
      <c r="AA730" s="85">
        <v>7633817</v>
      </c>
      <c r="AB730" s="85" t="s">
        <v>5425</v>
      </c>
      <c r="AC730" s="290" t="s">
        <v>196</v>
      </c>
      <c r="AD730" s="290" t="s">
        <v>196</v>
      </c>
      <c r="AE730" s="303"/>
      <c r="AF730" s="310" t="str">
        <f>VLOOKUP(E730,[10]Hoja1!$D$3:$E$327,2,FALSE)</f>
        <v>https://community.secop.gov.co/Public/Tendering/OpportunityDetail/Index?noticeUID=CO1.NTC.4727122&amp;isFromPublicArea=True&amp;isModal=true&amp;asPopupView=true</v>
      </c>
      <c r="AG730" s="290" t="s">
        <v>192</v>
      </c>
      <c r="AH730" s="290" t="s">
        <v>192</v>
      </c>
    </row>
    <row r="731" spans="1:34" s="297" customFormat="1" ht="15" customHeight="1" x14ac:dyDescent="0.2">
      <c r="A731" s="289">
        <v>891780111</v>
      </c>
      <c r="B731" s="289" t="s">
        <v>54</v>
      </c>
      <c r="C731" s="290" t="s">
        <v>56</v>
      </c>
      <c r="D731" s="289" t="s">
        <v>60</v>
      </c>
      <c r="E731" s="290" t="s">
        <v>9062</v>
      </c>
      <c r="F731" s="289" t="s">
        <v>61</v>
      </c>
      <c r="G731" s="85" t="s">
        <v>63</v>
      </c>
      <c r="H731" s="85" t="s">
        <v>73</v>
      </c>
      <c r="I731" s="237">
        <v>17000000</v>
      </c>
      <c r="J731" s="290"/>
      <c r="K731" s="291"/>
      <c r="L731" s="291"/>
      <c r="M731" s="292">
        <f t="shared" si="37"/>
        <v>17000000</v>
      </c>
      <c r="N731" s="85">
        <v>1083009761</v>
      </c>
      <c r="O731" s="85" t="s">
        <v>6595</v>
      </c>
      <c r="P731" s="85" t="s">
        <v>9063</v>
      </c>
      <c r="Q731" s="309">
        <f t="shared" si="38"/>
        <v>45114</v>
      </c>
      <c r="R731" s="309">
        <f t="shared" si="38"/>
        <v>45114</v>
      </c>
      <c r="S731" s="309">
        <f t="shared" si="41"/>
        <v>45260</v>
      </c>
      <c r="T731" s="293"/>
      <c r="U731" s="293"/>
      <c r="V731" s="293"/>
      <c r="W731" s="294"/>
      <c r="X731" s="237">
        <f>VLOOKUP(N731,[9]Pagos!$C$2:$D$353,2,FALSE)</f>
        <v>3400000</v>
      </c>
      <c r="Y731" s="295">
        <f t="shared" si="39"/>
        <v>13600000</v>
      </c>
      <c r="Z731" s="296">
        <f t="shared" si="40"/>
        <v>0.2</v>
      </c>
      <c r="AA731" s="85">
        <v>12621405</v>
      </c>
      <c r="AB731" s="85" t="s">
        <v>8695</v>
      </c>
      <c r="AC731" s="290" t="s">
        <v>196</v>
      </c>
      <c r="AD731" s="290" t="s">
        <v>196</v>
      </c>
      <c r="AE731" s="303"/>
      <c r="AF731" s="310" t="str">
        <f>VLOOKUP(E731,[10]Hoja1!$D$3:$E$327,2,FALSE)</f>
        <v>https://community.secop.gov.co/Public/Tendering/OpportunityDetail/Index?noticeUID=CO1.NTC.4727130&amp;isFromPublicArea=True&amp;isModal=true&amp;asPopupView=true</v>
      </c>
      <c r="AG731" s="290" t="s">
        <v>192</v>
      </c>
      <c r="AH731" s="290" t="s">
        <v>192</v>
      </c>
    </row>
    <row r="732" spans="1:34" s="297" customFormat="1" ht="15" customHeight="1" x14ac:dyDescent="0.2">
      <c r="A732" s="289">
        <v>891780111</v>
      </c>
      <c r="B732" s="289" t="s">
        <v>54</v>
      </c>
      <c r="C732" s="290" t="s">
        <v>56</v>
      </c>
      <c r="D732" s="289" t="s">
        <v>60</v>
      </c>
      <c r="E732" s="290" t="s">
        <v>9064</v>
      </c>
      <c r="F732" s="289" t="s">
        <v>61</v>
      </c>
      <c r="G732" s="85" t="s">
        <v>63</v>
      </c>
      <c r="H732" s="85" t="s">
        <v>73</v>
      </c>
      <c r="I732" s="237">
        <v>9500000</v>
      </c>
      <c r="J732" s="290"/>
      <c r="K732" s="291"/>
      <c r="L732" s="291"/>
      <c r="M732" s="292">
        <f t="shared" si="37"/>
        <v>9500000</v>
      </c>
      <c r="N732" s="85">
        <v>39049110</v>
      </c>
      <c r="O732" s="85" t="s">
        <v>454</v>
      </c>
      <c r="P732" s="85" t="s">
        <v>9031</v>
      </c>
      <c r="Q732" s="309">
        <f>DATE(2023,7,10)</f>
        <v>45117</v>
      </c>
      <c r="R732" s="309">
        <f>DATE(2023,7,10)</f>
        <v>45117</v>
      </c>
      <c r="S732" s="309">
        <f t="shared" si="41"/>
        <v>45260</v>
      </c>
      <c r="T732" s="293"/>
      <c r="U732" s="293"/>
      <c r="V732" s="293"/>
      <c r="W732" s="294"/>
      <c r="X732" s="237">
        <f>VLOOKUP(N732,[9]Pagos!$C$2:$D$353,2,FALSE)</f>
        <v>1900000</v>
      </c>
      <c r="Y732" s="295">
        <f t="shared" si="39"/>
        <v>7600000</v>
      </c>
      <c r="Z732" s="296">
        <f t="shared" si="40"/>
        <v>0.2</v>
      </c>
      <c r="AA732" s="85">
        <v>7631392</v>
      </c>
      <c r="AB732" s="85" t="s">
        <v>6633</v>
      </c>
      <c r="AC732" s="290" t="s">
        <v>196</v>
      </c>
      <c r="AD732" s="290" t="s">
        <v>196</v>
      </c>
      <c r="AE732" s="303"/>
      <c r="AF732" s="310" t="str">
        <f>VLOOKUP(E732,[10]Hoja1!$D$3:$E$327,2,FALSE)</f>
        <v>https://community.secop.gov.co/Public/Tendering/OpportunityDetail/Index?noticeUID=CO1.NTC.4732007&amp;isFromPublicArea=True&amp;isModal=true&amp;asPopupView=true</v>
      </c>
      <c r="AG732" s="290" t="s">
        <v>192</v>
      </c>
      <c r="AH732" s="290" t="s">
        <v>192</v>
      </c>
    </row>
    <row r="733" spans="1:34" s="297" customFormat="1" ht="15" customHeight="1" x14ac:dyDescent="0.2">
      <c r="A733" s="289">
        <v>891780111</v>
      </c>
      <c r="B733" s="289" t="s">
        <v>54</v>
      </c>
      <c r="C733" s="290" t="s">
        <v>56</v>
      </c>
      <c r="D733" s="289" t="s">
        <v>60</v>
      </c>
      <c r="E733" s="290" t="s">
        <v>9065</v>
      </c>
      <c r="F733" s="289" t="s">
        <v>61</v>
      </c>
      <c r="G733" s="85" t="s">
        <v>63</v>
      </c>
      <c r="H733" s="85" t="s">
        <v>73</v>
      </c>
      <c r="I733" s="237">
        <v>15500000</v>
      </c>
      <c r="J733" s="290"/>
      <c r="K733" s="291"/>
      <c r="L733" s="291"/>
      <c r="M733" s="292">
        <f t="shared" si="37"/>
        <v>15500000</v>
      </c>
      <c r="N733" s="85">
        <v>85472349</v>
      </c>
      <c r="O733" s="85" t="s">
        <v>6733</v>
      </c>
      <c r="P733" s="85" t="s">
        <v>9066</v>
      </c>
      <c r="Q733" s="309">
        <f t="shared" ref="Q733:R778" si="42">DATE(2023,7,10)</f>
        <v>45117</v>
      </c>
      <c r="R733" s="309">
        <f t="shared" si="42"/>
        <v>45117</v>
      </c>
      <c r="S733" s="309">
        <f t="shared" si="41"/>
        <v>45260</v>
      </c>
      <c r="T733" s="293"/>
      <c r="U733" s="293"/>
      <c r="V733" s="293"/>
      <c r="W733" s="294"/>
      <c r="X733" s="237">
        <f>VLOOKUP(N733,[9]Pagos!$C$2:$D$353,2,FALSE)</f>
        <v>3100000</v>
      </c>
      <c r="Y733" s="295">
        <f t="shared" si="39"/>
        <v>12400000</v>
      </c>
      <c r="Z733" s="296">
        <f t="shared" si="40"/>
        <v>0.2</v>
      </c>
      <c r="AA733" s="85">
        <v>85449357</v>
      </c>
      <c r="AB733" s="85" t="s">
        <v>2417</v>
      </c>
      <c r="AC733" s="290" t="s">
        <v>196</v>
      </c>
      <c r="AD733" s="290" t="s">
        <v>196</v>
      </c>
      <c r="AE733" s="303"/>
      <c r="AF733" s="310" t="str">
        <f>VLOOKUP(E733,[10]Hoja1!$D$3:$E$327,2,FALSE)</f>
        <v>https://community.secop.gov.co/Public/Tendering/OpportunityDetail/Index?noticeUID=CO1.NTC.4732527&amp;isFromPublicArea=True&amp;isModal=true&amp;asPopupView=true</v>
      </c>
      <c r="AG733" s="290" t="s">
        <v>192</v>
      </c>
      <c r="AH733" s="290" t="s">
        <v>192</v>
      </c>
    </row>
    <row r="734" spans="1:34" s="297" customFormat="1" ht="15" customHeight="1" x14ac:dyDescent="0.2">
      <c r="A734" s="289">
        <v>891780111</v>
      </c>
      <c r="B734" s="289" t="s">
        <v>54</v>
      </c>
      <c r="C734" s="290" t="s">
        <v>56</v>
      </c>
      <c r="D734" s="289" t="s">
        <v>60</v>
      </c>
      <c r="E734" s="290" t="s">
        <v>9067</v>
      </c>
      <c r="F734" s="289" t="s">
        <v>61</v>
      </c>
      <c r="G734" s="85" t="s">
        <v>63</v>
      </c>
      <c r="H734" s="85" t="s">
        <v>73</v>
      </c>
      <c r="I734" s="237">
        <v>17000000</v>
      </c>
      <c r="J734" s="290"/>
      <c r="K734" s="291"/>
      <c r="L734" s="291"/>
      <c r="M734" s="292">
        <f t="shared" si="37"/>
        <v>17000000</v>
      </c>
      <c r="N734" s="85">
        <v>1140877757</v>
      </c>
      <c r="O734" s="85" t="s">
        <v>4607</v>
      </c>
      <c r="P734" s="85" t="s">
        <v>9068</v>
      </c>
      <c r="Q734" s="309">
        <f t="shared" si="42"/>
        <v>45117</v>
      </c>
      <c r="R734" s="309">
        <f t="shared" si="42"/>
        <v>45117</v>
      </c>
      <c r="S734" s="309">
        <f t="shared" si="41"/>
        <v>45260</v>
      </c>
      <c r="T734" s="293"/>
      <c r="U734" s="293"/>
      <c r="V734" s="293"/>
      <c r="W734" s="294"/>
      <c r="X734" s="237">
        <f>VLOOKUP(N734,[9]Pagos!$C$2:$D$353,2,FALSE)</f>
        <v>3400000</v>
      </c>
      <c r="Y734" s="295">
        <f t="shared" si="39"/>
        <v>13600000</v>
      </c>
      <c r="Z734" s="296">
        <f t="shared" si="40"/>
        <v>0.2</v>
      </c>
      <c r="AA734" s="85">
        <v>85471791</v>
      </c>
      <c r="AB734" s="85" t="s">
        <v>7172</v>
      </c>
      <c r="AC734" s="290" t="s">
        <v>196</v>
      </c>
      <c r="AD734" s="290" t="s">
        <v>196</v>
      </c>
      <c r="AE734" s="303"/>
      <c r="AF734" s="310" t="str">
        <f>VLOOKUP(E734,[10]Hoja1!$D$3:$E$327,2,FALSE)</f>
        <v>https://community.secop.gov.co/Public/Tendering/OpportunityDetail/Index?noticeUID=CO1.NTC.4732389&amp;isFromPublicArea=True&amp;isModal=true&amp;asPopupView=true</v>
      </c>
      <c r="AG734" s="290" t="s">
        <v>192</v>
      </c>
      <c r="AH734" s="290" t="s">
        <v>192</v>
      </c>
    </row>
    <row r="735" spans="1:34" s="297" customFormat="1" ht="15" customHeight="1" x14ac:dyDescent="0.2">
      <c r="A735" s="289">
        <v>891780111</v>
      </c>
      <c r="B735" s="289" t="s">
        <v>54</v>
      </c>
      <c r="C735" s="290" t="s">
        <v>56</v>
      </c>
      <c r="D735" s="289" t="s">
        <v>60</v>
      </c>
      <c r="E735" s="290" t="s">
        <v>9069</v>
      </c>
      <c r="F735" s="289" t="s">
        <v>61</v>
      </c>
      <c r="G735" s="85" t="s">
        <v>63</v>
      </c>
      <c r="H735" s="85" t="s">
        <v>73</v>
      </c>
      <c r="I735" s="237">
        <v>12500000</v>
      </c>
      <c r="J735" s="290"/>
      <c r="K735" s="291"/>
      <c r="L735" s="291"/>
      <c r="M735" s="292">
        <f t="shared" si="37"/>
        <v>12500000</v>
      </c>
      <c r="N735" s="85">
        <v>57466567</v>
      </c>
      <c r="O735" s="85" t="s">
        <v>6789</v>
      </c>
      <c r="P735" s="85" t="s">
        <v>9070</v>
      </c>
      <c r="Q735" s="309">
        <f t="shared" si="42"/>
        <v>45117</v>
      </c>
      <c r="R735" s="309">
        <f t="shared" si="42"/>
        <v>45117</v>
      </c>
      <c r="S735" s="309">
        <f t="shared" si="41"/>
        <v>45260</v>
      </c>
      <c r="T735" s="293"/>
      <c r="U735" s="293"/>
      <c r="V735" s="293"/>
      <c r="W735" s="294"/>
      <c r="X735" s="237">
        <f>VLOOKUP(N735,[9]Pagos!$C$2:$D$353,2,FALSE)</f>
        <v>2500000</v>
      </c>
      <c r="Y735" s="295">
        <f t="shared" si="39"/>
        <v>10000000</v>
      </c>
      <c r="Z735" s="296">
        <f t="shared" si="40"/>
        <v>0.2</v>
      </c>
      <c r="AA735" s="85">
        <v>57444673</v>
      </c>
      <c r="AB735" s="85" t="s">
        <v>5370</v>
      </c>
      <c r="AC735" s="290" t="s">
        <v>196</v>
      </c>
      <c r="AD735" s="290" t="s">
        <v>196</v>
      </c>
      <c r="AE735" s="303"/>
      <c r="AF735" s="310" t="str">
        <f>VLOOKUP(E735,[10]Hoja1!$D$3:$E$327,2,FALSE)</f>
        <v>https://community.secop.gov.co/Public/Tendering/OpportunityDetail/Index?noticeUID=CO1.NTC.4732746&amp;isFromPublicArea=True&amp;isModal=true&amp;asPopupView=true</v>
      </c>
      <c r="AG735" s="290" t="s">
        <v>192</v>
      </c>
      <c r="AH735" s="290" t="s">
        <v>192</v>
      </c>
    </row>
    <row r="736" spans="1:34" s="297" customFormat="1" ht="15" customHeight="1" x14ac:dyDescent="0.2">
      <c r="A736" s="289">
        <v>891780111</v>
      </c>
      <c r="B736" s="289" t="s">
        <v>54</v>
      </c>
      <c r="C736" s="290" t="s">
        <v>56</v>
      </c>
      <c r="D736" s="289" t="s">
        <v>60</v>
      </c>
      <c r="E736" s="290" t="s">
        <v>9071</v>
      </c>
      <c r="F736" s="289" t="s">
        <v>61</v>
      </c>
      <c r="G736" s="85" t="s">
        <v>63</v>
      </c>
      <c r="H736" s="85" t="s">
        <v>73</v>
      </c>
      <c r="I736" s="237">
        <v>15500000</v>
      </c>
      <c r="J736" s="290"/>
      <c r="K736" s="291"/>
      <c r="L736" s="291"/>
      <c r="M736" s="292">
        <f t="shared" si="37"/>
        <v>15500000</v>
      </c>
      <c r="N736" s="85">
        <v>1082941227</v>
      </c>
      <c r="O736" s="85" t="s">
        <v>7899</v>
      </c>
      <c r="P736" s="85" t="s">
        <v>9072</v>
      </c>
      <c r="Q736" s="309">
        <f t="shared" si="42"/>
        <v>45117</v>
      </c>
      <c r="R736" s="309">
        <f t="shared" si="42"/>
        <v>45117</v>
      </c>
      <c r="S736" s="309">
        <f t="shared" si="41"/>
        <v>45260</v>
      </c>
      <c r="T736" s="293"/>
      <c r="U736" s="293"/>
      <c r="V736" s="293"/>
      <c r="W736" s="294"/>
      <c r="X736" s="237">
        <f>VLOOKUP(N736,[9]Pagos!$C$2:$D$353,2,FALSE)</f>
        <v>3100000</v>
      </c>
      <c r="Y736" s="295">
        <f t="shared" si="39"/>
        <v>12400000</v>
      </c>
      <c r="Z736" s="296">
        <f t="shared" si="40"/>
        <v>0.2</v>
      </c>
      <c r="AA736" s="85">
        <v>85471791</v>
      </c>
      <c r="AB736" s="85" t="s">
        <v>7172</v>
      </c>
      <c r="AC736" s="290" t="s">
        <v>196</v>
      </c>
      <c r="AD736" s="290" t="s">
        <v>196</v>
      </c>
      <c r="AE736" s="303"/>
      <c r="AF736" s="310" t="str">
        <f>VLOOKUP(E736,[10]Hoja1!$D$3:$E$327,2,FALSE)</f>
        <v>https://community.secop.gov.co/Public/Tendering/OpportunityDetail/Index?noticeUID=CO1.NTC.4732937&amp;isFromPublicArea=True&amp;isModal=true&amp;asPopupView=true</v>
      </c>
      <c r="AG736" s="290" t="s">
        <v>192</v>
      </c>
      <c r="AH736" s="290" t="s">
        <v>192</v>
      </c>
    </row>
    <row r="737" spans="1:34" s="297" customFormat="1" ht="15" customHeight="1" x14ac:dyDescent="0.2">
      <c r="A737" s="289">
        <v>891780111</v>
      </c>
      <c r="B737" s="289" t="s">
        <v>54</v>
      </c>
      <c r="C737" s="290" t="s">
        <v>56</v>
      </c>
      <c r="D737" s="289" t="s">
        <v>60</v>
      </c>
      <c r="E737" s="290" t="s">
        <v>9073</v>
      </c>
      <c r="F737" s="289" t="s">
        <v>61</v>
      </c>
      <c r="G737" s="85" t="s">
        <v>63</v>
      </c>
      <c r="H737" s="85" t="s">
        <v>73</v>
      </c>
      <c r="I737" s="237">
        <v>21500000</v>
      </c>
      <c r="J737" s="290"/>
      <c r="K737" s="291"/>
      <c r="L737" s="291"/>
      <c r="M737" s="292">
        <f t="shared" si="37"/>
        <v>21500000</v>
      </c>
      <c r="N737" s="85">
        <v>18491956</v>
      </c>
      <c r="O737" s="85" t="s">
        <v>6577</v>
      </c>
      <c r="P737" s="85" t="s">
        <v>9074</v>
      </c>
      <c r="Q737" s="309">
        <f t="shared" si="42"/>
        <v>45117</v>
      </c>
      <c r="R737" s="309">
        <f t="shared" si="42"/>
        <v>45117</v>
      </c>
      <c r="S737" s="309">
        <f t="shared" si="41"/>
        <v>45260</v>
      </c>
      <c r="T737" s="293"/>
      <c r="U737" s="293"/>
      <c r="V737" s="293"/>
      <c r="W737" s="294"/>
      <c r="X737" s="237">
        <f>VLOOKUP(N737,[9]Pagos!$C$2:$D$353,2,FALSE)</f>
        <v>4300000</v>
      </c>
      <c r="Y737" s="295">
        <f t="shared" si="39"/>
        <v>17200000</v>
      </c>
      <c r="Z737" s="296">
        <f t="shared" si="40"/>
        <v>0.2</v>
      </c>
      <c r="AA737" s="85">
        <v>12621405</v>
      </c>
      <c r="AB737" s="85" t="s">
        <v>8695</v>
      </c>
      <c r="AC737" s="290" t="s">
        <v>196</v>
      </c>
      <c r="AD737" s="290" t="s">
        <v>196</v>
      </c>
      <c r="AE737" s="303"/>
      <c r="AF737" s="310" t="str">
        <f>VLOOKUP(E737,[10]Hoja1!$D$3:$E$327,2,FALSE)</f>
        <v>https://community.secop.gov.co/Public/Tendering/OpportunityDetail/Index?noticeUID=CO1.NTC.4733041&amp;isFromPublicArea=True&amp;isModal=true&amp;asPopupView=true</v>
      </c>
      <c r="AG737" s="290" t="s">
        <v>192</v>
      </c>
      <c r="AH737" s="290" t="s">
        <v>192</v>
      </c>
    </row>
    <row r="738" spans="1:34" s="297" customFormat="1" ht="15" customHeight="1" x14ac:dyDescent="0.2">
      <c r="A738" s="289">
        <v>891780111</v>
      </c>
      <c r="B738" s="289" t="s">
        <v>54</v>
      </c>
      <c r="C738" s="290" t="s">
        <v>56</v>
      </c>
      <c r="D738" s="289" t="s">
        <v>60</v>
      </c>
      <c r="E738" s="290" t="s">
        <v>9075</v>
      </c>
      <c r="F738" s="289" t="s">
        <v>61</v>
      </c>
      <c r="G738" s="85" t="s">
        <v>63</v>
      </c>
      <c r="H738" s="85" t="s">
        <v>73</v>
      </c>
      <c r="I738" s="237">
        <v>27000000</v>
      </c>
      <c r="J738" s="290"/>
      <c r="K738" s="291"/>
      <c r="L738" s="291"/>
      <c r="M738" s="292">
        <f t="shared" si="37"/>
        <v>27000000</v>
      </c>
      <c r="N738" s="85">
        <v>41612964</v>
      </c>
      <c r="O738" s="85" t="s">
        <v>7062</v>
      </c>
      <c r="P738" s="85" t="s">
        <v>9076</v>
      </c>
      <c r="Q738" s="309">
        <f t="shared" si="42"/>
        <v>45117</v>
      </c>
      <c r="R738" s="309">
        <f t="shared" si="42"/>
        <v>45117</v>
      </c>
      <c r="S738" s="309">
        <f t="shared" si="41"/>
        <v>45260</v>
      </c>
      <c r="T738" s="293"/>
      <c r="U738" s="293"/>
      <c r="V738" s="293"/>
      <c r="W738" s="294"/>
      <c r="X738" s="237">
        <f>VLOOKUP(N738,[9]Pagos!$C$2:$D$353,2,FALSE)</f>
        <v>5400000</v>
      </c>
      <c r="Y738" s="295">
        <f t="shared" si="39"/>
        <v>21600000</v>
      </c>
      <c r="Z738" s="296">
        <f t="shared" si="40"/>
        <v>0.2</v>
      </c>
      <c r="AA738" s="85">
        <v>12621405</v>
      </c>
      <c r="AB738" s="85" t="s">
        <v>8695</v>
      </c>
      <c r="AC738" s="290" t="s">
        <v>196</v>
      </c>
      <c r="AD738" s="290" t="s">
        <v>196</v>
      </c>
      <c r="AE738" s="303"/>
      <c r="AF738" s="310" t="str">
        <f>VLOOKUP(E738,[10]Hoja1!$D$3:$E$327,2,FALSE)</f>
        <v>https://community.secop.gov.co/Public/Tendering/OpportunityDetail/Index?noticeUID=CO1.NTC.4733090&amp;isFromPublicArea=True&amp;isModal=true&amp;asPopupView=true</v>
      </c>
      <c r="AG738" s="290" t="s">
        <v>192</v>
      </c>
      <c r="AH738" s="290" t="s">
        <v>192</v>
      </c>
    </row>
    <row r="739" spans="1:34" s="297" customFormat="1" ht="15" customHeight="1" x14ac:dyDescent="0.2">
      <c r="A739" s="289">
        <v>891780111</v>
      </c>
      <c r="B739" s="289" t="s">
        <v>54</v>
      </c>
      <c r="C739" s="290" t="s">
        <v>56</v>
      </c>
      <c r="D739" s="289" t="s">
        <v>60</v>
      </c>
      <c r="E739" s="290" t="s">
        <v>9077</v>
      </c>
      <c r="F739" s="289" t="s">
        <v>61</v>
      </c>
      <c r="G739" s="85" t="s">
        <v>63</v>
      </c>
      <c r="H739" s="85" t="s">
        <v>73</v>
      </c>
      <c r="I739" s="237">
        <v>9500000</v>
      </c>
      <c r="J739" s="290"/>
      <c r="K739" s="291"/>
      <c r="L739" s="291"/>
      <c r="M739" s="292">
        <f t="shared" si="37"/>
        <v>9500000</v>
      </c>
      <c r="N739" s="85">
        <v>1119816783</v>
      </c>
      <c r="O739" s="85" t="s">
        <v>7153</v>
      </c>
      <c r="P739" s="85" t="s">
        <v>9078</v>
      </c>
      <c r="Q739" s="309">
        <f t="shared" si="42"/>
        <v>45117</v>
      </c>
      <c r="R739" s="309">
        <f t="shared" si="42"/>
        <v>45117</v>
      </c>
      <c r="S739" s="309">
        <f t="shared" si="41"/>
        <v>45260</v>
      </c>
      <c r="T739" s="293"/>
      <c r="U739" s="293"/>
      <c r="V739" s="293"/>
      <c r="W739" s="294"/>
      <c r="X739" s="237">
        <f>VLOOKUP(N739,[9]Pagos!$C$2:$D$353,2,FALSE)</f>
        <v>1900000</v>
      </c>
      <c r="Y739" s="295">
        <f t="shared" si="39"/>
        <v>7600000</v>
      </c>
      <c r="Z739" s="296">
        <f t="shared" si="40"/>
        <v>0.2</v>
      </c>
      <c r="AA739" s="85">
        <v>7631392</v>
      </c>
      <c r="AB739" s="85" t="s">
        <v>6633</v>
      </c>
      <c r="AC739" s="290" t="s">
        <v>196</v>
      </c>
      <c r="AD739" s="290" t="s">
        <v>196</v>
      </c>
      <c r="AE739" s="303"/>
      <c r="AF739" s="310" t="str">
        <f>VLOOKUP(E739,[10]Hoja1!$D$3:$E$327,2,FALSE)</f>
        <v>https://community.secop.gov.co/Public/Tendering/OpportunityDetail/Index?noticeUID=CO1.NTC.4733601&amp;isFromPublicArea=True&amp;isModal=true&amp;asPopupView=true</v>
      </c>
      <c r="AG739" s="290" t="s">
        <v>192</v>
      </c>
      <c r="AH739" s="290" t="s">
        <v>192</v>
      </c>
    </row>
    <row r="740" spans="1:34" s="297" customFormat="1" ht="15" customHeight="1" x14ac:dyDescent="0.2">
      <c r="A740" s="289">
        <v>891780111</v>
      </c>
      <c r="B740" s="289" t="s">
        <v>54</v>
      </c>
      <c r="C740" s="290" t="s">
        <v>56</v>
      </c>
      <c r="D740" s="289" t="s">
        <v>60</v>
      </c>
      <c r="E740" s="290" t="s">
        <v>9079</v>
      </c>
      <c r="F740" s="289" t="s">
        <v>61</v>
      </c>
      <c r="G740" s="85" t="s">
        <v>63</v>
      </c>
      <c r="H740" s="85" t="s">
        <v>73</v>
      </c>
      <c r="I740" s="237">
        <v>20000000</v>
      </c>
      <c r="J740" s="290"/>
      <c r="K740" s="291"/>
      <c r="L740" s="291"/>
      <c r="M740" s="292">
        <f t="shared" si="37"/>
        <v>20000000</v>
      </c>
      <c r="N740" s="85">
        <v>1083000350</v>
      </c>
      <c r="O740" s="85" t="s">
        <v>6565</v>
      </c>
      <c r="P740" s="85" t="s">
        <v>9080</v>
      </c>
      <c r="Q740" s="309">
        <f t="shared" si="42"/>
        <v>45117</v>
      </c>
      <c r="R740" s="309">
        <f t="shared" si="42"/>
        <v>45117</v>
      </c>
      <c r="S740" s="309">
        <f t="shared" si="41"/>
        <v>45260</v>
      </c>
      <c r="T740" s="293"/>
      <c r="U740" s="293"/>
      <c r="V740" s="293"/>
      <c r="W740" s="294"/>
      <c r="X740" s="237">
        <f>VLOOKUP(N740,[9]Pagos!$C$2:$D$353,2,FALSE)</f>
        <v>4000000</v>
      </c>
      <c r="Y740" s="295">
        <f t="shared" si="39"/>
        <v>16000000</v>
      </c>
      <c r="Z740" s="296">
        <f t="shared" si="40"/>
        <v>0.2</v>
      </c>
      <c r="AA740" s="85"/>
      <c r="AB740" s="85" t="s">
        <v>9081</v>
      </c>
      <c r="AC740" s="290" t="s">
        <v>196</v>
      </c>
      <c r="AD740" s="290" t="s">
        <v>196</v>
      </c>
      <c r="AE740" s="303"/>
      <c r="AF740" s="310" t="str">
        <f>VLOOKUP(E740,[10]Hoja1!$D$3:$E$327,2,FALSE)</f>
        <v>https://community.secop.gov.co/Public/Tendering/OpportunityDetail/Index?noticeUID=CO1.NTC.4733002&amp;isFromPublicArea=True&amp;isModal=true&amp;asPopupView=true</v>
      </c>
      <c r="AG740" s="290" t="s">
        <v>192</v>
      </c>
      <c r="AH740" s="290" t="s">
        <v>192</v>
      </c>
    </row>
    <row r="741" spans="1:34" s="297" customFormat="1" ht="15" customHeight="1" x14ac:dyDescent="0.2">
      <c r="A741" s="289">
        <v>891780111</v>
      </c>
      <c r="B741" s="289" t="s">
        <v>54</v>
      </c>
      <c r="C741" s="290" t="s">
        <v>56</v>
      </c>
      <c r="D741" s="289" t="s">
        <v>60</v>
      </c>
      <c r="E741" s="290" t="s">
        <v>9082</v>
      </c>
      <c r="F741" s="289" t="s">
        <v>61</v>
      </c>
      <c r="G741" s="85" t="s">
        <v>63</v>
      </c>
      <c r="H741" s="85" t="s">
        <v>73</v>
      </c>
      <c r="I741" s="237">
        <v>9500000</v>
      </c>
      <c r="J741" s="290"/>
      <c r="K741" s="291"/>
      <c r="L741" s="291"/>
      <c r="M741" s="292">
        <f t="shared" si="37"/>
        <v>9500000</v>
      </c>
      <c r="N741" s="85">
        <v>85476117</v>
      </c>
      <c r="O741" s="85" t="s">
        <v>8051</v>
      </c>
      <c r="P741" s="85" t="s">
        <v>9022</v>
      </c>
      <c r="Q741" s="309">
        <f t="shared" si="42"/>
        <v>45117</v>
      </c>
      <c r="R741" s="309">
        <f t="shared" si="42"/>
        <v>45117</v>
      </c>
      <c r="S741" s="309">
        <f t="shared" si="41"/>
        <v>45260</v>
      </c>
      <c r="T741" s="293"/>
      <c r="U741" s="293"/>
      <c r="V741" s="293"/>
      <c r="W741" s="294"/>
      <c r="X741" s="237">
        <f>VLOOKUP(N741,[9]Pagos!$C$2:$D$353,2,FALSE)</f>
        <v>1900000</v>
      </c>
      <c r="Y741" s="295">
        <f t="shared" si="39"/>
        <v>7600000</v>
      </c>
      <c r="Z741" s="296">
        <f t="shared" si="40"/>
        <v>0.2</v>
      </c>
      <c r="AA741" s="85">
        <v>85459497</v>
      </c>
      <c r="AB741" s="85" t="s">
        <v>4837</v>
      </c>
      <c r="AC741" s="290" t="s">
        <v>196</v>
      </c>
      <c r="AD741" s="290" t="s">
        <v>196</v>
      </c>
      <c r="AE741" s="303"/>
      <c r="AF741" s="310" t="str">
        <f>VLOOKUP(E741,[10]Hoja1!$D$3:$E$327,2,FALSE)</f>
        <v>https://community.secop.gov.co/Public/Tendering/OpportunityDetail/Index?noticeUID=CO1.NTC.4733059&amp;isFromPublicArea=True&amp;isModal=true&amp;asPopupView=true</v>
      </c>
      <c r="AG741" s="290" t="s">
        <v>192</v>
      </c>
      <c r="AH741" s="290" t="s">
        <v>192</v>
      </c>
    </row>
    <row r="742" spans="1:34" s="297" customFormat="1" ht="15" customHeight="1" x14ac:dyDescent="0.2">
      <c r="A742" s="289">
        <v>891780111</v>
      </c>
      <c r="B742" s="289" t="s">
        <v>54</v>
      </c>
      <c r="C742" s="290" t="s">
        <v>56</v>
      </c>
      <c r="D742" s="289" t="s">
        <v>60</v>
      </c>
      <c r="E742" s="290" t="s">
        <v>9083</v>
      </c>
      <c r="F742" s="289" t="s">
        <v>61</v>
      </c>
      <c r="G742" s="85" t="s">
        <v>63</v>
      </c>
      <c r="H742" s="85" t="s">
        <v>73</v>
      </c>
      <c r="I742" s="237">
        <v>14000000</v>
      </c>
      <c r="J742" s="290"/>
      <c r="K742" s="291"/>
      <c r="L742" s="291"/>
      <c r="M742" s="292">
        <f t="shared" si="37"/>
        <v>14000000</v>
      </c>
      <c r="N742" s="85">
        <v>1082952176</v>
      </c>
      <c r="O742" s="85" t="s">
        <v>6863</v>
      </c>
      <c r="P742" s="85" t="s">
        <v>9084</v>
      </c>
      <c r="Q742" s="309">
        <f t="shared" si="42"/>
        <v>45117</v>
      </c>
      <c r="R742" s="309">
        <f t="shared" si="42"/>
        <v>45117</v>
      </c>
      <c r="S742" s="309">
        <f t="shared" si="41"/>
        <v>45260</v>
      </c>
      <c r="T742" s="293"/>
      <c r="U742" s="293"/>
      <c r="V742" s="293"/>
      <c r="W742" s="294"/>
      <c r="X742" s="237">
        <f>VLOOKUP(N742,[9]Pagos!$C$2:$D$353,2,FALSE)</f>
        <v>2800000</v>
      </c>
      <c r="Y742" s="295">
        <f t="shared" si="39"/>
        <v>11200000</v>
      </c>
      <c r="Z742" s="296">
        <f t="shared" si="40"/>
        <v>0.2</v>
      </c>
      <c r="AA742" s="85">
        <v>85449357</v>
      </c>
      <c r="AB742" s="85" t="s">
        <v>6553</v>
      </c>
      <c r="AC742" s="290" t="s">
        <v>196</v>
      </c>
      <c r="AD742" s="290" t="s">
        <v>196</v>
      </c>
      <c r="AE742" s="303"/>
      <c r="AF742" s="310" t="str">
        <f>VLOOKUP(E742,[10]Hoja1!$D$3:$E$327,2,FALSE)</f>
        <v>https://community.secop.gov.co/Public/Tendering/OpportunityDetail/Index?noticeUID=CO1.NTC.4731477&amp;isFromPublicArea=True&amp;isModal=true&amp;asPopupView=true</v>
      </c>
      <c r="AG742" s="290" t="s">
        <v>192</v>
      </c>
      <c r="AH742" s="290" t="s">
        <v>192</v>
      </c>
    </row>
    <row r="743" spans="1:34" s="297" customFormat="1" ht="15" customHeight="1" x14ac:dyDescent="0.2">
      <c r="A743" s="289">
        <v>891780111</v>
      </c>
      <c r="B743" s="289" t="s">
        <v>54</v>
      </c>
      <c r="C743" s="290" t="s">
        <v>56</v>
      </c>
      <c r="D743" s="289" t="s">
        <v>60</v>
      </c>
      <c r="E743" s="290" t="s">
        <v>9085</v>
      </c>
      <c r="F743" s="289" t="s">
        <v>61</v>
      </c>
      <c r="G743" s="85" t="s">
        <v>63</v>
      </c>
      <c r="H743" s="85" t="s">
        <v>73</v>
      </c>
      <c r="I743" s="237">
        <v>24000000</v>
      </c>
      <c r="J743" s="290"/>
      <c r="K743" s="291"/>
      <c r="L743" s="291"/>
      <c r="M743" s="292">
        <f t="shared" si="37"/>
        <v>24000000</v>
      </c>
      <c r="N743" s="85">
        <v>7597867</v>
      </c>
      <c r="O743" s="85" t="s">
        <v>7495</v>
      </c>
      <c r="P743" s="85" t="s">
        <v>9086</v>
      </c>
      <c r="Q743" s="309">
        <f t="shared" si="42"/>
        <v>45117</v>
      </c>
      <c r="R743" s="309">
        <f t="shared" si="42"/>
        <v>45117</v>
      </c>
      <c r="S743" s="309">
        <f t="shared" si="41"/>
        <v>45260</v>
      </c>
      <c r="T743" s="293"/>
      <c r="U743" s="293"/>
      <c r="V743" s="293"/>
      <c r="W743" s="294"/>
      <c r="X743" s="237">
        <f>VLOOKUP(N743,[9]Pagos!$C$2:$D$353,2,FALSE)</f>
        <v>4800000</v>
      </c>
      <c r="Y743" s="295">
        <f t="shared" si="39"/>
        <v>19200000</v>
      </c>
      <c r="Z743" s="296">
        <f t="shared" si="40"/>
        <v>0.2</v>
      </c>
      <c r="AA743" s="85">
        <v>15443332</v>
      </c>
      <c r="AB743" s="85" t="s">
        <v>5907</v>
      </c>
      <c r="AC743" s="290" t="s">
        <v>196</v>
      </c>
      <c r="AD743" s="290" t="s">
        <v>196</v>
      </c>
      <c r="AE743" s="303"/>
      <c r="AF743" s="310" t="str">
        <f>VLOOKUP(E743,[10]Hoja1!$D$3:$E$327,2,FALSE)</f>
        <v>https://community.secop.gov.co/Public/Tendering/OpportunityDetail/Index?noticeUID=CO1.NTC.4731824&amp;isFromPublicArea=True&amp;isModal=true&amp;asPopupView=true</v>
      </c>
      <c r="AG743" s="290" t="s">
        <v>192</v>
      </c>
      <c r="AH743" s="290" t="s">
        <v>192</v>
      </c>
    </row>
    <row r="744" spans="1:34" s="297" customFormat="1" ht="15" customHeight="1" x14ac:dyDescent="0.2">
      <c r="A744" s="289">
        <v>891780111</v>
      </c>
      <c r="B744" s="289" t="s">
        <v>54</v>
      </c>
      <c r="C744" s="290" t="s">
        <v>56</v>
      </c>
      <c r="D744" s="289" t="s">
        <v>60</v>
      </c>
      <c r="E744" s="290" t="s">
        <v>9087</v>
      </c>
      <c r="F744" s="289" t="s">
        <v>61</v>
      </c>
      <c r="G744" s="85" t="s">
        <v>63</v>
      </c>
      <c r="H744" s="85" t="s">
        <v>73</v>
      </c>
      <c r="I744" s="237">
        <v>9500000</v>
      </c>
      <c r="J744" s="290"/>
      <c r="K744" s="291"/>
      <c r="L744" s="291"/>
      <c r="M744" s="292">
        <f t="shared" si="37"/>
        <v>9500000</v>
      </c>
      <c r="N744" s="85">
        <v>1079941098</v>
      </c>
      <c r="O744" s="85" t="s">
        <v>7450</v>
      </c>
      <c r="P744" s="85" t="s">
        <v>9088</v>
      </c>
      <c r="Q744" s="309">
        <f t="shared" si="42"/>
        <v>45117</v>
      </c>
      <c r="R744" s="309">
        <f t="shared" si="42"/>
        <v>45117</v>
      </c>
      <c r="S744" s="309">
        <f t="shared" si="41"/>
        <v>45260</v>
      </c>
      <c r="T744" s="293"/>
      <c r="U744" s="293"/>
      <c r="V744" s="293"/>
      <c r="W744" s="294"/>
      <c r="X744" s="237">
        <f>VLOOKUP(N744,[9]Pagos!$C$2:$D$353,2,FALSE)</f>
        <v>1900000</v>
      </c>
      <c r="Y744" s="295">
        <f t="shared" si="39"/>
        <v>7600000</v>
      </c>
      <c r="Z744" s="296">
        <f t="shared" si="40"/>
        <v>0.2</v>
      </c>
      <c r="AA744" s="85">
        <v>85459497</v>
      </c>
      <c r="AB744" s="85" t="s">
        <v>4837</v>
      </c>
      <c r="AC744" s="290" t="s">
        <v>196</v>
      </c>
      <c r="AD744" s="290" t="s">
        <v>196</v>
      </c>
      <c r="AE744" s="303"/>
      <c r="AF744" s="310" t="str">
        <f>VLOOKUP(E744,[10]Hoja1!$D$3:$E$327,2,FALSE)</f>
        <v>https://community.secop.gov.co/Public/Tendering/OpportunityDetail/Index?noticeUID=CO1.NTC.4731932&amp;isFromPublicArea=True&amp;isModal=true&amp;asPopupView=true</v>
      </c>
      <c r="AG744" s="290" t="s">
        <v>192</v>
      </c>
      <c r="AH744" s="290" t="s">
        <v>192</v>
      </c>
    </row>
    <row r="745" spans="1:34" s="297" customFormat="1" ht="15" customHeight="1" x14ac:dyDescent="0.2">
      <c r="A745" s="289">
        <v>891780111</v>
      </c>
      <c r="B745" s="289" t="s">
        <v>54</v>
      </c>
      <c r="C745" s="290" t="s">
        <v>56</v>
      </c>
      <c r="D745" s="289" t="s">
        <v>60</v>
      </c>
      <c r="E745" s="290" t="s">
        <v>9089</v>
      </c>
      <c r="F745" s="289" t="s">
        <v>61</v>
      </c>
      <c r="G745" s="85" t="s">
        <v>63</v>
      </c>
      <c r="H745" s="85" t="s">
        <v>73</v>
      </c>
      <c r="I745" s="237">
        <v>18000000</v>
      </c>
      <c r="J745" s="290"/>
      <c r="K745" s="291"/>
      <c r="L745" s="291"/>
      <c r="M745" s="292">
        <f t="shared" si="37"/>
        <v>18000000</v>
      </c>
      <c r="N745" s="85">
        <v>85472840</v>
      </c>
      <c r="O745" s="85" t="s">
        <v>6551</v>
      </c>
      <c r="P745" s="85" t="s">
        <v>9090</v>
      </c>
      <c r="Q745" s="309">
        <f t="shared" si="42"/>
        <v>45117</v>
      </c>
      <c r="R745" s="309">
        <f t="shared" si="42"/>
        <v>45117</v>
      </c>
      <c r="S745" s="309">
        <f t="shared" si="41"/>
        <v>45260</v>
      </c>
      <c r="T745" s="293"/>
      <c r="U745" s="293"/>
      <c r="V745" s="293"/>
      <c r="W745" s="294"/>
      <c r="X745" s="237">
        <f>VLOOKUP(N745,[9]Pagos!$C$2:$D$353,2,FALSE)</f>
        <v>3600000</v>
      </c>
      <c r="Y745" s="295">
        <f t="shared" si="39"/>
        <v>14400000</v>
      </c>
      <c r="Z745" s="296">
        <f t="shared" si="40"/>
        <v>0.2</v>
      </c>
      <c r="AA745" s="85"/>
      <c r="AB745" s="85" t="s">
        <v>9081</v>
      </c>
      <c r="AC745" s="290" t="s">
        <v>196</v>
      </c>
      <c r="AD745" s="290" t="s">
        <v>196</v>
      </c>
      <c r="AE745" s="303"/>
      <c r="AF745" s="310" t="str">
        <f>VLOOKUP(E745,[10]Hoja1!$D$3:$E$327,2,FALSE)</f>
        <v>https://community.secop.gov.co/Public/Tendering/OpportunityDetail/Index?noticeUID=CO1.NTC.4732187&amp;isFromPublicArea=True&amp;isModal=true&amp;asPopupView=true</v>
      </c>
      <c r="AG745" s="290" t="s">
        <v>192</v>
      </c>
      <c r="AH745" s="290" t="s">
        <v>192</v>
      </c>
    </row>
    <row r="746" spans="1:34" s="297" customFormat="1" ht="15" customHeight="1" x14ac:dyDescent="0.2">
      <c r="A746" s="289">
        <v>891780111</v>
      </c>
      <c r="B746" s="289" t="s">
        <v>54</v>
      </c>
      <c r="C746" s="290" t="s">
        <v>59</v>
      </c>
      <c r="D746" s="289" t="s">
        <v>60</v>
      </c>
      <c r="E746" s="290" t="s">
        <v>9091</v>
      </c>
      <c r="F746" s="289" t="s">
        <v>61</v>
      </c>
      <c r="G746" s="85" t="s">
        <v>63</v>
      </c>
      <c r="H746" s="85" t="s">
        <v>73</v>
      </c>
      <c r="I746" s="237">
        <v>17500000</v>
      </c>
      <c r="J746" s="290"/>
      <c r="K746" s="291"/>
      <c r="L746" s="291"/>
      <c r="M746" s="292">
        <f t="shared" si="37"/>
        <v>17500000</v>
      </c>
      <c r="N746" s="85">
        <v>1082983016</v>
      </c>
      <c r="O746" s="85" t="s">
        <v>8378</v>
      </c>
      <c r="P746" s="85" t="s">
        <v>9092</v>
      </c>
      <c r="Q746" s="309">
        <f t="shared" si="42"/>
        <v>45117</v>
      </c>
      <c r="R746" s="309">
        <f t="shared" si="42"/>
        <v>45117</v>
      </c>
      <c r="S746" s="309">
        <f t="shared" si="41"/>
        <v>45260</v>
      </c>
      <c r="T746" s="293"/>
      <c r="U746" s="293"/>
      <c r="V746" s="293"/>
      <c r="W746" s="294"/>
      <c r="X746" s="237">
        <f>VLOOKUP(N746,[9]Pagos!$C$2:$D$353,2,FALSE)</f>
        <v>3500000</v>
      </c>
      <c r="Y746" s="295">
        <f t="shared" si="39"/>
        <v>14000000</v>
      </c>
      <c r="Z746" s="296">
        <f t="shared" si="40"/>
        <v>0.2</v>
      </c>
      <c r="AA746" s="85">
        <v>1192791759</v>
      </c>
      <c r="AB746" s="85" t="s">
        <v>6649</v>
      </c>
      <c r="AC746" s="290" t="s">
        <v>196</v>
      </c>
      <c r="AD746" s="290" t="s">
        <v>196</v>
      </c>
      <c r="AE746" s="303"/>
      <c r="AF746" s="310" t="str">
        <f>VLOOKUP(E746,[10]Hoja1!$D$3:$E$327,2,FALSE)</f>
        <v>https://community.secop.gov.co/Public/Tendering/OpportunityDetail/Index?noticeUID=CO1.NTC.4732634&amp;isFromPublicArea=True&amp;isModal=true&amp;asPopupView=true</v>
      </c>
      <c r="AG746" s="290" t="s">
        <v>192</v>
      </c>
      <c r="AH746" s="290" t="s">
        <v>192</v>
      </c>
    </row>
    <row r="747" spans="1:34" s="297" customFormat="1" ht="15" customHeight="1" x14ac:dyDescent="0.2">
      <c r="A747" s="289">
        <v>891780111</v>
      </c>
      <c r="B747" s="289" t="s">
        <v>54</v>
      </c>
      <c r="C747" s="290" t="s">
        <v>56</v>
      </c>
      <c r="D747" s="289" t="s">
        <v>60</v>
      </c>
      <c r="E747" s="290" t="s">
        <v>9093</v>
      </c>
      <c r="F747" s="289" t="s">
        <v>61</v>
      </c>
      <c r="G747" s="85" t="s">
        <v>63</v>
      </c>
      <c r="H747" s="85" t="s">
        <v>73</v>
      </c>
      <c r="I747" s="237">
        <v>14000000</v>
      </c>
      <c r="J747" s="290"/>
      <c r="K747" s="291"/>
      <c r="L747" s="291"/>
      <c r="M747" s="292">
        <f t="shared" si="37"/>
        <v>14000000</v>
      </c>
      <c r="N747" s="85">
        <v>1020757367</v>
      </c>
      <c r="O747" s="85" t="s">
        <v>7696</v>
      </c>
      <c r="P747" s="85" t="s">
        <v>9094</v>
      </c>
      <c r="Q747" s="309">
        <f t="shared" si="42"/>
        <v>45117</v>
      </c>
      <c r="R747" s="309">
        <f t="shared" si="42"/>
        <v>45117</v>
      </c>
      <c r="S747" s="309">
        <f t="shared" si="41"/>
        <v>45260</v>
      </c>
      <c r="T747" s="293"/>
      <c r="U747" s="293"/>
      <c r="V747" s="293"/>
      <c r="W747" s="294"/>
      <c r="X747" s="237">
        <f>VLOOKUP(N747,[9]Pagos!$C$2:$D$353,2,FALSE)</f>
        <v>2800000</v>
      </c>
      <c r="Y747" s="295">
        <f t="shared" si="39"/>
        <v>11200000</v>
      </c>
      <c r="Z747" s="296">
        <f t="shared" si="40"/>
        <v>0.2</v>
      </c>
      <c r="AA747" s="85"/>
      <c r="AB747" s="85" t="s">
        <v>176</v>
      </c>
      <c r="AC747" s="290" t="s">
        <v>196</v>
      </c>
      <c r="AD747" s="290" t="s">
        <v>196</v>
      </c>
      <c r="AE747" s="303"/>
      <c r="AF747" s="310" t="str">
        <f>VLOOKUP(E747,[10]Hoja1!$D$3:$E$327,2,FALSE)</f>
        <v>https://community.secop.gov.co/Public/Tendering/OpportunityDetail/Index?noticeUID=CO1.NTC.4732181&amp;isFromPublicArea=True&amp;isModal=true&amp;asPopupView=true</v>
      </c>
      <c r="AG747" s="290" t="s">
        <v>192</v>
      </c>
      <c r="AH747" s="290" t="s">
        <v>192</v>
      </c>
    </row>
    <row r="748" spans="1:34" s="297" customFormat="1" ht="15" customHeight="1" x14ac:dyDescent="0.2">
      <c r="A748" s="289">
        <v>891780111</v>
      </c>
      <c r="B748" s="289" t="s">
        <v>54</v>
      </c>
      <c r="C748" s="290" t="s">
        <v>56</v>
      </c>
      <c r="D748" s="289" t="s">
        <v>60</v>
      </c>
      <c r="E748" s="290" t="s">
        <v>9095</v>
      </c>
      <c r="F748" s="289" t="s">
        <v>61</v>
      </c>
      <c r="G748" s="85" t="s">
        <v>63</v>
      </c>
      <c r="H748" s="85" t="s">
        <v>73</v>
      </c>
      <c r="I748" s="237">
        <v>15500000</v>
      </c>
      <c r="J748" s="290"/>
      <c r="K748" s="291"/>
      <c r="L748" s="291"/>
      <c r="M748" s="292">
        <f t="shared" si="37"/>
        <v>15500000</v>
      </c>
      <c r="N748" s="85">
        <v>1082941715</v>
      </c>
      <c r="O748" s="85" t="s">
        <v>6706</v>
      </c>
      <c r="P748" s="85" t="s">
        <v>9096</v>
      </c>
      <c r="Q748" s="309">
        <f t="shared" si="42"/>
        <v>45117</v>
      </c>
      <c r="R748" s="309">
        <f t="shared" si="42"/>
        <v>45117</v>
      </c>
      <c r="S748" s="309">
        <f t="shared" si="41"/>
        <v>45260</v>
      </c>
      <c r="T748" s="293"/>
      <c r="U748" s="293"/>
      <c r="V748" s="293"/>
      <c r="W748" s="294"/>
      <c r="X748" s="237">
        <f>VLOOKUP(N748,[9]Pagos!$C$2:$D$353,2,FALSE)</f>
        <v>3100000</v>
      </c>
      <c r="Y748" s="295">
        <f t="shared" si="39"/>
        <v>12400000</v>
      </c>
      <c r="Z748" s="296">
        <f t="shared" si="40"/>
        <v>0.2</v>
      </c>
      <c r="AA748" s="85">
        <v>85465146</v>
      </c>
      <c r="AB748" s="85" t="s">
        <v>6628</v>
      </c>
      <c r="AC748" s="290" t="s">
        <v>196</v>
      </c>
      <c r="AD748" s="290" t="s">
        <v>196</v>
      </c>
      <c r="AE748" s="303"/>
      <c r="AF748" s="310" t="str">
        <f>VLOOKUP(E748,[10]Hoja1!$D$3:$E$327,2,FALSE)</f>
        <v>https://community.secop.gov.co/Public/Tendering/OpportunityDetail/Index?noticeUID=CO1.NTC.4732517&amp;isFromPublicArea=True&amp;isModal=true&amp;asPopupView=true</v>
      </c>
      <c r="AG748" s="290" t="s">
        <v>192</v>
      </c>
      <c r="AH748" s="290" t="s">
        <v>192</v>
      </c>
    </row>
    <row r="749" spans="1:34" s="297" customFormat="1" ht="15" customHeight="1" x14ac:dyDescent="0.2">
      <c r="A749" s="289">
        <v>891780111</v>
      </c>
      <c r="B749" s="289" t="s">
        <v>54</v>
      </c>
      <c r="C749" s="290" t="s">
        <v>56</v>
      </c>
      <c r="D749" s="289" t="s">
        <v>60</v>
      </c>
      <c r="E749" s="290" t="s">
        <v>9097</v>
      </c>
      <c r="F749" s="289" t="s">
        <v>61</v>
      </c>
      <c r="G749" s="85" t="s">
        <v>63</v>
      </c>
      <c r="H749" s="85" t="s">
        <v>73</v>
      </c>
      <c r="I749" s="237">
        <v>15500000</v>
      </c>
      <c r="J749" s="290"/>
      <c r="K749" s="291"/>
      <c r="L749" s="291"/>
      <c r="M749" s="292">
        <f t="shared" si="37"/>
        <v>15500000</v>
      </c>
      <c r="N749" s="85">
        <v>84453261</v>
      </c>
      <c r="O749" s="85" t="s">
        <v>6820</v>
      </c>
      <c r="P749" s="85" t="s">
        <v>9098</v>
      </c>
      <c r="Q749" s="309">
        <f t="shared" si="42"/>
        <v>45117</v>
      </c>
      <c r="R749" s="309">
        <f t="shared" si="42"/>
        <v>45117</v>
      </c>
      <c r="S749" s="309">
        <f t="shared" si="41"/>
        <v>45260</v>
      </c>
      <c r="T749" s="293"/>
      <c r="U749" s="293"/>
      <c r="V749" s="293"/>
      <c r="W749" s="294"/>
      <c r="X749" s="237">
        <f>VLOOKUP(N749,[9]Pagos!$C$2:$D$353,2,FALSE)</f>
        <v>3100000</v>
      </c>
      <c r="Y749" s="295">
        <f t="shared" si="39"/>
        <v>12400000</v>
      </c>
      <c r="Z749" s="296">
        <f t="shared" si="40"/>
        <v>0.2</v>
      </c>
      <c r="AA749" s="85">
        <v>85459497</v>
      </c>
      <c r="AB749" s="85" t="s">
        <v>4837</v>
      </c>
      <c r="AC749" s="290" t="s">
        <v>196</v>
      </c>
      <c r="AD749" s="290" t="s">
        <v>196</v>
      </c>
      <c r="AE749" s="303"/>
      <c r="AF749" s="310" t="str">
        <f>VLOOKUP(E749,[10]Hoja1!$D$3:$E$327,2,FALSE)</f>
        <v>https://community.secop.gov.co/Public/Tendering/OpportunityDetail/Index?noticeUID=CO1.NTC.4732530&amp;isFromPublicArea=True&amp;isModal=true&amp;asPopupView=true</v>
      </c>
      <c r="AG749" s="290" t="s">
        <v>192</v>
      </c>
      <c r="AH749" s="290" t="s">
        <v>192</v>
      </c>
    </row>
    <row r="750" spans="1:34" s="297" customFormat="1" ht="15" customHeight="1" x14ac:dyDescent="0.2">
      <c r="A750" s="289">
        <v>891780111</v>
      </c>
      <c r="B750" s="289" t="s">
        <v>54</v>
      </c>
      <c r="C750" s="290" t="s">
        <v>56</v>
      </c>
      <c r="D750" s="289" t="s">
        <v>60</v>
      </c>
      <c r="E750" s="290" t="s">
        <v>9099</v>
      </c>
      <c r="F750" s="289" t="s">
        <v>61</v>
      </c>
      <c r="G750" s="85" t="s">
        <v>63</v>
      </c>
      <c r="H750" s="85" t="s">
        <v>73</v>
      </c>
      <c r="I750" s="237">
        <v>15500000</v>
      </c>
      <c r="J750" s="290"/>
      <c r="K750" s="291"/>
      <c r="L750" s="291"/>
      <c r="M750" s="292">
        <f t="shared" si="37"/>
        <v>15500000</v>
      </c>
      <c r="N750" s="85">
        <v>1082990998</v>
      </c>
      <c r="O750" s="85" t="s">
        <v>6848</v>
      </c>
      <c r="P750" s="85" t="s">
        <v>9100</v>
      </c>
      <c r="Q750" s="309">
        <f t="shared" si="42"/>
        <v>45117</v>
      </c>
      <c r="R750" s="309">
        <f t="shared" si="42"/>
        <v>45117</v>
      </c>
      <c r="S750" s="309">
        <f t="shared" si="41"/>
        <v>45260</v>
      </c>
      <c r="T750" s="293"/>
      <c r="U750" s="293"/>
      <c r="V750" s="293"/>
      <c r="W750" s="294"/>
      <c r="X750" s="237">
        <f>VLOOKUP(N750,[9]Pagos!$C$2:$D$353,2,FALSE)</f>
        <v>3100000</v>
      </c>
      <c r="Y750" s="295">
        <f t="shared" si="39"/>
        <v>12400000</v>
      </c>
      <c r="Z750" s="296">
        <f t="shared" si="40"/>
        <v>0.2</v>
      </c>
      <c r="AA750" s="85">
        <v>57461216</v>
      </c>
      <c r="AB750" s="85" t="s">
        <v>6512</v>
      </c>
      <c r="AC750" s="290" t="s">
        <v>196</v>
      </c>
      <c r="AD750" s="290" t="s">
        <v>196</v>
      </c>
      <c r="AE750" s="303"/>
      <c r="AF750" s="310" t="str">
        <f>VLOOKUP(E750,[10]Hoja1!$D$3:$E$327,2,FALSE)</f>
        <v>https://community.secop.gov.co/Public/Tendering/OpportunityDetail/Index?noticeUID=CO1.NTC.4732644&amp;isFromPublicArea=True&amp;isModal=true&amp;asPopupView=true</v>
      </c>
      <c r="AG750" s="290" t="s">
        <v>192</v>
      </c>
      <c r="AH750" s="290" t="s">
        <v>192</v>
      </c>
    </row>
    <row r="751" spans="1:34" s="297" customFormat="1" ht="15" customHeight="1" x14ac:dyDescent="0.2">
      <c r="A751" s="289">
        <v>891780111</v>
      </c>
      <c r="B751" s="289" t="s">
        <v>54</v>
      </c>
      <c r="C751" s="290" t="s">
        <v>56</v>
      </c>
      <c r="D751" s="289" t="s">
        <v>60</v>
      </c>
      <c r="E751" s="290" t="s">
        <v>9101</v>
      </c>
      <c r="F751" s="289" t="s">
        <v>61</v>
      </c>
      <c r="G751" s="85" t="s">
        <v>63</v>
      </c>
      <c r="H751" s="85" t="s">
        <v>73</v>
      </c>
      <c r="I751" s="237">
        <v>15500000</v>
      </c>
      <c r="J751" s="290"/>
      <c r="K751" s="291"/>
      <c r="L751" s="291"/>
      <c r="M751" s="292">
        <f t="shared" si="37"/>
        <v>15500000</v>
      </c>
      <c r="N751" s="85">
        <v>85472799</v>
      </c>
      <c r="O751" s="85" t="s">
        <v>6994</v>
      </c>
      <c r="P751" s="85" t="s">
        <v>9102</v>
      </c>
      <c r="Q751" s="309">
        <f t="shared" si="42"/>
        <v>45117</v>
      </c>
      <c r="R751" s="309">
        <f t="shared" si="42"/>
        <v>45117</v>
      </c>
      <c r="S751" s="309">
        <f t="shared" si="41"/>
        <v>45260</v>
      </c>
      <c r="T751" s="293"/>
      <c r="U751" s="293"/>
      <c r="V751" s="293"/>
      <c r="W751" s="294"/>
      <c r="X751" s="237">
        <f>VLOOKUP(N751,[9]Pagos!$C$2:$D$353,2,FALSE)</f>
        <v>3100000</v>
      </c>
      <c r="Y751" s="295">
        <f t="shared" si="39"/>
        <v>12400000</v>
      </c>
      <c r="Z751" s="296">
        <f t="shared" si="40"/>
        <v>0.2</v>
      </c>
      <c r="AA751" s="85">
        <v>12621405</v>
      </c>
      <c r="AB751" s="85" t="s">
        <v>8695</v>
      </c>
      <c r="AC751" s="290" t="s">
        <v>196</v>
      </c>
      <c r="AD751" s="290" t="s">
        <v>196</v>
      </c>
      <c r="AE751" s="303"/>
      <c r="AF751" s="310" t="str">
        <f>VLOOKUP(E751,[10]Hoja1!$D$3:$E$327,2,FALSE)</f>
        <v>https://community.secop.gov.co/Public/Tendering/OpportunityDetail/Index?noticeUID=CO1.NTC.4732659&amp;isFromPublicArea=True&amp;isModal=true&amp;asPopupView=true</v>
      </c>
      <c r="AG751" s="290" t="s">
        <v>192</v>
      </c>
      <c r="AH751" s="290" t="s">
        <v>192</v>
      </c>
    </row>
    <row r="752" spans="1:34" s="297" customFormat="1" ht="15" customHeight="1" x14ac:dyDescent="0.2">
      <c r="A752" s="289">
        <v>891780111</v>
      </c>
      <c r="B752" s="289" t="s">
        <v>54</v>
      </c>
      <c r="C752" s="290" t="s">
        <v>56</v>
      </c>
      <c r="D752" s="289" t="s">
        <v>60</v>
      </c>
      <c r="E752" s="290" t="s">
        <v>9103</v>
      </c>
      <c r="F752" s="289" t="s">
        <v>61</v>
      </c>
      <c r="G752" s="85" t="s">
        <v>63</v>
      </c>
      <c r="H752" s="85" t="s">
        <v>73</v>
      </c>
      <c r="I752" s="237">
        <v>14000000</v>
      </c>
      <c r="J752" s="290"/>
      <c r="K752" s="291"/>
      <c r="L752" s="291"/>
      <c r="M752" s="292">
        <f t="shared" si="37"/>
        <v>14000000</v>
      </c>
      <c r="N752" s="85">
        <v>1082949911</v>
      </c>
      <c r="O752" s="85" t="s">
        <v>6527</v>
      </c>
      <c r="P752" s="85" t="s">
        <v>9104</v>
      </c>
      <c r="Q752" s="309">
        <f t="shared" si="42"/>
        <v>45117</v>
      </c>
      <c r="R752" s="309">
        <f t="shared" si="42"/>
        <v>45117</v>
      </c>
      <c r="S752" s="309">
        <f t="shared" si="41"/>
        <v>45260</v>
      </c>
      <c r="T752" s="293"/>
      <c r="U752" s="293"/>
      <c r="V752" s="293"/>
      <c r="W752" s="294"/>
      <c r="X752" s="237">
        <f>VLOOKUP(N752,[9]Pagos!$C$2:$D$353,2,FALSE)</f>
        <v>2800000</v>
      </c>
      <c r="Y752" s="295">
        <f t="shared" si="39"/>
        <v>11200000</v>
      </c>
      <c r="Z752" s="296">
        <f t="shared" si="40"/>
        <v>0.2</v>
      </c>
      <c r="AA752" s="85">
        <v>57461216</v>
      </c>
      <c r="AB752" s="85" t="s">
        <v>6512</v>
      </c>
      <c r="AC752" s="290" t="s">
        <v>196</v>
      </c>
      <c r="AD752" s="290" t="s">
        <v>196</v>
      </c>
      <c r="AE752" s="303"/>
      <c r="AF752" s="310" t="str">
        <f>VLOOKUP(E752,[10]Hoja1!$D$3:$E$327,2,FALSE)</f>
        <v>https://community.secop.gov.co/Public/Tendering/OpportunityDetail/Index?noticeUID=CO1.NTC.4732737&amp;isFromPublicArea=True&amp;isModal=true&amp;asPopupView=true</v>
      </c>
      <c r="AG752" s="290" t="s">
        <v>192</v>
      </c>
      <c r="AH752" s="290" t="s">
        <v>192</v>
      </c>
    </row>
    <row r="753" spans="1:34" s="297" customFormat="1" ht="15" customHeight="1" x14ac:dyDescent="0.2">
      <c r="A753" s="289">
        <v>891780111</v>
      </c>
      <c r="B753" s="289" t="s">
        <v>54</v>
      </c>
      <c r="C753" s="290" t="s">
        <v>56</v>
      </c>
      <c r="D753" s="289" t="s">
        <v>60</v>
      </c>
      <c r="E753" s="290" t="s">
        <v>9105</v>
      </c>
      <c r="F753" s="289" t="s">
        <v>61</v>
      </c>
      <c r="G753" s="85" t="s">
        <v>63</v>
      </c>
      <c r="H753" s="85" t="s">
        <v>73</v>
      </c>
      <c r="I753" s="237">
        <v>3600000</v>
      </c>
      <c r="J753" s="290">
        <v>1</v>
      </c>
      <c r="K753" s="291"/>
      <c r="L753" s="291"/>
      <c r="M753" s="292">
        <f t="shared" si="37"/>
        <v>3600000</v>
      </c>
      <c r="N753" s="85">
        <v>1083032147</v>
      </c>
      <c r="O753" s="85" t="s">
        <v>8803</v>
      </c>
      <c r="P753" s="85" t="s">
        <v>8881</v>
      </c>
      <c r="Q753" s="309">
        <f t="shared" si="42"/>
        <v>45117</v>
      </c>
      <c r="R753" s="309">
        <f>DATE(2023,7,11)</f>
        <v>45118</v>
      </c>
      <c r="S753" s="309">
        <f>DATE(2023,7,24)</f>
        <v>45131</v>
      </c>
      <c r="T753" s="293"/>
      <c r="U753" s="293"/>
      <c r="V753" s="293"/>
      <c r="W753" s="304">
        <f>DATE(2023,7,31)</f>
        <v>45138</v>
      </c>
      <c r="X753" s="237">
        <f>VLOOKUP(N753,[9]Pagos!$C$2:$D$353,2,FALSE)</f>
        <v>3600000</v>
      </c>
      <c r="Y753" s="295">
        <f t="shared" si="39"/>
        <v>0</v>
      </c>
      <c r="Z753" s="296">
        <f t="shared" si="40"/>
        <v>1</v>
      </c>
      <c r="AA753" s="85">
        <v>41947381</v>
      </c>
      <c r="AB753" s="85" t="s">
        <v>6440</v>
      </c>
      <c r="AC753" s="290" t="s">
        <v>196</v>
      </c>
      <c r="AD753" s="290" t="s">
        <v>196</v>
      </c>
      <c r="AE753" s="303"/>
      <c r="AF753" s="310" t="str">
        <f>VLOOKUP(E753,[10]Hoja1!$D$3:$E$327,2,FALSE)</f>
        <v>https://community.secop.gov.co/Public/Tendering/OpportunityDetail/Index?noticeUID=CO1.NTC.4735229&amp;isFromPublicArea=True&amp;isModal=true&amp;asPopupView=true</v>
      </c>
      <c r="AG753" s="290" t="s">
        <v>192</v>
      </c>
      <c r="AH753" s="290" t="s">
        <v>192</v>
      </c>
    </row>
    <row r="754" spans="1:34" s="297" customFormat="1" ht="15" customHeight="1" x14ac:dyDescent="0.2">
      <c r="A754" s="289">
        <v>891780111</v>
      </c>
      <c r="B754" s="289" t="s">
        <v>54</v>
      </c>
      <c r="C754" s="290" t="s">
        <v>56</v>
      </c>
      <c r="D754" s="289" t="s">
        <v>60</v>
      </c>
      <c r="E754" s="290" t="s">
        <v>9106</v>
      </c>
      <c r="F754" s="289" t="s">
        <v>61</v>
      </c>
      <c r="G754" s="85" t="s">
        <v>63</v>
      </c>
      <c r="H754" s="85" t="s">
        <v>73</v>
      </c>
      <c r="I754" s="237">
        <v>2700000</v>
      </c>
      <c r="J754" s="290"/>
      <c r="K754" s="291"/>
      <c r="L754" s="291"/>
      <c r="M754" s="292">
        <f t="shared" si="37"/>
        <v>2700000</v>
      </c>
      <c r="N754" s="85">
        <v>40935960</v>
      </c>
      <c r="O754" s="85" t="s">
        <v>1265</v>
      </c>
      <c r="P754" s="85" t="s">
        <v>9107</v>
      </c>
      <c r="Q754" s="309">
        <f t="shared" si="42"/>
        <v>45117</v>
      </c>
      <c r="R754" s="309">
        <f t="shared" ref="R754:R756" si="43">DATE(2023,7,11)</f>
        <v>45118</v>
      </c>
      <c r="S754" s="309">
        <f t="shared" ref="S754:S756" si="44">DATE(2023,7,24)</f>
        <v>45131</v>
      </c>
      <c r="T754" s="293"/>
      <c r="U754" s="293"/>
      <c r="V754" s="293"/>
      <c r="W754" s="294"/>
      <c r="X754" s="237">
        <f>VLOOKUP(N754,[9]Pagos!$C$2:$D$353,2,FALSE)</f>
        <v>2700000</v>
      </c>
      <c r="Y754" s="295">
        <f t="shared" si="39"/>
        <v>0</v>
      </c>
      <c r="Z754" s="296">
        <f t="shared" si="40"/>
        <v>1</v>
      </c>
      <c r="AA754" s="85">
        <v>41947381</v>
      </c>
      <c r="AB754" s="85" t="s">
        <v>6440</v>
      </c>
      <c r="AC754" s="290" t="s">
        <v>196</v>
      </c>
      <c r="AD754" s="290" t="s">
        <v>196</v>
      </c>
      <c r="AE754" s="303"/>
      <c r="AF754" s="310" t="str">
        <f>VLOOKUP(E754,[10]Hoja1!$D$3:$E$327,2,FALSE)</f>
        <v>https://community.secop.gov.co/Public/Tendering/OpportunityDetail/Index?noticeUID=CO1.NTC.4732756&amp;isFromPublicArea=True&amp;isModal=true&amp;asPopupView=true</v>
      </c>
      <c r="AG754" s="290" t="s">
        <v>192</v>
      </c>
      <c r="AH754" s="290" t="s">
        <v>192</v>
      </c>
    </row>
    <row r="755" spans="1:34" s="297" customFormat="1" ht="15" customHeight="1" x14ac:dyDescent="0.2">
      <c r="A755" s="289">
        <v>891780111</v>
      </c>
      <c r="B755" s="289" t="s">
        <v>54</v>
      </c>
      <c r="C755" s="290" t="s">
        <v>56</v>
      </c>
      <c r="D755" s="289" t="s">
        <v>60</v>
      </c>
      <c r="E755" s="290" t="s">
        <v>9108</v>
      </c>
      <c r="F755" s="289" t="s">
        <v>61</v>
      </c>
      <c r="G755" s="85" t="s">
        <v>63</v>
      </c>
      <c r="H755" s="85" t="s">
        <v>73</v>
      </c>
      <c r="I755" s="237">
        <v>2700000</v>
      </c>
      <c r="J755" s="290"/>
      <c r="K755" s="291"/>
      <c r="L755" s="291"/>
      <c r="M755" s="292">
        <f t="shared" si="37"/>
        <v>2700000</v>
      </c>
      <c r="N755" s="85">
        <v>84457372</v>
      </c>
      <c r="O755" s="85" t="s">
        <v>9109</v>
      </c>
      <c r="P755" s="85" t="s">
        <v>9107</v>
      </c>
      <c r="Q755" s="309">
        <f t="shared" si="42"/>
        <v>45117</v>
      </c>
      <c r="R755" s="309">
        <f t="shared" si="43"/>
        <v>45118</v>
      </c>
      <c r="S755" s="309">
        <f t="shared" si="44"/>
        <v>45131</v>
      </c>
      <c r="T755" s="293"/>
      <c r="U755" s="293"/>
      <c r="V755" s="293"/>
      <c r="W755" s="294"/>
      <c r="X755" s="237">
        <f>VLOOKUP(N755,[9]Pagos!$C$2:$D$353,2,FALSE)</f>
        <v>2700000</v>
      </c>
      <c r="Y755" s="295">
        <f t="shared" si="39"/>
        <v>0</v>
      </c>
      <c r="Z755" s="296">
        <f t="shared" si="40"/>
        <v>1</v>
      </c>
      <c r="AA755" s="85">
        <v>41947381</v>
      </c>
      <c r="AB755" s="85" t="s">
        <v>6440</v>
      </c>
      <c r="AC755" s="290" t="s">
        <v>196</v>
      </c>
      <c r="AD755" s="290" t="s">
        <v>196</v>
      </c>
      <c r="AE755" s="303"/>
      <c r="AF755" s="310" t="str">
        <f>VLOOKUP(E755,[10]Hoja1!$D$3:$E$327,2,FALSE)</f>
        <v>https://community.secop.gov.co/Public/Tendering/OpportunityDetail/Index?noticeUID=CO1.NTC.4733014&amp;isFromPublicArea=True&amp;isModal=true&amp;asPopupView=true</v>
      </c>
      <c r="AG755" s="290" t="s">
        <v>192</v>
      </c>
      <c r="AH755" s="290" t="s">
        <v>192</v>
      </c>
    </row>
    <row r="756" spans="1:34" s="297" customFormat="1" ht="15" customHeight="1" x14ac:dyDescent="0.2">
      <c r="A756" s="289">
        <v>891780111</v>
      </c>
      <c r="B756" s="289" t="s">
        <v>54</v>
      </c>
      <c r="C756" s="290" t="s">
        <v>56</v>
      </c>
      <c r="D756" s="289" t="s">
        <v>60</v>
      </c>
      <c r="E756" s="290" t="s">
        <v>9110</v>
      </c>
      <c r="F756" s="289" t="s">
        <v>61</v>
      </c>
      <c r="G756" s="85" t="s">
        <v>63</v>
      </c>
      <c r="H756" s="85" t="s">
        <v>73</v>
      </c>
      <c r="I756" s="237">
        <v>2700000</v>
      </c>
      <c r="J756" s="290"/>
      <c r="K756" s="291"/>
      <c r="L756" s="291"/>
      <c r="M756" s="292">
        <f t="shared" si="37"/>
        <v>2700000</v>
      </c>
      <c r="N756" s="85">
        <v>1082905987</v>
      </c>
      <c r="O756" s="85" t="s">
        <v>6446</v>
      </c>
      <c r="P756" s="85" t="s">
        <v>9111</v>
      </c>
      <c r="Q756" s="309">
        <f t="shared" si="42"/>
        <v>45117</v>
      </c>
      <c r="R756" s="309">
        <f t="shared" si="43"/>
        <v>45118</v>
      </c>
      <c r="S756" s="309">
        <f t="shared" si="44"/>
        <v>45131</v>
      </c>
      <c r="T756" s="293"/>
      <c r="U756" s="293"/>
      <c r="V756" s="293"/>
      <c r="W756" s="294"/>
      <c r="X756" s="237">
        <f>VLOOKUP(N756,[9]Pagos!$C$2:$D$353,2,FALSE)</f>
        <v>2700000</v>
      </c>
      <c r="Y756" s="295">
        <f t="shared" si="39"/>
        <v>0</v>
      </c>
      <c r="Z756" s="296">
        <f t="shared" si="40"/>
        <v>1</v>
      </c>
      <c r="AA756" s="85">
        <v>41947381</v>
      </c>
      <c r="AB756" s="85" t="s">
        <v>6440</v>
      </c>
      <c r="AC756" s="290" t="s">
        <v>196</v>
      </c>
      <c r="AD756" s="290" t="s">
        <v>196</v>
      </c>
      <c r="AE756" s="303"/>
      <c r="AF756" s="310" t="str">
        <f>VLOOKUP(E756,[10]Hoja1!$D$3:$E$327,2,FALSE)</f>
        <v>https://community.secop.gov.co/Public/Tendering/OpportunityDetail/Index?noticeUID=CO1.NTC.4732790&amp;isFromPublicArea=True&amp;isModal=true&amp;asPopupView=true</v>
      </c>
      <c r="AG756" s="290" t="s">
        <v>192</v>
      </c>
      <c r="AH756" s="290" t="s">
        <v>192</v>
      </c>
    </row>
    <row r="757" spans="1:34" s="297" customFormat="1" ht="15" customHeight="1" x14ac:dyDescent="0.2">
      <c r="A757" s="289">
        <v>891780111</v>
      </c>
      <c r="B757" s="289" t="s">
        <v>54</v>
      </c>
      <c r="C757" s="290" t="s">
        <v>56</v>
      </c>
      <c r="D757" s="289" t="s">
        <v>60</v>
      </c>
      <c r="E757" s="290" t="s">
        <v>9112</v>
      </c>
      <c r="F757" s="289" t="s">
        <v>61</v>
      </c>
      <c r="G757" s="85" t="s">
        <v>63</v>
      </c>
      <c r="H757" s="85" t="s">
        <v>73</v>
      </c>
      <c r="I757" s="237">
        <v>11000000</v>
      </c>
      <c r="J757" s="290"/>
      <c r="K757" s="291"/>
      <c r="L757" s="291"/>
      <c r="M757" s="292">
        <f t="shared" si="37"/>
        <v>11000000</v>
      </c>
      <c r="N757" s="85">
        <v>57444371</v>
      </c>
      <c r="O757" s="85" t="s">
        <v>6581</v>
      </c>
      <c r="P757" s="85" t="s">
        <v>9113</v>
      </c>
      <c r="Q757" s="309">
        <f t="shared" si="42"/>
        <v>45117</v>
      </c>
      <c r="R757" s="309">
        <f t="shared" si="42"/>
        <v>45117</v>
      </c>
      <c r="S757" s="309">
        <f t="shared" si="41"/>
        <v>45260</v>
      </c>
      <c r="T757" s="293"/>
      <c r="U757" s="293"/>
      <c r="V757" s="293"/>
      <c r="W757" s="294"/>
      <c r="X757" s="237">
        <f>VLOOKUP(N757,[9]Pagos!$C$2:$D$353,2,FALSE)</f>
        <v>2200000</v>
      </c>
      <c r="Y757" s="295">
        <f t="shared" si="39"/>
        <v>8800000</v>
      </c>
      <c r="Z757" s="296">
        <f t="shared" si="40"/>
        <v>0.2</v>
      </c>
      <c r="AA757" s="85">
        <v>57400977</v>
      </c>
      <c r="AB757" s="85" t="s">
        <v>6562</v>
      </c>
      <c r="AC757" s="290" t="s">
        <v>196</v>
      </c>
      <c r="AD757" s="290" t="s">
        <v>196</v>
      </c>
      <c r="AE757" s="303"/>
      <c r="AF757" s="310" t="str">
        <f>VLOOKUP(E757,[10]Hoja1!$D$3:$E$327,2,FALSE)</f>
        <v>https://community.secop.gov.co/Public/Tendering/OpportunityDetail/Index?noticeUID=CO1.NTC.4733044&amp;isFromPublicArea=True&amp;isModal=true&amp;asPopupView=true</v>
      </c>
      <c r="AG757" s="290" t="s">
        <v>192</v>
      </c>
      <c r="AH757" s="290" t="s">
        <v>192</v>
      </c>
    </row>
    <row r="758" spans="1:34" s="297" customFormat="1" ht="15" customHeight="1" x14ac:dyDescent="0.2">
      <c r="A758" s="289">
        <v>891780111</v>
      </c>
      <c r="B758" s="289" t="s">
        <v>54</v>
      </c>
      <c r="C758" s="290" t="s">
        <v>56</v>
      </c>
      <c r="D758" s="289" t="s">
        <v>60</v>
      </c>
      <c r="E758" s="290" t="s">
        <v>9114</v>
      </c>
      <c r="F758" s="289" t="s">
        <v>61</v>
      </c>
      <c r="G758" s="85" t="s">
        <v>63</v>
      </c>
      <c r="H758" s="85" t="s">
        <v>73</v>
      </c>
      <c r="I758" s="237">
        <v>20000000</v>
      </c>
      <c r="J758" s="290"/>
      <c r="K758" s="291"/>
      <c r="L758" s="291"/>
      <c r="M758" s="292">
        <f t="shared" si="37"/>
        <v>20000000</v>
      </c>
      <c r="N758" s="85">
        <v>1082961349</v>
      </c>
      <c r="O758" s="85" t="s">
        <v>6608</v>
      </c>
      <c r="P758" s="85" t="s">
        <v>9115</v>
      </c>
      <c r="Q758" s="309">
        <f t="shared" si="42"/>
        <v>45117</v>
      </c>
      <c r="R758" s="309">
        <f t="shared" si="42"/>
        <v>45117</v>
      </c>
      <c r="S758" s="309">
        <f t="shared" si="41"/>
        <v>45260</v>
      </c>
      <c r="T758" s="293"/>
      <c r="U758" s="293"/>
      <c r="V758" s="293"/>
      <c r="W758" s="294"/>
      <c r="X758" s="237">
        <f>VLOOKUP(N758,[9]Pagos!$C$2:$D$353,2,FALSE)</f>
        <v>4000000</v>
      </c>
      <c r="Y758" s="295">
        <f t="shared" si="39"/>
        <v>16000000</v>
      </c>
      <c r="Z758" s="296">
        <f t="shared" si="40"/>
        <v>0.2</v>
      </c>
      <c r="AA758" s="85">
        <v>12621405</v>
      </c>
      <c r="AB758" s="85" t="s">
        <v>8695</v>
      </c>
      <c r="AC758" s="290" t="s">
        <v>196</v>
      </c>
      <c r="AD758" s="290" t="s">
        <v>196</v>
      </c>
      <c r="AE758" s="303"/>
      <c r="AF758" s="310" t="str">
        <f>VLOOKUP(E758,[10]Hoja1!$D$3:$E$327,2,FALSE)</f>
        <v>https://community.secop.gov.co/Public/Tendering/OpportunityDetail/Index?noticeUID=CO1.NTC.4733217&amp;isFromPublicArea=True&amp;isModal=true&amp;asPopupView=true</v>
      </c>
      <c r="AG758" s="290" t="s">
        <v>192</v>
      </c>
      <c r="AH758" s="290" t="s">
        <v>192</v>
      </c>
    </row>
    <row r="759" spans="1:34" s="297" customFormat="1" ht="15" customHeight="1" x14ac:dyDescent="0.2">
      <c r="A759" s="289">
        <v>891780111</v>
      </c>
      <c r="B759" s="289" t="s">
        <v>54</v>
      </c>
      <c r="C759" s="290" t="s">
        <v>56</v>
      </c>
      <c r="D759" s="289" t="s">
        <v>60</v>
      </c>
      <c r="E759" s="290" t="s">
        <v>9116</v>
      </c>
      <c r="F759" s="289" t="s">
        <v>61</v>
      </c>
      <c r="G759" s="85" t="s">
        <v>63</v>
      </c>
      <c r="H759" s="85" t="s">
        <v>73</v>
      </c>
      <c r="I759" s="237">
        <v>9500000</v>
      </c>
      <c r="J759" s="290"/>
      <c r="K759" s="291"/>
      <c r="L759" s="291"/>
      <c r="M759" s="292">
        <f t="shared" si="37"/>
        <v>9500000</v>
      </c>
      <c r="N759" s="85">
        <v>36727735</v>
      </c>
      <c r="O759" s="85" t="s">
        <v>7251</v>
      </c>
      <c r="P759" s="85" t="s">
        <v>9044</v>
      </c>
      <c r="Q759" s="309">
        <f t="shared" si="42"/>
        <v>45117</v>
      </c>
      <c r="R759" s="309">
        <f t="shared" si="42"/>
        <v>45117</v>
      </c>
      <c r="S759" s="309">
        <f t="shared" si="41"/>
        <v>45260</v>
      </c>
      <c r="T759" s="293"/>
      <c r="U759" s="293"/>
      <c r="V759" s="293"/>
      <c r="W759" s="294"/>
      <c r="X759" s="237">
        <f>VLOOKUP(N759,[9]Pagos!$C$2:$D$353,2,FALSE)</f>
        <v>1900000</v>
      </c>
      <c r="Y759" s="295">
        <f t="shared" si="39"/>
        <v>7600000</v>
      </c>
      <c r="Z759" s="296">
        <f t="shared" si="40"/>
        <v>0.2</v>
      </c>
      <c r="AA759" s="85">
        <v>7633817</v>
      </c>
      <c r="AB759" s="85" t="s">
        <v>5425</v>
      </c>
      <c r="AC759" s="290" t="s">
        <v>196</v>
      </c>
      <c r="AD759" s="290" t="s">
        <v>196</v>
      </c>
      <c r="AE759" s="303"/>
      <c r="AF759" s="310" t="str">
        <f>VLOOKUP(E759,[10]Hoja1!$D$3:$E$327,2,FALSE)</f>
        <v>https://community.secop.gov.co/Public/Tendering/OpportunityDetail/Index?noticeUID=CO1.NTC.4733527&amp;isFromPublicArea=True&amp;isModal=true&amp;asPopupView=true</v>
      </c>
      <c r="AG759" s="290" t="s">
        <v>192</v>
      </c>
      <c r="AH759" s="290" t="s">
        <v>192</v>
      </c>
    </row>
    <row r="760" spans="1:34" s="297" customFormat="1" ht="15" customHeight="1" x14ac:dyDescent="0.2">
      <c r="A760" s="289">
        <v>891780111</v>
      </c>
      <c r="B760" s="289" t="s">
        <v>54</v>
      </c>
      <c r="C760" s="290" t="s">
        <v>56</v>
      </c>
      <c r="D760" s="289" t="s">
        <v>60</v>
      </c>
      <c r="E760" s="290" t="s">
        <v>9117</v>
      </c>
      <c r="F760" s="289" t="s">
        <v>61</v>
      </c>
      <c r="G760" s="85" t="s">
        <v>63</v>
      </c>
      <c r="H760" s="85" t="s">
        <v>73</v>
      </c>
      <c r="I760" s="237">
        <v>9500000</v>
      </c>
      <c r="J760" s="290"/>
      <c r="K760" s="291"/>
      <c r="L760" s="291"/>
      <c r="M760" s="292">
        <f t="shared" si="37"/>
        <v>9500000</v>
      </c>
      <c r="N760" s="85">
        <v>57298171</v>
      </c>
      <c r="O760" s="85" t="s">
        <v>7565</v>
      </c>
      <c r="P760" s="85" t="s">
        <v>9118</v>
      </c>
      <c r="Q760" s="309">
        <f t="shared" si="42"/>
        <v>45117</v>
      </c>
      <c r="R760" s="309">
        <f t="shared" si="42"/>
        <v>45117</v>
      </c>
      <c r="S760" s="309">
        <f t="shared" si="41"/>
        <v>45260</v>
      </c>
      <c r="T760" s="293"/>
      <c r="U760" s="293"/>
      <c r="V760" s="293"/>
      <c r="W760" s="294"/>
      <c r="X760" s="237">
        <f>VLOOKUP(N760,[9]Pagos!$C$2:$D$353,2,FALSE)</f>
        <v>1900000</v>
      </c>
      <c r="Y760" s="295">
        <f t="shared" si="39"/>
        <v>7600000</v>
      </c>
      <c r="Z760" s="296">
        <f t="shared" si="40"/>
        <v>0.2</v>
      </c>
      <c r="AA760" s="85">
        <v>7633817</v>
      </c>
      <c r="AB760" s="85" t="s">
        <v>5425</v>
      </c>
      <c r="AC760" s="290" t="s">
        <v>196</v>
      </c>
      <c r="AD760" s="290" t="s">
        <v>196</v>
      </c>
      <c r="AE760" s="303"/>
      <c r="AF760" s="310" t="str">
        <f>VLOOKUP(E760,[10]Hoja1!$D$3:$E$327,2,FALSE)</f>
        <v>https://community.secop.gov.co/Public/Tendering/OpportunityDetail/Index?noticeUID=CO1.NTC.4733386&amp;isFromPublicArea=True&amp;isModal=true&amp;asPopupView=true</v>
      </c>
      <c r="AG760" s="290" t="s">
        <v>192</v>
      </c>
      <c r="AH760" s="290" t="s">
        <v>192</v>
      </c>
    </row>
    <row r="761" spans="1:34" s="297" customFormat="1" ht="15" customHeight="1" x14ac:dyDescent="0.2">
      <c r="A761" s="289">
        <v>891780111</v>
      </c>
      <c r="B761" s="289" t="s">
        <v>54</v>
      </c>
      <c r="C761" s="290" t="s">
        <v>56</v>
      </c>
      <c r="D761" s="289" t="s">
        <v>60</v>
      </c>
      <c r="E761" s="290" t="s">
        <v>9119</v>
      </c>
      <c r="F761" s="289" t="s">
        <v>61</v>
      </c>
      <c r="G761" s="85" t="s">
        <v>63</v>
      </c>
      <c r="H761" s="85" t="s">
        <v>73</v>
      </c>
      <c r="I761" s="237">
        <v>11000000</v>
      </c>
      <c r="J761" s="290"/>
      <c r="K761" s="291"/>
      <c r="L761" s="291"/>
      <c r="M761" s="292">
        <f t="shared" si="37"/>
        <v>11000000</v>
      </c>
      <c r="N761" s="85">
        <v>36729451</v>
      </c>
      <c r="O761" s="85" t="s">
        <v>6978</v>
      </c>
      <c r="P761" s="85" t="s">
        <v>9120</v>
      </c>
      <c r="Q761" s="309">
        <f t="shared" si="42"/>
        <v>45117</v>
      </c>
      <c r="R761" s="309">
        <f t="shared" si="42"/>
        <v>45117</v>
      </c>
      <c r="S761" s="309">
        <f t="shared" si="41"/>
        <v>45260</v>
      </c>
      <c r="T761" s="293"/>
      <c r="U761" s="293"/>
      <c r="V761" s="293"/>
      <c r="W761" s="294"/>
      <c r="X761" s="237">
        <f>VLOOKUP(N761,[9]Pagos!$C$2:$D$353,2,FALSE)</f>
        <v>2200000</v>
      </c>
      <c r="Y761" s="295">
        <f t="shared" si="39"/>
        <v>8800000</v>
      </c>
      <c r="Z761" s="296">
        <f t="shared" si="40"/>
        <v>0.2</v>
      </c>
      <c r="AA761" s="85">
        <v>57441846</v>
      </c>
      <c r="AB761" s="85" t="s">
        <v>6885</v>
      </c>
      <c r="AC761" s="290" t="s">
        <v>196</v>
      </c>
      <c r="AD761" s="290" t="s">
        <v>196</v>
      </c>
      <c r="AE761" s="303"/>
      <c r="AF761" s="310" t="str">
        <f>VLOOKUP(E761,[10]Hoja1!$D$3:$E$327,2,FALSE)</f>
        <v>https://community.secop.gov.co/Public/Tendering/OpportunityDetail/Index?noticeUID=CO1.NTC.4733574&amp;isFromPublicArea=True&amp;isModal=true&amp;asPopupView=true</v>
      </c>
      <c r="AG761" s="290" t="s">
        <v>192</v>
      </c>
      <c r="AH761" s="290" t="s">
        <v>192</v>
      </c>
    </row>
    <row r="762" spans="1:34" s="297" customFormat="1" ht="15" customHeight="1" x14ac:dyDescent="0.2">
      <c r="A762" s="289">
        <v>891780111</v>
      </c>
      <c r="B762" s="289" t="s">
        <v>54</v>
      </c>
      <c r="C762" s="290" t="s">
        <v>56</v>
      </c>
      <c r="D762" s="289" t="s">
        <v>60</v>
      </c>
      <c r="E762" s="290" t="s">
        <v>9121</v>
      </c>
      <c r="F762" s="289" t="s">
        <v>61</v>
      </c>
      <c r="G762" s="85" t="s">
        <v>63</v>
      </c>
      <c r="H762" s="85" t="s">
        <v>73</v>
      </c>
      <c r="I762" s="237">
        <v>14000000</v>
      </c>
      <c r="J762" s="290"/>
      <c r="K762" s="291"/>
      <c r="L762" s="291"/>
      <c r="M762" s="292">
        <f t="shared" si="37"/>
        <v>14000000</v>
      </c>
      <c r="N762" s="85">
        <v>1083465166</v>
      </c>
      <c r="O762" s="85" t="s">
        <v>6970</v>
      </c>
      <c r="P762" s="85" t="s">
        <v>9122</v>
      </c>
      <c r="Q762" s="309">
        <f t="shared" si="42"/>
        <v>45117</v>
      </c>
      <c r="R762" s="309">
        <f t="shared" si="42"/>
        <v>45117</v>
      </c>
      <c r="S762" s="309">
        <f t="shared" si="41"/>
        <v>45260</v>
      </c>
      <c r="T762" s="293"/>
      <c r="U762" s="293"/>
      <c r="V762" s="293"/>
      <c r="W762" s="294"/>
      <c r="X762" s="237">
        <f>VLOOKUP(N762,[9]Pagos!$C$2:$D$353,2,FALSE)</f>
        <v>2800000</v>
      </c>
      <c r="Y762" s="295">
        <f t="shared" si="39"/>
        <v>11200000</v>
      </c>
      <c r="Z762" s="296">
        <f t="shared" si="40"/>
        <v>0.2</v>
      </c>
      <c r="AA762" s="85">
        <v>57441846</v>
      </c>
      <c r="AB762" s="85" t="s">
        <v>6885</v>
      </c>
      <c r="AC762" s="290" t="s">
        <v>196</v>
      </c>
      <c r="AD762" s="290" t="s">
        <v>196</v>
      </c>
      <c r="AE762" s="303"/>
      <c r="AF762" s="310" t="str">
        <f>VLOOKUP(E762,[10]Hoja1!$D$3:$E$327,2,FALSE)</f>
        <v>https://community.secop.gov.co/Public/Tendering/OpportunityDetail/Index?noticeUID=CO1.NTC.4733584&amp;isFromPublicArea=True&amp;isModal=true&amp;asPopupView=true</v>
      </c>
      <c r="AG762" s="290" t="s">
        <v>192</v>
      </c>
      <c r="AH762" s="290" t="s">
        <v>192</v>
      </c>
    </row>
    <row r="763" spans="1:34" s="297" customFormat="1" ht="15" customHeight="1" x14ac:dyDescent="0.2">
      <c r="A763" s="289">
        <v>891780111</v>
      </c>
      <c r="B763" s="289" t="s">
        <v>54</v>
      </c>
      <c r="C763" s="290" t="s">
        <v>56</v>
      </c>
      <c r="D763" s="289" t="s">
        <v>60</v>
      </c>
      <c r="E763" s="290" t="s">
        <v>9123</v>
      </c>
      <c r="F763" s="289" t="s">
        <v>61</v>
      </c>
      <c r="G763" s="85" t="s">
        <v>63</v>
      </c>
      <c r="H763" s="85" t="s">
        <v>73</v>
      </c>
      <c r="I763" s="237">
        <v>11000000</v>
      </c>
      <c r="J763" s="290"/>
      <c r="K763" s="291"/>
      <c r="L763" s="291"/>
      <c r="M763" s="292">
        <f t="shared" si="37"/>
        <v>11000000</v>
      </c>
      <c r="N763" s="85">
        <v>84455851</v>
      </c>
      <c r="O763" s="85" t="s">
        <v>6987</v>
      </c>
      <c r="P763" s="85" t="s">
        <v>9124</v>
      </c>
      <c r="Q763" s="309">
        <f t="shared" si="42"/>
        <v>45117</v>
      </c>
      <c r="R763" s="309">
        <f t="shared" si="42"/>
        <v>45117</v>
      </c>
      <c r="S763" s="309">
        <f t="shared" si="41"/>
        <v>45260</v>
      </c>
      <c r="T763" s="293"/>
      <c r="U763" s="293"/>
      <c r="V763" s="293"/>
      <c r="W763" s="294"/>
      <c r="X763" s="237">
        <f>VLOOKUP(N763,[9]Pagos!$C$2:$D$353,2,FALSE)</f>
        <v>2200000</v>
      </c>
      <c r="Y763" s="295">
        <f t="shared" si="39"/>
        <v>8800000</v>
      </c>
      <c r="Z763" s="296">
        <f t="shared" si="40"/>
        <v>0.2</v>
      </c>
      <c r="AA763" s="85">
        <v>57441846</v>
      </c>
      <c r="AB763" s="85" t="s">
        <v>6885</v>
      </c>
      <c r="AC763" s="290" t="s">
        <v>196</v>
      </c>
      <c r="AD763" s="290" t="s">
        <v>196</v>
      </c>
      <c r="AE763" s="303"/>
      <c r="AF763" s="310" t="str">
        <f>VLOOKUP(E763,[10]Hoja1!$D$3:$E$327,2,FALSE)</f>
        <v>https://community.secop.gov.co/Public/Tendering/OpportunityDetail/Index?noticeUID=CO1.NTC.4733599&amp;isFromPublicArea=True&amp;isModal=true&amp;asPopupView=true</v>
      </c>
      <c r="AG763" s="290" t="s">
        <v>192</v>
      </c>
      <c r="AH763" s="290" t="s">
        <v>192</v>
      </c>
    </row>
    <row r="764" spans="1:34" s="297" customFormat="1" ht="15" customHeight="1" x14ac:dyDescent="0.2">
      <c r="A764" s="289">
        <v>891780111</v>
      </c>
      <c r="B764" s="289" t="s">
        <v>54</v>
      </c>
      <c r="C764" s="290" t="s">
        <v>56</v>
      </c>
      <c r="D764" s="289" t="s">
        <v>60</v>
      </c>
      <c r="E764" s="290" t="s">
        <v>9125</v>
      </c>
      <c r="F764" s="289" t="s">
        <v>61</v>
      </c>
      <c r="G764" s="85" t="s">
        <v>63</v>
      </c>
      <c r="H764" s="85" t="s">
        <v>73</v>
      </c>
      <c r="I764" s="237">
        <v>9500000</v>
      </c>
      <c r="J764" s="290"/>
      <c r="K764" s="291"/>
      <c r="L764" s="291"/>
      <c r="M764" s="292">
        <f t="shared" si="37"/>
        <v>9500000</v>
      </c>
      <c r="N764" s="85">
        <v>1082963378</v>
      </c>
      <c r="O764" s="85" t="s">
        <v>7320</v>
      </c>
      <c r="P764" s="85" t="s">
        <v>9126</v>
      </c>
      <c r="Q764" s="309">
        <f t="shared" si="42"/>
        <v>45117</v>
      </c>
      <c r="R764" s="309">
        <f t="shared" si="42"/>
        <v>45117</v>
      </c>
      <c r="S764" s="309">
        <f t="shared" si="41"/>
        <v>45260</v>
      </c>
      <c r="T764" s="293"/>
      <c r="U764" s="293"/>
      <c r="V764" s="293"/>
      <c r="W764" s="294"/>
      <c r="X764" s="237">
        <f>VLOOKUP(N764,[9]Pagos!$C$2:$D$353,2,FALSE)</f>
        <v>1900000</v>
      </c>
      <c r="Y764" s="295">
        <f t="shared" si="39"/>
        <v>7600000</v>
      </c>
      <c r="Z764" s="296">
        <f t="shared" si="40"/>
        <v>0.2</v>
      </c>
      <c r="AA764" s="85">
        <v>7631392</v>
      </c>
      <c r="AB764" s="85" t="s">
        <v>6633</v>
      </c>
      <c r="AC764" s="290" t="s">
        <v>196</v>
      </c>
      <c r="AD764" s="290" t="s">
        <v>196</v>
      </c>
      <c r="AE764" s="303"/>
      <c r="AF764" s="310" t="str">
        <f>VLOOKUP(E764,[10]Hoja1!$D$3:$E$327,2,FALSE)</f>
        <v>https://community.secop.gov.co/Public/Tendering/OpportunityDetail/Index?noticeUID=CO1.NTC.4733777&amp;isFromPublicArea=True&amp;isModal=true&amp;asPopupView=true</v>
      </c>
      <c r="AG764" s="290" t="s">
        <v>192</v>
      </c>
      <c r="AH764" s="290" t="s">
        <v>192</v>
      </c>
    </row>
    <row r="765" spans="1:34" s="297" customFormat="1" ht="15" customHeight="1" x14ac:dyDescent="0.2">
      <c r="A765" s="289">
        <v>891780111</v>
      </c>
      <c r="B765" s="289" t="s">
        <v>54</v>
      </c>
      <c r="C765" s="290" t="s">
        <v>56</v>
      </c>
      <c r="D765" s="289" t="s">
        <v>60</v>
      </c>
      <c r="E765" s="290" t="s">
        <v>9127</v>
      </c>
      <c r="F765" s="289" t="s">
        <v>61</v>
      </c>
      <c r="G765" s="85" t="s">
        <v>63</v>
      </c>
      <c r="H765" s="85" t="s">
        <v>73</v>
      </c>
      <c r="I765" s="237">
        <v>9500000</v>
      </c>
      <c r="J765" s="290"/>
      <c r="K765" s="291"/>
      <c r="L765" s="291"/>
      <c r="M765" s="292">
        <f t="shared" si="37"/>
        <v>9500000</v>
      </c>
      <c r="N765" s="85">
        <v>85155288</v>
      </c>
      <c r="O765" s="85" t="s">
        <v>7651</v>
      </c>
      <c r="P765" s="85" t="s">
        <v>9044</v>
      </c>
      <c r="Q765" s="309">
        <f t="shared" si="42"/>
        <v>45117</v>
      </c>
      <c r="R765" s="309">
        <f t="shared" si="42"/>
        <v>45117</v>
      </c>
      <c r="S765" s="309">
        <f t="shared" si="41"/>
        <v>45260</v>
      </c>
      <c r="T765" s="293"/>
      <c r="U765" s="293"/>
      <c r="V765" s="293"/>
      <c r="W765" s="294"/>
      <c r="X765" s="237">
        <f>VLOOKUP(N765,[9]Pagos!$C$2:$D$353,2,FALSE)</f>
        <v>1900000</v>
      </c>
      <c r="Y765" s="295">
        <f t="shared" si="39"/>
        <v>7600000</v>
      </c>
      <c r="Z765" s="296">
        <f t="shared" si="40"/>
        <v>0.2</v>
      </c>
      <c r="AA765" s="85">
        <v>7633817</v>
      </c>
      <c r="AB765" s="85" t="s">
        <v>5425</v>
      </c>
      <c r="AC765" s="290" t="s">
        <v>196</v>
      </c>
      <c r="AD765" s="290" t="s">
        <v>196</v>
      </c>
      <c r="AE765" s="303"/>
      <c r="AF765" s="310" t="str">
        <f>VLOOKUP(E765,[10]Hoja1!$D$3:$E$327,2,FALSE)</f>
        <v>https://community.secop.gov.co/Public/Tendering/OpportunityDetail/Index?noticeUID=CO1.NTC.4733949&amp;isFromPublicArea=True&amp;isModal=true&amp;asPopupView=true</v>
      </c>
      <c r="AG765" s="290" t="s">
        <v>192</v>
      </c>
      <c r="AH765" s="290" t="s">
        <v>192</v>
      </c>
    </row>
    <row r="766" spans="1:34" s="297" customFormat="1" ht="15" customHeight="1" x14ac:dyDescent="0.2">
      <c r="A766" s="289">
        <v>891780111</v>
      </c>
      <c r="B766" s="289" t="s">
        <v>54</v>
      </c>
      <c r="C766" s="290" t="s">
        <v>56</v>
      </c>
      <c r="D766" s="289" t="s">
        <v>60</v>
      </c>
      <c r="E766" s="290" t="s">
        <v>9128</v>
      </c>
      <c r="F766" s="289" t="s">
        <v>61</v>
      </c>
      <c r="G766" s="85" t="s">
        <v>63</v>
      </c>
      <c r="H766" s="85" t="s">
        <v>73</v>
      </c>
      <c r="I766" s="237">
        <v>11000000</v>
      </c>
      <c r="J766" s="290"/>
      <c r="K766" s="291"/>
      <c r="L766" s="291"/>
      <c r="M766" s="292">
        <f t="shared" si="37"/>
        <v>11000000</v>
      </c>
      <c r="N766" s="85">
        <v>85150692</v>
      </c>
      <c r="O766" s="85" t="s">
        <v>8403</v>
      </c>
      <c r="P766" s="85" t="s">
        <v>9129</v>
      </c>
      <c r="Q766" s="309">
        <f t="shared" si="42"/>
        <v>45117</v>
      </c>
      <c r="R766" s="309">
        <f t="shared" si="42"/>
        <v>45117</v>
      </c>
      <c r="S766" s="309">
        <f t="shared" si="41"/>
        <v>45260</v>
      </c>
      <c r="T766" s="293"/>
      <c r="U766" s="293"/>
      <c r="V766" s="293"/>
      <c r="W766" s="294"/>
      <c r="X766" s="237">
        <f>VLOOKUP(N766,[9]Pagos!$C$2:$D$353,2,FALSE)</f>
        <v>2200000</v>
      </c>
      <c r="Y766" s="295">
        <f t="shared" si="39"/>
        <v>8800000</v>
      </c>
      <c r="Z766" s="296">
        <f t="shared" si="40"/>
        <v>0.2</v>
      </c>
      <c r="AA766" s="85">
        <v>57297693</v>
      </c>
      <c r="AB766" s="85" t="s">
        <v>8869</v>
      </c>
      <c r="AC766" s="290" t="s">
        <v>196</v>
      </c>
      <c r="AD766" s="290" t="s">
        <v>196</v>
      </c>
      <c r="AE766" s="303"/>
      <c r="AF766" s="310" t="str">
        <f>VLOOKUP(E766,[10]Hoja1!$D$3:$E$327,2,FALSE)</f>
        <v>https://community.secop.gov.co/Public/Tendering/OpportunityDetail/Index?noticeUID=CO1.NTC.4734216&amp;isFromPublicArea=True&amp;isModal=true&amp;asPopupView=true</v>
      </c>
      <c r="AG766" s="290" t="s">
        <v>192</v>
      </c>
      <c r="AH766" s="290" t="s">
        <v>192</v>
      </c>
    </row>
    <row r="767" spans="1:34" s="297" customFormat="1" ht="15" customHeight="1" x14ac:dyDescent="0.2">
      <c r="A767" s="289">
        <v>891780111</v>
      </c>
      <c r="B767" s="289" t="s">
        <v>54</v>
      </c>
      <c r="C767" s="290" t="s">
        <v>56</v>
      </c>
      <c r="D767" s="289" t="s">
        <v>60</v>
      </c>
      <c r="E767" s="290" t="s">
        <v>9130</v>
      </c>
      <c r="F767" s="289" t="s">
        <v>61</v>
      </c>
      <c r="G767" s="85" t="s">
        <v>63</v>
      </c>
      <c r="H767" s="85" t="s">
        <v>73</v>
      </c>
      <c r="I767" s="237">
        <v>3600000</v>
      </c>
      <c r="J767" s="290"/>
      <c r="K767" s="291"/>
      <c r="L767" s="291"/>
      <c r="M767" s="292">
        <f t="shared" si="37"/>
        <v>3600000</v>
      </c>
      <c r="N767" s="85">
        <v>57293236</v>
      </c>
      <c r="O767" s="85" t="s">
        <v>7157</v>
      </c>
      <c r="P767" s="85" t="s">
        <v>9107</v>
      </c>
      <c r="Q767" s="309">
        <f t="shared" si="42"/>
        <v>45117</v>
      </c>
      <c r="R767" s="309">
        <f>DATE(2023,7,11)</f>
        <v>45118</v>
      </c>
      <c r="S767" s="309">
        <f>DATE(2023,7,31)</f>
        <v>45138</v>
      </c>
      <c r="T767" s="309"/>
      <c r="U767" s="309"/>
      <c r="V767" s="309"/>
      <c r="W767" s="304"/>
      <c r="X767" s="237">
        <f>VLOOKUP(N767,[9]Pagos!$C$2:$D$353,2,FALSE)</f>
        <v>3600000</v>
      </c>
      <c r="Y767" s="295">
        <f t="shared" si="39"/>
        <v>0</v>
      </c>
      <c r="Z767" s="296">
        <f t="shared" si="40"/>
        <v>1</v>
      </c>
      <c r="AA767" s="85">
        <v>41947381</v>
      </c>
      <c r="AB767" s="85" t="s">
        <v>6440</v>
      </c>
      <c r="AC767" s="290" t="s">
        <v>196</v>
      </c>
      <c r="AD767" s="290" t="s">
        <v>196</v>
      </c>
      <c r="AE767" s="303"/>
      <c r="AF767" s="310" t="str">
        <f>VLOOKUP(E767,[10]Hoja1!$D$3:$E$327,2,FALSE)</f>
        <v>https://community.secop.gov.co/Public/Tendering/OpportunityDetail/Index?noticeUID=CO1.NTC.4733898&amp;isFromPublicArea=True&amp;isModal=true&amp;asPopupView=true</v>
      </c>
      <c r="AG767" s="290" t="s">
        <v>192</v>
      </c>
      <c r="AH767" s="290" t="s">
        <v>192</v>
      </c>
    </row>
    <row r="768" spans="1:34" s="297" customFormat="1" ht="15" customHeight="1" x14ac:dyDescent="0.2">
      <c r="A768" s="289">
        <v>891780111</v>
      </c>
      <c r="B768" s="289" t="s">
        <v>54</v>
      </c>
      <c r="C768" s="290" t="s">
        <v>56</v>
      </c>
      <c r="D768" s="289" t="s">
        <v>60</v>
      </c>
      <c r="E768" s="290" t="s">
        <v>9131</v>
      </c>
      <c r="F768" s="289" t="s">
        <v>61</v>
      </c>
      <c r="G768" s="85" t="s">
        <v>63</v>
      </c>
      <c r="H768" s="85" t="s">
        <v>73</v>
      </c>
      <c r="I768" s="237">
        <v>2700000</v>
      </c>
      <c r="J768" s="290"/>
      <c r="K768" s="291"/>
      <c r="L768" s="291"/>
      <c r="M768" s="292">
        <f t="shared" si="37"/>
        <v>2700000</v>
      </c>
      <c r="N768" s="85">
        <v>7601477</v>
      </c>
      <c r="O768" s="85" t="s">
        <v>6438</v>
      </c>
      <c r="P768" s="85" t="s">
        <v>9107</v>
      </c>
      <c r="Q768" s="309">
        <f t="shared" si="42"/>
        <v>45117</v>
      </c>
      <c r="R768" s="309">
        <f>DATE(2023,7,11)</f>
        <v>45118</v>
      </c>
      <c r="S768" s="309">
        <f>DATE(2023,7,24)</f>
        <v>45131</v>
      </c>
      <c r="T768" s="293"/>
      <c r="U768" s="293"/>
      <c r="V768" s="293"/>
      <c r="W768" s="294"/>
      <c r="X768" s="237">
        <f>VLOOKUP(N768,[9]Pagos!$C$2:$D$353,2,FALSE)</f>
        <v>2700000</v>
      </c>
      <c r="Y768" s="295">
        <f t="shared" si="39"/>
        <v>0</v>
      </c>
      <c r="Z768" s="296">
        <f t="shared" si="40"/>
        <v>1</v>
      </c>
      <c r="AA768" s="85">
        <v>41947381</v>
      </c>
      <c r="AB768" s="85" t="s">
        <v>6440</v>
      </c>
      <c r="AC768" s="290" t="s">
        <v>196</v>
      </c>
      <c r="AD768" s="290" t="s">
        <v>196</v>
      </c>
      <c r="AE768" s="303"/>
      <c r="AF768" s="310" t="str">
        <f>VLOOKUP(E768,[10]Hoja1!$D$3:$E$327,2,FALSE)</f>
        <v>https://community.secop.gov.co/Public/Tendering/OpportunityDetail/Index?noticeUID=CO1.NTC.4734242&amp;isFromPublicArea=True&amp;isModal=true&amp;asPopupView=true</v>
      </c>
      <c r="AG768" s="290" t="s">
        <v>192</v>
      </c>
      <c r="AH768" s="290" t="s">
        <v>192</v>
      </c>
    </row>
    <row r="769" spans="1:34" s="297" customFormat="1" ht="15" customHeight="1" x14ac:dyDescent="0.2">
      <c r="A769" s="289">
        <v>891780111</v>
      </c>
      <c r="B769" s="289" t="s">
        <v>54</v>
      </c>
      <c r="C769" s="290" t="s">
        <v>56</v>
      </c>
      <c r="D769" s="289" t="s">
        <v>60</v>
      </c>
      <c r="E769" s="290" t="s">
        <v>9132</v>
      </c>
      <c r="F769" s="289" t="s">
        <v>61</v>
      </c>
      <c r="G769" s="85" t="s">
        <v>63</v>
      </c>
      <c r="H769" s="85" t="s">
        <v>73</v>
      </c>
      <c r="I769" s="237">
        <v>15500000</v>
      </c>
      <c r="J769" s="290"/>
      <c r="K769" s="291"/>
      <c r="L769" s="291"/>
      <c r="M769" s="292">
        <f t="shared" si="37"/>
        <v>15500000</v>
      </c>
      <c r="N769" s="85">
        <v>7143181</v>
      </c>
      <c r="O769" s="85" t="s">
        <v>6515</v>
      </c>
      <c r="P769" s="85" t="s">
        <v>9133</v>
      </c>
      <c r="Q769" s="309">
        <f t="shared" si="42"/>
        <v>45117</v>
      </c>
      <c r="R769" s="309">
        <f t="shared" si="42"/>
        <v>45117</v>
      </c>
      <c r="S769" s="309">
        <f t="shared" si="41"/>
        <v>45260</v>
      </c>
      <c r="T769" s="293"/>
      <c r="U769" s="293"/>
      <c r="V769" s="293"/>
      <c r="W769" s="294"/>
      <c r="X769" s="237">
        <f>VLOOKUP(N769,[9]Pagos!$C$2:$D$353,2,FALSE)</f>
        <v>3100000</v>
      </c>
      <c r="Y769" s="295">
        <f t="shared" si="39"/>
        <v>12400000</v>
      </c>
      <c r="Z769" s="296">
        <f t="shared" si="40"/>
        <v>0.2</v>
      </c>
      <c r="AA769" s="85">
        <v>57461216</v>
      </c>
      <c r="AB769" s="85" t="s">
        <v>6512</v>
      </c>
      <c r="AC769" s="290" t="s">
        <v>196</v>
      </c>
      <c r="AD769" s="290" t="s">
        <v>196</v>
      </c>
      <c r="AE769" s="303"/>
      <c r="AF769" s="310" t="str">
        <f>VLOOKUP(E769,[10]Hoja1!$D$3:$E$327,2,FALSE)</f>
        <v>https://community.secop.gov.co/Public/Tendering/OpportunityDetail/Index?noticeUID=CO1.NTC.4733993&amp;isFromPublicArea=True&amp;isModal=true&amp;asPopupView=true</v>
      </c>
      <c r="AG769" s="290" t="s">
        <v>192</v>
      </c>
      <c r="AH769" s="290" t="s">
        <v>192</v>
      </c>
    </row>
    <row r="770" spans="1:34" s="297" customFormat="1" ht="15" customHeight="1" x14ac:dyDescent="0.2">
      <c r="A770" s="289">
        <v>891780111</v>
      </c>
      <c r="B770" s="289" t="s">
        <v>54</v>
      </c>
      <c r="C770" s="290" t="s">
        <v>56</v>
      </c>
      <c r="D770" s="289" t="s">
        <v>60</v>
      </c>
      <c r="E770" s="290" t="s">
        <v>9134</v>
      </c>
      <c r="F770" s="289" t="s">
        <v>61</v>
      </c>
      <c r="G770" s="85" t="s">
        <v>63</v>
      </c>
      <c r="H770" s="85" t="s">
        <v>73</v>
      </c>
      <c r="I770" s="237">
        <v>18500000</v>
      </c>
      <c r="J770" s="290"/>
      <c r="K770" s="291"/>
      <c r="L770" s="291"/>
      <c r="M770" s="292">
        <f t="shared" si="37"/>
        <v>18500000</v>
      </c>
      <c r="N770" s="85">
        <v>57106762</v>
      </c>
      <c r="O770" s="85" t="s">
        <v>8080</v>
      </c>
      <c r="P770" s="85" t="s">
        <v>9135</v>
      </c>
      <c r="Q770" s="309">
        <f t="shared" si="42"/>
        <v>45117</v>
      </c>
      <c r="R770" s="309">
        <f t="shared" si="42"/>
        <v>45117</v>
      </c>
      <c r="S770" s="309">
        <f t="shared" si="41"/>
        <v>45260</v>
      </c>
      <c r="T770" s="293"/>
      <c r="U770" s="293"/>
      <c r="V770" s="293"/>
      <c r="W770" s="294"/>
      <c r="X770" s="237">
        <f>VLOOKUP(N770,[9]Pagos!$C$2:$D$353,2,FALSE)</f>
        <v>3700000</v>
      </c>
      <c r="Y770" s="295">
        <f t="shared" si="39"/>
        <v>14800000</v>
      </c>
      <c r="Z770" s="296">
        <f t="shared" si="40"/>
        <v>0.2</v>
      </c>
      <c r="AA770" s="85"/>
      <c r="AB770" s="85" t="s">
        <v>9081</v>
      </c>
      <c r="AC770" s="290" t="s">
        <v>196</v>
      </c>
      <c r="AD770" s="290" t="s">
        <v>196</v>
      </c>
      <c r="AE770" s="303"/>
      <c r="AF770" s="310" t="str">
        <f>VLOOKUP(E770,[10]Hoja1!$D$3:$E$327,2,FALSE)</f>
        <v>https://community.secop.gov.co/Public/Tendering/OpportunityDetail/Index?noticeUID=CO1.NTC.4733998&amp;isFromPublicArea=True&amp;isModal=true&amp;asPopupView=true</v>
      </c>
      <c r="AG770" s="290" t="s">
        <v>192</v>
      </c>
      <c r="AH770" s="290" t="s">
        <v>192</v>
      </c>
    </row>
    <row r="771" spans="1:34" s="297" customFormat="1" ht="15" customHeight="1" x14ac:dyDescent="0.2">
      <c r="A771" s="289">
        <v>891780111</v>
      </c>
      <c r="B771" s="289" t="s">
        <v>54</v>
      </c>
      <c r="C771" s="290" t="s">
        <v>56</v>
      </c>
      <c r="D771" s="289" t="s">
        <v>60</v>
      </c>
      <c r="E771" s="290" t="s">
        <v>9136</v>
      </c>
      <c r="F771" s="289" t="s">
        <v>61</v>
      </c>
      <c r="G771" s="85" t="s">
        <v>63</v>
      </c>
      <c r="H771" s="85" t="s">
        <v>73</v>
      </c>
      <c r="I771" s="237">
        <v>12500000</v>
      </c>
      <c r="J771" s="290"/>
      <c r="K771" s="291"/>
      <c r="L771" s="291"/>
      <c r="M771" s="292">
        <f t="shared" si="37"/>
        <v>12500000</v>
      </c>
      <c r="N771" s="85">
        <v>1148702081</v>
      </c>
      <c r="O771" s="85" t="s">
        <v>6781</v>
      </c>
      <c r="P771" s="85" t="s">
        <v>9137</v>
      </c>
      <c r="Q771" s="309">
        <f t="shared" si="42"/>
        <v>45117</v>
      </c>
      <c r="R771" s="309">
        <f t="shared" si="42"/>
        <v>45117</v>
      </c>
      <c r="S771" s="309">
        <f t="shared" si="41"/>
        <v>45260</v>
      </c>
      <c r="T771" s="293"/>
      <c r="U771" s="293"/>
      <c r="V771" s="293"/>
      <c r="W771" s="294"/>
      <c r="X771" s="237">
        <f>VLOOKUP(N771,[9]Pagos!$C$2:$D$353,2,FALSE)</f>
        <v>2500000</v>
      </c>
      <c r="Y771" s="295">
        <f t="shared" si="39"/>
        <v>10000000</v>
      </c>
      <c r="Z771" s="296">
        <f t="shared" si="40"/>
        <v>0.2</v>
      </c>
      <c r="AA771" s="85"/>
      <c r="AB771" s="85" t="s">
        <v>9081</v>
      </c>
      <c r="AC771" s="290" t="s">
        <v>196</v>
      </c>
      <c r="AD771" s="290" t="s">
        <v>196</v>
      </c>
      <c r="AE771" s="303"/>
      <c r="AF771" s="310" t="str">
        <f>VLOOKUP(E771,[10]Hoja1!$D$3:$E$327,2,FALSE)</f>
        <v>https://community.secop.gov.co/Public/Tendering/OpportunityDetail/Index?noticeUID=CO1.NTC.4734283&amp;isFromPublicArea=True&amp;isModal=true&amp;asPopupView=true</v>
      </c>
      <c r="AG771" s="290" t="s">
        <v>192</v>
      </c>
      <c r="AH771" s="290" t="s">
        <v>192</v>
      </c>
    </row>
    <row r="772" spans="1:34" s="297" customFormat="1" ht="15" customHeight="1" x14ac:dyDescent="0.2">
      <c r="A772" s="289">
        <v>891780111</v>
      </c>
      <c r="B772" s="289" t="s">
        <v>54</v>
      </c>
      <c r="C772" s="290" t="s">
        <v>56</v>
      </c>
      <c r="D772" s="289" t="s">
        <v>60</v>
      </c>
      <c r="E772" s="290" t="s">
        <v>9138</v>
      </c>
      <c r="F772" s="289" t="s">
        <v>61</v>
      </c>
      <c r="G772" s="85" t="s">
        <v>63</v>
      </c>
      <c r="H772" s="85" t="s">
        <v>73</v>
      </c>
      <c r="I772" s="237">
        <v>12500000</v>
      </c>
      <c r="J772" s="290"/>
      <c r="K772" s="291"/>
      <c r="L772" s="291"/>
      <c r="M772" s="292">
        <f t="shared" si="37"/>
        <v>12500000</v>
      </c>
      <c r="N772" s="85">
        <v>1082250050</v>
      </c>
      <c r="O772" s="85" t="s">
        <v>7409</v>
      </c>
      <c r="P772" s="85" t="s">
        <v>9139</v>
      </c>
      <c r="Q772" s="309">
        <f t="shared" si="42"/>
        <v>45117</v>
      </c>
      <c r="R772" s="309">
        <f t="shared" si="42"/>
        <v>45117</v>
      </c>
      <c r="S772" s="309">
        <f t="shared" si="41"/>
        <v>45260</v>
      </c>
      <c r="T772" s="293"/>
      <c r="U772" s="293"/>
      <c r="V772" s="293"/>
      <c r="W772" s="294"/>
      <c r="X772" s="237">
        <f>VLOOKUP(N772,[9]Pagos!$C$2:$D$353,2,FALSE)</f>
        <v>2500000</v>
      </c>
      <c r="Y772" s="295">
        <f t="shared" si="39"/>
        <v>10000000</v>
      </c>
      <c r="Z772" s="296">
        <f t="shared" si="40"/>
        <v>0.2</v>
      </c>
      <c r="AA772" s="85">
        <v>85449357</v>
      </c>
      <c r="AB772" s="85" t="s">
        <v>6553</v>
      </c>
      <c r="AC772" s="290" t="s">
        <v>196</v>
      </c>
      <c r="AD772" s="290" t="s">
        <v>196</v>
      </c>
      <c r="AE772" s="303"/>
      <c r="AF772" s="310" t="str">
        <f>VLOOKUP(E772,[10]Hoja1!$D$3:$E$327,2,FALSE)</f>
        <v>https://community.secop.gov.co/Public/Tendering/OpportunityDetail/Index?noticeUID=CO1.NTC.4734297&amp;isFromPublicArea=True&amp;isModal=true&amp;asPopupView=true</v>
      </c>
      <c r="AG772" s="290" t="s">
        <v>192</v>
      </c>
      <c r="AH772" s="290" t="s">
        <v>192</v>
      </c>
    </row>
    <row r="773" spans="1:34" s="297" customFormat="1" ht="15" customHeight="1" x14ac:dyDescent="0.2">
      <c r="A773" s="289">
        <v>891780111</v>
      </c>
      <c r="B773" s="289" t="s">
        <v>54</v>
      </c>
      <c r="C773" s="290" t="s">
        <v>56</v>
      </c>
      <c r="D773" s="289" t="s">
        <v>60</v>
      </c>
      <c r="E773" s="290" t="s">
        <v>9140</v>
      </c>
      <c r="F773" s="289" t="s">
        <v>61</v>
      </c>
      <c r="G773" s="85" t="s">
        <v>63</v>
      </c>
      <c r="H773" s="85" t="s">
        <v>73</v>
      </c>
      <c r="I773" s="237">
        <v>11000000</v>
      </c>
      <c r="J773" s="290"/>
      <c r="K773" s="291"/>
      <c r="L773" s="291"/>
      <c r="M773" s="292">
        <f t="shared" ref="M773:M836" si="45">I773+K773-L773</f>
        <v>11000000</v>
      </c>
      <c r="N773" s="85">
        <v>36667908</v>
      </c>
      <c r="O773" s="85" t="s">
        <v>6816</v>
      </c>
      <c r="P773" s="85" t="s">
        <v>9141</v>
      </c>
      <c r="Q773" s="309">
        <f t="shared" si="42"/>
        <v>45117</v>
      </c>
      <c r="R773" s="309">
        <f t="shared" si="42"/>
        <v>45117</v>
      </c>
      <c r="S773" s="309">
        <f t="shared" si="41"/>
        <v>45260</v>
      </c>
      <c r="T773" s="293"/>
      <c r="U773" s="293"/>
      <c r="V773" s="293"/>
      <c r="W773" s="294"/>
      <c r="X773" s="237">
        <f>VLOOKUP(N773,[9]Pagos!$C$2:$D$353,2,FALSE)</f>
        <v>2200000</v>
      </c>
      <c r="Y773" s="295">
        <f t="shared" ref="Y773:Y836" si="46">M773-X773</f>
        <v>8800000</v>
      </c>
      <c r="Z773" s="296">
        <f t="shared" ref="Z773:Z836" si="47">+(X773/M773)</f>
        <v>0.2</v>
      </c>
      <c r="AA773" s="85"/>
      <c r="AB773" s="85" t="s">
        <v>1020</v>
      </c>
      <c r="AC773" s="290" t="s">
        <v>196</v>
      </c>
      <c r="AD773" s="290" t="s">
        <v>196</v>
      </c>
      <c r="AE773" s="303"/>
      <c r="AF773" s="310" t="str">
        <f>VLOOKUP(E773,[10]Hoja1!$D$3:$E$327,2,FALSE)</f>
        <v>https://community.secop.gov.co/Public/Tendering/OpportunityDetail/Index?noticeUID=CO1.NTC.4734709&amp;isFromPublicArea=True&amp;isModal=true&amp;asPopupView=true</v>
      </c>
      <c r="AG773" s="290" t="s">
        <v>192</v>
      </c>
      <c r="AH773" s="290" t="s">
        <v>192</v>
      </c>
    </row>
    <row r="774" spans="1:34" s="297" customFormat="1" ht="15" customHeight="1" x14ac:dyDescent="0.2">
      <c r="A774" s="289">
        <v>891780111</v>
      </c>
      <c r="B774" s="289" t="s">
        <v>54</v>
      </c>
      <c r="C774" s="290" t="s">
        <v>56</v>
      </c>
      <c r="D774" s="289" t="s">
        <v>60</v>
      </c>
      <c r="E774" s="290" t="s">
        <v>9142</v>
      </c>
      <c r="F774" s="289" t="s">
        <v>61</v>
      </c>
      <c r="G774" s="85" t="s">
        <v>63</v>
      </c>
      <c r="H774" s="85" t="s">
        <v>73</v>
      </c>
      <c r="I774" s="237">
        <v>2700000</v>
      </c>
      <c r="J774" s="290"/>
      <c r="K774" s="291"/>
      <c r="L774" s="291"/>
      <c r="M774" s="292">
        <f t="shared" si="45"/>
        <v>2700000</v>
      </c>
      <c r="N774" s="85">
        <v>1082912086</v>
      </c>
      <c r="O774" s="85" t="s">
        <v>6450</v>
      </c>
      <c r="P774" s="85" t="s">
        <v>9107</v>
      </c>
      <c r="Q774" s="309">
        <f t="shared" si="42"/>
        <v>45117</v>
      </c>
      <c r="R774" s="309">
        <f>DATE(2023,7,11)</f>
        <v>45118</v>
      </c>
      <c r="S774" s="309">
        <f>DATE(2023,7,24)</f>
        <v>45131</v>
      </c>
      <c r="T774" s="293"/>
      <c r="U774" s="293"/>
      <c r="V774" s="293"/>
      <c r="W774" s="294"/>
      <c r="X774" s="237">
        <f>VLOOKUP(N774,[9]Pagos!$C$2:$D$353,2,FALSE)</f>
        <v>2700000</v>
      </c>
      <c r="Y774" s="295">
        <f t="shared" si="46"/>
        <v>0</v>
      </c>
      <c r="Z774" s="296">
        <f t="shared" si="47"/>
        <v>1</v>
      </c>
      <c r="AA774" s="85">
        <v>41947381</v>
      </c>
      <c r="AB774" s="85" t="s">
        <v>6440</v>
      </c>
      <c r="AC774" s="290" t="s">
        <v>196</v>
      </c>
      <c r="AD774" s="290" t="s">
        <v>196</v>
      </c>
      <c r="AE774" s="303"/>
      <c r="AF774" s="310" t="str">
        <f>VLOOKUP(E774,[10]Hoja1!$D$3:$E$327,2,FALSE)</f>
        <v>https://community.secop.gov.co/Public/Tendering/OpportunityDetail/Index?noticeUID=CO1.NTC.4734545&amp;isFromPublicArea=True&amp;isModal=true&amp;asPopupView=true</v>
      </c>
      <c r="AG774" s="290" t="s">
        <v>192</v>
      </c>
      <c r="AH774" s="290" t="s">
        <v>192</v>
      </c>
    </row>
    <row r="775" spans="1:34" s="297" customFormat="1" ht="15" customHeight="1" x14ac:dyDescent="0.2">
      <c r="A775" s="289">
        <v>891780111</v>
      </c>
      <c r="B775" s="289" t="s">
        <v>54</v>
      </c>
      <c r="C775" s="290" t="s">
        <v>56</v>
      </c>
      <c r="D775" s="289" t="s">
        <v>60</v>
      </c>
      <c r="E775" s="290" t="s">
        <v>9143</v>
      </c>
      <c r="F775" s="289" t="s">
        <v>61</v>
      </c>
      <c r="G775" s="85" t="s">
        <v>63</v>
      </c>
      <c r="H775" s="85" t="s">
        <v>73</v>
      </c>
      <c r="I775" s="237">
        <v>11000000</v>
      </c>
      <c r="J775" s="290"/>
      <c r="K775" s="291"/>
      <c r="L775" s="291"/>
      <c r="M775" s="292">
        <f t="shared" si="45"/>
        <v>11000000</v>
      </c>
      <c r="N775" s="85">
        <v>32801897</v>
      </c>
      <c r="O775" s="85" t="s">
        <v>6966</v>
      </c>
      <c r="P775" s="85" t="s">
        <v>9144</v>
      </c>
      <c r="Q775" s="309">
        <f t="shared" si="42"/>
        <v>45117</v>
      </c>
      <c r="R775" s="309">
        <f t="shared" si="42"/>
        <v>45117</v>
      </c>
      <c r="S775" s="309">
        <f t="shared" si="41"/>
        <v>45260</v>
      </c>
      <c r="T775" s="293"/>
      <c r="U775" s="293"/>
      <c r="V775" s="293"/>
      <c r="W775" s="294"/>
      <c r="X775" s="237">
        <f>VLOOKUP(N775,[9]Pagos!$C$2:$D$353,2,FALSE)</f>
        <v>2200000</v>
      </c>
      <c r="Y775" s="295">
        <f t="shared" si="46"/>
        <v>8800000</v>
      </c>
      <c r="Z775" s="296">
        <f t="shared" si="47"/>
        <v>0.2</v>
      </c>
      <c r="AA775" s="85">
        <v>57441846</v>
      </c>
      <c r="AB775" s="85" t="s">
        <v>6885</v>
      </c>
      <c r="AC775" s="290" t="s">
        <v>196</v>
      </c>
      <c r="AD775" s="290" t="s">
        <v>196</v>
      </c>
      <c r="AE775" s="303"/>
      <c r="AF775" s="310" t="str">
        <f>VLOOKUP(E775,[10]Hoja1!$D$3:$E$327,2,FALSE)</f>
        <v>https://community.secop.gov.co/Public/Tendering/OpportunityDetail/Index?noticeUID=CO1.NTC.4735422&amp;isFromPublicArea=True&amp;isModal=true&amp;asPopupView=true</v>
      </c>
      <c r="AG775" s="290" t="s">
        <v>192</v>
      </c>
      <c r="AH775" s="290" t="s">
        <v>192</v>
      </c>
    </row>
    <row r="776" spans="1:34" s="297" customFormat="1" ht="15" customHeight="1" x14ac:dyDescent="0.2">
      <c r="A776" s="289">
        <v>891780111</v>
      </c>
      <c r="B776" s="289" t="s">
        <v>54</v>
      </c>
      <c r="C776" s="290" t="s">
        <v>56</v>
      </c>
      <c r="D776" s="289" t="s">
        <v>60</v>
      </c>
      <c r="E776" s="290" t="s">
        <v>9145</v>
      </c>
      <c r="F776" s="289" t="s">
        <v>61</v>
      </c>
      <c r="G776" s="85" t="s">
        <v>63</v>
      </c>
      <c r="H776" s="85" t="s">
        <v>73</v>
      </c>
      <c r="I776" s="237">
        <v>11000000</v>
      </c>
      <c r="J776" s="290"/>
      <c r="K776" s="291"/>
      <c r="L776" s="291"/>
      <c r="M776" s="292">
        <f t="shared" si="45"/>
        <v>11000000</v>
      </c>
      <c r="N776" s="85">
        <v>57461875</v>
      </c>
      <c r="O776" s="85" t="s">
        <v>6643</v>
      </c>
      <c r="P776" s="85" t="s">
        <v>9146</v>
      </c>
      <c r="Q776" s="309">
        <f t="shared" si="42"/>
        <v>45117</v>
      </c>
      <c r="R776" s="309">
        <f t="shared" si="42"/>
        <v>45117</v>
      </c>
      <c r="S776" s="309">
        <f t="shared" si="41"/>
        <v>45260</v>
      </c>
      <c r="T776" s="293"/>
      <c r="U776" s="293"/>
      <c r="V776" s="293"/>
      <c r="W776" s="294"/>
      <c r="X776" s="237">
        <f>VLOOKUP(N776,[9]Pagos!$C$2:$D$353,2,FALSE)</f>
        <v>2200000</v>
      </c>
      <c r="Y776" s="295">
        <f t="shared" si="46"/>
        <v>8800000</v>
      </c>
      <c r="Z776" s="296">
        <f t="shared" si="47"/>
        <v>0.2</v>
      </c>
      <c r="AA776" s="85"/>
      <c r="AB776" s="85" t="s">
        <v>1020</v>
      </c>
      <c r="AC776" s="290" t="s">
        <v>196</v>
      </c>
      <c r="AD776" s="290" t="s">
        <v>196</v>
      </c>
      <c r="AE776" s="303"/>
      <c r="AF776" s="310" t="str">
        <f>VLOOKUP(E776,[10]Hoja1!$D$3:$E$327,2,FALSE)</f>
        <v>https://community.secop.gov.co/Public/Tendering/OpportunityDetail/Index?noticeUID=CO1.NTC.4735173&amp;isFromPublicArea=True&amp;isModal=true&amp;asPopupView=true</v>
      </c>
      <c r="AG776" s="290" t="s">
        <v>192</v>
      </c>
      <c r="AH776" s="290" t="s">
        <v>192</v>
      </c>
    </row>
    <row r="777" spans="1:34" s="297" customFormat="1" ht="15" customHeight="1" x14ac:dyDescent="0.2">
      <c r="A777" s="289">
        <v>891780111</v>
      </c>
      <c r="B777" s="289" t="s">
        <v>54</v>
      </c>
      <c r="C777" s="290" t="s">
        <v>59</v>
      </c>
      <c r="D777" s="289" t="s">
        <v>60</v>
      </c>
      <c r="E777" s="290" t="s">
        <v>9147</v>
      </c>
      <c r="F777" s="289" t="s">
        <v>61</v>
      </c>
      <c r="G777" s="85" t="s">
        <v>63</v>
      </c>
      <c r="H777" s="85" t="s">
        <v>73</v>
      </c>
      <c r="I777" s="237">
        <v>14300000</v>
      </c>
      <c r="J777" s="290"/>
      <c r="K777" s="291"/>
      <c r="L777" s="291"/>
      <c r="M777" s="292">
        <f t="shared" si="45"/>
        <v>14300000</v>
      </c>
      <c r="N777" s="85">
        <v>1085045367</v>
      </c>
      <c r="O777" s="85" t="s">
        <v>6804</v>
      </c>
      <c r="P777" s="85" t="s">
        <v>9148</v>
      </c>
      <c r="Q777" s="309">
        <f t="shared" si="42"/>
        <v>45117</v>
      </c>
      <c r="R777" s="309">
        <f t="shared" si="42"/>
        <v>45117</v>
      </c>
      <c r="S777" s="309">
        <f t="shared" si="41"/>
        <v>45260</v>
      </c>
      <c r="T777" s="293"/>
      <c r="U777" s="293"/>
      <c r="V777" s="293"/>
      <c r="W777" s="294"/>
      <c r="X777" s="237">
        <f>VLOOKUP(N777,[9]Pagos!$C$2:$D$353,2,FALSE)</f>
        <v>2860000</v>
      </c>
      <c r="Y777" s="295">
        <f t="shared" si="46"/>
        <v>11440000</v>
      </c>
      <c r="Z777" s="296">
        <f t="shared" si="47"/>
        <v>0.2</v>
      </c>
      <c r="AA777" s="85">
        <v>57461216</v>
      </c>
      <c r="AB777" s="85" t="s">
        <v>6512</v>
      </c>
      <c r="AC777" s="290" t="s">
        <v>196</v>
      </c>
      <c r="AD777" s="290" t="s">
        <v>196</v>
      </c>
      <c r="AE777" s="303"/>
      <c r="AF777" s="310" t="str">
        <f>VLOOKUP(E777,[10]Hoja1!$D$3:$E$327,2,FALSE)</f>
        <v>https://community.secop.gov.co/Public/Tendering/OpportunityDetail/Index?noticeUID=CO1.NTC.4735176&amp;isFromPublicArea=True&amp;isModal=true&amp;asPopupView=true</v>
      </c>
      <c r="AG777" s="290" t="s">
        <v>192</v>
      </c>
      <c r="AH777" s="290" t="s">
        <v>192</v>
      </c>
    </row>
    <row r="778" spans="1:34" s="297" customFormat="1" ht="15" customHeight="1" x14ac:dyDescent="0.2">
      <c r="A778" s="289">
        <v>891780111</v>
      </c>
      <c r="B778" s="289" t="s">
        <v>54</v>
      </c>
      <c r="C778" s="290" t="s">
        <v>56</v>
      </c>
      <c r="D778" s="289" t="s">
        <v>60</v>
      </c>
      <c r="E778" s="290" t="s">
        <v>9149</v>
      </c>
      <c r="F778" s="289" t="s">
        <v>61</v>
      </c>
      <c r="G778" s="85" t="s">
        <v>63</v>
      </c>
      <c r="H778" s="85" t="s">
        <v>73</v>
      </c>
      <c r="I778" s="237">
        <v>3600000</v>
      </c>
      <c r="J778" s="290">
        <v>1</v>
      </c>
      <c r="K778" s="291"/>
      <c r="L778" s="291"/>
      <c r="M778" s="292">
        <f t="shared" si="45"/>
        <v>3600000</v>
      </c>
      <c r="N778" s="85">
        <v>85155135</v>
      </c>
      <c r="O778" s="85" t="s">
        <v>8016</v>
      </c>
      <c r="P778" s="85" t="s">
        <v>9150</v>
      </c>
      <c r="Q778" s="309">
        <f t="shared" si="42"/>
        <v>45117</v>
      </c>
      <c r="R778" s="309">
        <f>DATE(2023,7,11)</f>
        <v>45118</v>
      </c>
      <c r="S778" s="309">
        <f>DATE(2023,7,24)</f>
        <v>45131</v>
      </c>
      <c r="T778" s="293"/>
      <c r="U778" s="293"/>
      <c r="V778" s="293"/>
      <c r="W778" s="304">
        <f>DATE(2023,7,31)</f>
        <v>45138</v>
      </c>
      <c r="X778" s="237">
        <f>VLOOKUP(N778,[9]Pagos!$C$2:$D$353,2,FALSE)</f>
        <v>3600000</v>
      </c>
      <c r="Y778" s="295">
        <f t="shared" si="46"/>
        <v>0</v>
      </c>
      <c r="Z778" s="296">
        <f t="shared" si="47"/>
        <v>1</v>
      </c>
      <c r="AA778" s="85">
        <v>41947381</v>
      </c>
      <c r="AB778" s="85" t="s">
        <v>6440</v>
      </c>
      <c r="AC778" s="290" t="s">
        <v>196</v>
      </c>
      <c r="AD778" s="290" t="s">
        <v>196</v>
      </c>
      <c r="AE778" s="303"/>
      <c r="AF778" s="310" t="str">
        <f>VLOOKUP(E778,[10]Hoja1!$D$3:$E$327,2,FALSE)</f>
        <v>https://community.secop.gov.co/Public/Tendering/OpportunityDetail/Index?noticeUID=CO1.NTC.4735177&amp;isFromPublicArea=True&amp;isModal=true&amp;asPopupView=true</v>
      </c>
      <c r="AG778" s="290" t="s">
        <v>192</v>
      </c>
      <c r="AH778" s="290" t="s">
        <v>192</v>
      </c>
    </row>
    <row r="779" spans="1:34" s="297" customFormat="1" ht="15" customHeight="1" x14ac:dyDescent="0.2">
      <c r="A779" s="289">
        <v>891780111</v>
      </c>
      <c r="B779" s="289" t="s">
        <v>54</v>
      </c>
      <c r="C779" s="290" t="s">
        <v>56</v>
      </c>
      <c r="D779" s="289" t="s">
        <v>60</v>
      </c>
      <c r="E779" s="290" t="s">
        <v>9151</v>
      </c>
      <c r="F779" s="289" t="s">
        <v>61</v>
      </c>
      <c r="G779" s="85" t="s">
        <v>63</v>
      </c>
      <c r="H779" s="85" t="s">
        <v>73</v>
      </c>
      <c r="I779" s="237">
        <v>14000000</v>
      </c>
      <c r="J779" s="290"/>
      <c r="K779" s="291"/>
      <c r="L779" s="291"/>
      <c r="M779" s="292">
        <f t="shared" si="45"/>
        <v>14000000</v>
      </c>
      <c r="N779" s="85">
        <v>1020750597</v>
      </c>
      <c r="O779" s="85" t="s">
        <v>6523</v>
      </c>
      <c r="P779" s="85" t="s">
        <v>9152</v>
      </c>
      <c r="Q779" s="309">
        <f>DATE(2023,7,11)</f>
        <v>45118</v>
      </c>
      <c r="R779" s="309">
        <f>DATE(2023,7,11)</f>
        <v>45118</v>
      </c>
      <c r="S779" s="309">
        <f t="shared" si="41"/>
        <v>45260</v>
      </c>
      <c r="T779" s="293"/>
      <c r="U779" s="293"/>
      <c r="V779" s="293"/>
      <c r="W779" s="294"/>
      <c r="X779" s="237">
        <f>VLOOKUP(N779,[9]Pagos!$C$2:$D$353,2,FALSE)</f>
        <v>2800000</v>
      </c>
      <c r="Y779" s="295">
        <f t="shared" si="46"/>
        <v>11200000</v>
      </c>
      <c r="Z779" s="296">
        <f t="shared" si="47"/>
        <v>0.2</v>
      </c>
      <c r="AA779" s="85">
        <v>57461216</v>
      </c>
      <c r="AB779" s="85" t="s">
        <v>6512</v>
      </c>
      <c r="AC779" s="290" t="s">
        <v>196</v>
      </c>
      <c r="AD779" s="290" t="s">
        <v>196</v>
      </c>
      <c r="AE779" s="303"/>
      <c r="AF779" s="310" t="str">
        <f>VLOOKUP(E779,[10]Hoja1!$D$3:$E$327,2,FALSE)</f>
        <v>https://community.secop.gov.co/Public/Tendering/OpportunityDetail/Index?noticeUID=CO1.NTC.4736961&amp;isFromPublicArea=True&amp;isModal=true&amp;asPopupView=true</v>
      </c>
      <c r="AG779" s="290" t="s">
        <v>192</v>
      </c>
      <c r="AH779" s="290" t="s">
        <v>192</v>
      </c>
    </row>
    <row r="780" spans="1:34" s="297" customFormat="1" ht="15" customHeight="1" x14ac:dyDescent="0.2">
      <c r="A780" s="289">
        <v>891780111</v>
      </c>
      <c r="B780" s="289" t="s">
        <v>54</v>
      </c>
      <c r="C780" s="290" t="s">
        <v>56</v>
      </c>
      <c r="D780" s="289" t="s">
        <v>60</v>
      </c>
      <c r="E780" s="290" t="s">
        <v>9153</v>
      </c>
      <c r="F780" s="289" t="s">
        <v>61</v>
      </c>
      <c r="G780" s="85" t="s">
        <v>63</v>
      </c>
      <c r="H780" s="85" t="s">
        <v>73</v>
      </c>
      <c r="I780" s="237">
        <v>11000000</v>
      </c>
      <c r="J780" s="290"/>
      <c r="K780" s="291"/>
      <c r="L780" s="291"/>
      <c r="M780" s="292">
        <f t="shared" si="45"/>
        <v>11000000</v>
      </c>
      <c r="N780" s="85">
        <v>1082861716</v>
      </c>
      <c r="O780" s="85" t="s">
        <v>6652</v>
      </c>
      <c r="P780" s="85" t="s">
        <v>9154</v>
      </c>
      <c r="Q780" s="309">
        <f t="shared" ref="Q780:R804" si="48">DATE(2023,7,11)</f>
        <v>45118</v>
      </c>
      <c r="R780" s="309">
        <f t="shared" si="48"/>
        <v>45118</v>
      </c>
      <c r="S780" s="309">
        <f t="shared" si="41"/>
        <v>45260</v>
      </c>
      <c r="T780" s="293"/>
      <c r="U780" s="293"/>
      <c r="V780" s="293"/>
      <c r="W780" s="294"/>
      <c r="X780" s="237">
        <f>VLOOKUP(N780,[9]Pagos!$C$2:$D$353,2,FALSE)</f>
        <v>2200000</v>
      </c>
      <c r="Y780" s="295">
        <f t="shared" si="46"/>
        <v>8800000</v>
      </c>
      <c r="Z780" s="296">
        <f t="shared" si="47"/>
        <v>0.2</v>
      </c>
      <c r="AA780" s="85">
        <v>85449357</v>
      </c>
      <c r="AB780" s="85" t="s">
        <v>2417</v>
      </c>
      <c r="AC780" s="290" t="s">
        <v>196</v>
      </c>
      <c r="AD780" s="290" t="s">
        <v>196</v>
      </c>
      <c r="AE780" s="303"/>
      <c r="AF780" s="310" t="str">
        <f>VLOOKUP(E780,[10]Hoja1!$D$3:$E$327,2,FALSE)</f>
        <v>https://community.secop.gov.co/Public/Tendering/OpportunityDetail/Index?noticeUID=CO1.NTC.4737176&amp;isFromPublicArea=True&amp;isModal=true&amp;asPopupView=true</v>
      </c>
      <c r="AG780" s="290" t="s">
        <v>192</v>
      </c>
      <c r="AH780" s="290" t="s">
        <v>192</v>
      </c>
    </row>
    <row r="781" spans="1:34" s="297" customFormat="1" ht="15" customHeight="1" x14ac:dyDescent="0.2">
      <c r="A781" s="289">
        <v>891780111</v>
      </c>
      <c r="B781" s="289" t="s">
        <v>54</v>
      </c>
      <c r="C781" s="290" t="s">
        <v>56</v>
      </c>
      <c r="D781" s="289" t="s">
        <v>60</v>
      </c>
      <c r="E781" s="290" t="s">
        <v>9155</v>
      </c>
      <c r="F781" s="289" t="s">
        <v>61</v>
      </c>
      <c r="G781" s="85" t="s">
        <v>63</v>
      </c>
      <c r="H781" s="85" t="s">
        <v>73</v>
      </c>
      <c r="I781" s="237">
        <v>9500000</v>
      </c>
      <c r="J781" s="290"/>
      <c r="K781" s="291"/>
      <c r="L781" s="291"/>
      <c r="M781" s="292">
        <f t="shared" si="45"/>
        <v>9500000</v>
      </c>
      <c r="N781" s="85">
        <v>1082887356</v>
      </c>
      <c r="O781" s="85" t="s">
        <v>6888</v>
      </c>
      <c r="P781" s="85" t="s">
        <v>9156</v>
      </c>
      <c r="Q781" s="309">
        <f t="shared" si="48"/>
        <v>45118</v>
      </c>
      <c r="R781" s="309">
        <f t="shared" si="48"/>
        <v>45118</v>
      </c>
      <c r="S781" s="309">
        <f t="shared" si="41"/>
        <v>45260</v>
      </c>
      <c r="T781" s="293"/>
      <c r="U781" s="293"/>
      <c r="V781" s="293"/>
      <c r="W781" s="294"/>
      <c r="X781" s="237">
        <f>VLOOKUP(N781,[9]Pagos!$C$2:$D$353,2,FALSE)</f>
        <v>1900000</v>
      </c>
      <c r="Y781" s="295">
        <f t="shared" si="46"/>
        <v>7600000</v>
      </c>
      <c r="Z781" s="296">
        <f t="shared" si="47"/>
        <v>0.2</v>
      </c>
      <c r="AA781" s="85">
        <v>26668285</v>
      </c>
      <c r="AB781" s="85" t="s">
        <v>5038</v>
      </c>
      <c r="AC781" s="290" t="s">
        <v>196</v>
      </c>
      <c r="AD781" s="290" t="s">
        <v>196</v>
      </c>
      <c r="AE781" s="303"/>
      <c r="AF781" s="310" t="str">
        <f>VLOOKUP(E781,[10]Hoja1!$D$3:$E$327,2,FALSE)</f>
        <v>https://community.secop.gov.co/Public/Tendering/OpportunityDetail/Index?noticeUID=CO1.NTC.4737232&amp;isFromPublicArea=True&amp;isModal=true&amp;asPopupView=true</v>
      </c>
      <c r="AG781" s="290" t="s">
        <v>192</v>
      </c>
      <c r="AH781" s="290" t="s">
        <v>192</v>
      </c>
    </row>
    <row r="782" spans="1:34" s="297" customFormat="1" ht="15" customHeight="1" x14ac:dyDescent="0.2">
      <c r="A782" s="289">
        <v>891780111</v>
      </c>
      <c r="B782" s="289" t="s">
        <v>54</v>
      </c>
      <c r="C782" s="290" t="s">
        <v>56</v>
      </c>
      <c r="D782" s="289" t="s">
        <v>60</v>
      </c>
      <c r="E782" s="290" t="s">
        <v>9157</v>
      </c>
      <c r="F782" s="289" t="s">
        <v>61</v>
      </c>
      <c r="G782" s="85" t="s">
        <v>63</v>
      </c>
      <c r="H782" s="85" t="s">
        <v>73</v>
      </c>
      <c r="I782" s="237">
        <v>14000000</v>
      </c>
      <c r="J782" s="290"/>
      <c r="K782" s="291"/>
      <c r="L782" s="291"/>
      <c r="M782" s="292">
        <f t="shared" si="45"/>
        <v>14000000</v>
      </c>
      <c r="N782" s="85">
        <v>1082983493</v>
      </c>
      <c r="O782" s="85" t="s">
        <v>8354</v>
      </c>
      <c r="P782" s="85" t="s">
        <v>9158</v>
      </c>
      <c r="Q782" s="309">
        <f t="shared" si="48"/>
        <v>45118</v>
      </c>
      <c r="R782" s="309">
        <f t="shared" si="48"/>
        <v>45118</v>
      </c>
      <c r="S782" s="309">
        <f t="shared" si="41"/>
        <v>45260</v>
      </c>
      <c r="T782" s="293"/>
      <c r="U782" s="293"/>
      <c r="V782" s="293"/>
      <c r="W782" s="294"/>
      <c r="X782" s="237">
        <f>VLOOKUP(N782,[9]Pagos!$C$2:$D$353,2,FALSE)</f>
        <v>2800000</v>
      </c>
      <c r="Y782" s="295">
        <f t="shared" si="46"/>
        <v>11200000</v>
      </c>
      <c r="Z782" s="296">
        <f t="shared" si="47"/>
        <v>0.2</v>
      </c>
      <c r="AA782" s="85">
        <v>36557666</v>
      </c>
      <c r="AB782" s="85" t="s">
        <v>6916</v>
      </c>
      <c r="AC782" s="290" t="s">
        <v>196</v>
      </c>
      <c r="AD782" s="290" t="s">
        <v>196</v>
      </c>
      <c r="AE782" s="303"/>
      <c r="AF782" s="310" t="str">
        <f>VLOOKUP(E782,[10]Hoja1!$D$3:$E$327,2,FALSE)</f>
        <v>https://community.secop.gov.co/Public/Tendering/OpportunityDetail/Index?noticeUID=CO1.NTC.4737418&amp;isFromPublicArea=True&amp;isModal=true&amp;asPopupView=true</v>
      </c>
      <c r="AG782" s="290" t="s">
        <v>192</v>
      </c>
      <c r="AH782" s="290" t="s">
        <v>192</v>
      </c>
    </row>
    <row r="783" spans="1:34" s="297" customFormat="1" ht="15" customHeight="1" x14ac:dyDescent="0.2">
      <c r="A783" s="289">
        <v>891780111</v>
      </c>
      <c r="B783" s="289" t="s">
        <v>54</v>
      </c>
      <c r="C783" s="290" t="s">
        <v>56</v>
      </c>
      <c r="D783" s="289" t="s">
        <v>60</v>
      </c>
      <c r="E783" s="290" t="s">
        <v>9159</v>
      </c>
      <c r="F783" s="289" t="s">
        <v>61</v>
      </c>
      <c r="G783" s="85" t="s">
        <v>63</v>
      </c>
      <c r="H783" s="85" t="s">
        <v>73</v>
      </c>
      <c r="I783" s="237">
        <v>37500000</v>
      </c>
      <c r="J783" s="290"/>
      <c r="K783" s="291"/>
      <c r="L783" s="291"/>
      <c r="M783" s="292">
        <f t="shared" si="45"/>
        <v>37500000</v>
      </c>
      <c r="N783" s="85">
        <v>84458088</v>
      </c>
      <c r="O783" s="85" t="s">
        <v>6622</v>
      </c>
      <c r="P783" s="85" t="s">
        <v>9160</v>
      </c>
      <c r="Q783" s="309">
        <f t="shared" si="48"/>
        <v>45118</v>
      </c>
      <c r="R783" s="309">
        <f t="shared" si="48"/>
        <v>45118</v>
      </c>
      <c r="S783" s="309">
        <f t="shared" si="41"/>
        <v>45260</v>
      </c>
      <c r="T783" s="293"/>
      <c r="U783" s="293"/>
      <c r="V783" s="293"/>
      <c r="W783" s="294"/>
      <c r="X783" s="237">
        <f>VLOOKUP(N783,[9]Pagos!$C$2:$D$353,2,FALSE)</f>
        <v>7500000</v>
      </c>
      <c r="Y783" s="295">
        <f t="shared" si="46"/>
        <v>30000000</v>
      </c>
      <c r="Z783" s="296">
        <f t="shared" si="47"/>
        <v>0.2</v>
      </c>
      <c r="AA783" s="85">
        <v>85449357</v>
      </c>
      <c r="AB783" s="85" t="s">
        <v>2417</v>
      </c>
      <c r="AC783" s="290" t="s">
        <v>196</v>
      </c>
      <c r="AD783" s="290" t="s">
        <v>196</v>
      </c>
      <c r="AE783" s="303"/>
      <c r="AF783" s="310" t="str">
        <f>VLOOKUP(E783,[10]Hoja1!$D$3:$E$327,2,FALSE)</f>
        <v>https://community.secop.gov.co/Public/Tendering/OpportunityDetail/Index?noticeUID=CO1.NTC.4737622&amp;isFromPublicArea=True&amp;isModal=true&amp;asPopupView=true</v>
      </c>
      <c r="AG783" s="290" t="s">
        <v>192</v>
      </c>
      <c r="AH783" s="290" t="s">
        <v>192</v>
      </c>
    </row>
    <row r="784" spans="1:34" s="297" customFormat="1" ht="15" customHeight="1" x14ac:dyDescent="0.2">
      <c r="A784" s="289">
        <v>891780111</v>
      </c>
      <c r="B784" s="289" t="s">
        <v>54</v>
      </c>
      <c r="C784" s="290" t="s">
        <v>56</v>
      </c>
      <c r="D784" s="289" t="s">
        <v>60</v>
      </c>
      <c r="E784" s="290" t="s">
        <v>9161</v>
      </c>
      <c r="F784" s="289" t="s">
        <v>61</v>
      </c>
      <c r="G784" s="85" t="s">
        <v>63</v>
      </c>
      <c r="H784" s="85" t="s">
        <v>73</v>
      </c>
      <c r="I784" s="237">
        <v>17000000</v>
      </c>
      <c r="J784" s="290"/>
      <c r="K784" s="291"/>
      <c r="L784" s="291"/>
      <c r="M784" s="292">
        <f t="shared" si="45"/>
        <v>17000000</v>
      </c>
      <c r="N784" s="85">
        <v>85154107</v>
      </c>
      <c r="O784" s="85" t="s">
        <v>6721</v>
      </c>
      <c r="P784" s="85" t="s">
        <v>9162</v>
      </c>
      <c r="Q784" s="309">
        <f t="shared" si="48"/>
        <v>45118</v>
      </c>
      <c r="R784" s="309">
        <f t="shared" si="48"/>
        <v>45118</v>
      </c>
      <c r="S784" s="309">
        <f t="shared" ref="S784:S847" si="49">DATE(2023,11,30)</f>
        <v>45260</v>
      </c>
      <c r="T784" s="293"/>
      <c r="U784" s="293"/>
      <c r="V784" s="293"/>
      <c r="W784" s="294"/>
      <c r="X784" s="237">
        <f>VLOOKUP(N784,[9]Pagos!$C$2:$D$353,2,FALSE)</f>
        <v>3400000</v>
      </c>
      <c r="Y784" s="295">
        <f t="shared" si="46"/>
        <v>13600000</v>
      </c>
      <c r="Z784" s="296">
        <f t="shared" si="47"/>
        <v>0.2</v>
      </c>
      <c r="AA784" s="85">
        <v>84452087</v>
      </c>
      <c r="AB784" s="85" t="s">
        <v>6601</v>
      </c>
      <c r="AC784" s="290" t="s">
        <v>196</v>
      </c>
      <c r="AD784" s="290" t="s">
        <v>196</v>
      </c>
      <c r="AE784" s="303"/>
      <c r="AF784" s="310" t="str">
        <f>VLOOKUP(E784,[10]Hoja1!$D$3:$E$327,2,FALSE)</f>
        <v>https://community.secop.gov.co/Public/Tendering/OpportunityDetail/Index?noticeUID=CO1.NTC.4737279&amp;isFromPublicArea=True&amp;isModal=true&amp;asPopupView=true</v>
      </c>
      <c r="AG784" s="290" t="s">
        <v>192</v>
      </c>
      <c r="AH784" s="290" t="s">
        <v>192</v>
      </c>
    </row>
    <row r="785" spans="1:34" s="297" customFormat="1" ht="15" customHeight="1" x14ac:dyDescent="0.2">
      <c r="A785" s="289">
        <v>891780111</v>
      </c>
      <c r="B785" s="289" t="s">
        <v>54</v>
      </c>
      <c r="C785" s="290" t="s">
        <v>56</v>
      </c>
      <c r="D785" s="289" t="s">
        <v>60</v>
      </c>
      <c r="E785" s="290" t="s">
        <v>9163</v>
      </c>
      <c r="F785" s="289" t="s">
        <v>61</v>
      </c>
      <c r="G785" s="85" t="s">
        <v>63</v>
      </c>
      <c r="H785" s="85" t="s">
        <v>73</v>
      </c>
      <c r="I785" s="237">
        <v>9500000</v>
      </c>
      <c r="J785" s="290"/>
      <c r="K785" s="291"/>
      <c r="L785" s="291"/>
      <c r="M785" s="292">
        <f t="shared" si="45"/>
        <v>9500000</v>
      </c>
      <c r="N785" s="85">
        <v>49746297</v>
      </c>
      <c r="O785" s="85" t="s">
        <v>8763</v>
      </c>
      <c r="P785" s="85" t="s">
        <v>9164</v>
      </c>
      <c r="Q785" s="309">
        <f t="shared" si="48"/>
        <v>45118</v>
      </c>
      <c r="R785" s="309">
        <f t="shared" si="48"/>
        <v>45118</v>
      </c>
      <c r="S785" s="309">
        <f t="shared" si="49"/>
        <v>45260</v>
      </c>
      <c r="T785" s="293"/>
      <c r="U785" s="293"/>
      <c r="V785" s="293"/>
      <c r="W785" s="294"/>
      <c r="X785" s="237">
        <f>VLOOKUP(N785,[9]Pagos!$C$2:$D$353,2,FALSE)</f>
        <v>1900000</v>
      </c>
      <c r="Y785" s="295">
        <f t="shared" si="46"/>
        <v>7600000</v>
      </c>
      <c r="Z785" s="296">
        <f t="shared" si="47"/>
        <v>0.2</v>
      </c>
      <c r="AA785" s="85">
        <v>36564011</v>
      </c>
      <c r="AB785" s="85" t="s">
        <v>6121</v>
      </c>
      <c r="AC785" s="290" t="s">
        <v>196</v>
      </c>
      <c r="AD785" s="290" t="s">
        <v>196</v>
      </c>
      <c r="AE785" s="303"/>
      <c r="AF785" s="310" t="str">
        <f>VLOOKUP(E785,[10]Hoja1!$D$3:$E$327,2,FALSE)</f>
        <v>https://community.secop.gov.co/Public/Tendering/OpportunityDetail/Index?noticeUID=CO1.NTC.4737704&amp;isFromPublicArea=True&amp;isModal=true&amp;asPopupView=true</v>
      </c>
      <c r="AG785" s="290" t="s">
        <v>192</v>
      </c>
      <c r="AH785" s="290" t="s">
        <v>192</v>
      </c>
    </row>
    <row r="786" spans="1:34" s="297" customFormat="1" ht="15" customHeight="1" x14ac:dyDescent="0.2">
      <c r="A786" s="289">
        <v>891780111</v>
      </c>
      <c r="B786" s="289" t="s">
        <v>54</v>
      </c>
      <c r="C786" s="290" t="s">
        <v>56</v>
      </c>
      <c r="D786" s="289" t="s">
        <v>60</v>
      </c>
      <c r="E786" s="290" t="s">
        <v>9165</v>
      </c>
      <c r="F786" s="289" t="s">
        <v>61</v>
      </c>
      <c r="G786" s="85" t="s">
        <v>63</v>
      </c>
      <c r="H786" s="85" t="s">
        <v>73</v>
      </c>
      <c r="I786" s="237">
        <v>19000000</v>
      </c>
      <c r="J786" s="290"/>
      <c r="K786" s="291"/>
      <c r="L786" s="291"/>
      <c r="M786" s="292">
        <f t="shared" si="45"/>
        <v>19000000</v>
      </c>
      <c r="N786" s="85">
        <v>1018414715</v>
      </c>
      <c r="O786" s="85" t="s">
        <v>6836</v>
      </c>
      <c r="P786" s="85" t="s">
        <v>9166</v>
      </c>
      <c r="Q786" s="309">
        <f t="shared" si="48"/>
        <v>45118</v>
      </c>
      <c r="R786" s="309">
        <f t="shared" si="48"/>
        <v>45118</v>
      </c>
      <c r="S786" s="309">
        <f t="shared" si="49"/>
        <v>45260</v>
      </c>
      <c r="T786" s="293"/>
      <c r="U786" s="293"/>
      <c r="V786" s="293"/>
      <c r="W786" s="294"/>
      <c r="X786" s="237">
        <f>VLOOKUP(N786,[9]Pagos!$C$2:$D$353,2,FALSE)</f>
        <v>3800000</v>
      </c>
      <c r="Y786" s="295">
        <f t="shared" si="46"/>
        <v>15200000</v>
      </c>
      <c r="Z786" s="296">
        <f t="shared" si="47"/>
        <v>0.2</v>
      </c>
      <c r="AA786" s="85">
        <v>72175281</v>
      </c>
      <c r="AB786" s="85" t="s">
        <v>6507</v>
      </c>
      <c r="AC786" s="290" t="s">
        <v>196</v>
      </c>
      <c r="AD786" s="290" t="s">
        <v>196</v>
      </c>
      <c r="AE786" s="303"/>
      <c r="AF786" s="310" t="str">
        <f>VLOOKUP(E786,[10]Hoja1!$D$3:$E$327,2,FALSE)</f>
        <v>https://community.secop.gov.co/Public/Tendering/OpportunityDetail/Index?noticeUID=CO1.NTC.4737489&amp;isFromPublicArea=True&amp;isModal=true&amp;asPopupView=true</v>
      </c>
      <c r="AG786" s="290" t="s">
        <v>192</v>
      </c>
      <c r="AH786" s="290" t="s">
        <v>192</v>
      </c>
    </row>
    <row r="787" spans="1:34" s="297" customFormat="1" ht="15" customHeight="1" x14ac:dyDescent="0.2">
      <c r="A787" s="289">
        <v>891780111</v>
      </c>
      <c r="B787" s="289" t="s">
        <v>54</v>
      </c>
      <c r="C787" s="290" t="s">
        <v>56</v>
      </c>
      <c r="D787" s="289" t="s">
        <v>60</v>
      </c>
      <c r="E787" s="290" t="s">
        <v>9167</v>
      </c>
      <c r="F787" s="289" t="s">
        <v>61</v>
      </c>
      <c r="G787" s="85" t="s">
        <v>63</v>
      </c>
      <c r="H787" s="85" t="s">
        <v>73</v>
      </c>
      <c r="I787" s="237">
        <v>33500000</v>
      </c>
      <c r="J787" s="290"/>
      <c r="K787" s="291"/>
      <c r="L787" s="291"/>
      <c r="M787" s="292">
        <f t="shared" si="45"/>
        <v>33500000</v>
      </c>
      <c r="N787" s="85">
        <v>51937854</v>
      </c>
      <c r="O787" s="85" t="s">
        <v>6769</v>
      </c>
      <c r="P787" s="85" t="s">
        <v>9168</v>
      </c>
      <c r="Q787" s="309">
        <f t="shared" si="48"/>
        <v>45118</v>
      </c>
      <c r="R787" s="309">
        <f t="shared" si="48"/>
        <v>45118</v>
      </c>
      <c r="S787" s="309">
        <f t="shared" si="49"/>
        <v>45260</v>
      </c>
      <c r="T787" s="293"/>
      <c r="U787" s="293"/>
      <c r="V787" s="293"/>
      <c r="W787" s="294"/>
      <c r="X787" s="237">
        <f>VLOOKUP(N787,[9]Pagos!$C$2:$D$353,2,FALSE)</f>
        <v>6700000</v>
      </c>
      <c r="Y787" s="295">
        <f t="shared" si="46"/>
        <v>26800000</v>
      </c>
      <c r="Z787" s="296">
        <f t="shared" si="47"/>
        <v>0.2</v>
      </c>
      <c r="AA787" s="85">
        <v>72175281</v>
      </c>
      <c r="AB787" s="85" t="s">
        <v>6507</v>
      </c>
      <c r="AC787" s="290" t="s">
        <v>196</v>
      </c>
      <c r="AD787" s="290" t="s">
        <v>196</v>
      </c>
      <c r="AE787" s="303"/>
      <c r="AF787" s="310" t="str">
        <f>VLOOKUP(E787,[10]Hoja1!$D$3:$E$327,2,FALSE)</f>
        <v>https://community.secop.gov.co/Public/Tendering/OpportunityDetail/Index?noticeUID=CO1.NTC.4737821&amp;isFromPublicArea=True&amp;isModal=true&amp;asPopupView=true</v>
      </c>
      <c r="AG787" s="290" t="s">
        <v>192</v>
      </c>
      <c r="AH787" s="290" t="s">
        <v>192</v>
      </c>
    </row>
    <row r="788" spans="1:34" s="297" customFormat="1" ht="15" customHeight="1" x14ac:dyDescent="0.2">
      <c r="A788" s="289">
        <v>891780111</v>
      </c>
      <c r="B788" s="289" t="s">
        <v>54</v>
      </c>
      <c r="C788" s="290" t="s">
        <v>56</v>
      </c>
      <c r="D788" s="289" t="s">
        <v>60</v>
      </c>
      <c r="E788" s="290" t="s">
        <v>9169</v>
      </c>
      <c r="F788" s="289" t="s">
        <v>61</v>
      </c>
      <c r="G788" s="85" t="s">
        <v>63</v>
      </c>
      <c r="H788" s="85" t="s">
        <v>73</v>
      </c>
      <c r="I788" s="237">
        <v>17000000</v>
      </c>
      <c r="J788" s="290"/>
      <c r="K788" s="291"/>
      <c r="L788" s="291"/>
      <c r="M788" s="292">
        <f t="shared" si="45"/>
        <v>17000000</v>
      </c>
      <c r="N788" s="85">
        <v>1083018313</v>
      </c>
      <c r="O788" s="85" t="s">
        <v>7086</v>
      </c>
      <c r="P788" s="85" t="s">
        <v>9170</v>
      </c>
      <c r="Q788" s="309">
        <f t="shared" si="48"/>
        <v>45118</v>
      </c>
      <c r="R788" s="309">
        <f t="shared" si="48"/>
        <v>45118</v>
      </c>
      <c r="S788" s="309">
        <f t="shared" si="49"/>
        <v>45260</v>
      </c>
      <c r="T788" s="293"/>
      <c r="U788" s="293"/>
      <c r="V788" s="293"/>
      <c r="W788" s="294"/>
      <c r="X788" s="237">
        <f>VLOOKUP(N788,[9]Pagos!$C$2:$D$353,2,FALSE)</f>
        <v>3400000</v>
      </c>
      <c r="Y788" s="295">
        <f t="shared" si="46"/>
        <v>13600000</v>
      </c>
      <c r="Z788" s="296">
        <f t="shared" si="47"/>
        <v>0.2</v>
      </c>
      <c r="AA788" s="85">
        <v>85152695</v>
      </c>
      <c r="AB788" s="85" t="s">
        <v>8965</v>
      </c>
      <c r="AC788" s="290" t="s">
        <v>196</v>
      </c>
      <c r="AD788" s="290" t="s">
        <v>196</v>
      </c>
      <c r="AE788" s="303"/>
      <c r="AF788" s="310" t="str">
        <f>VLOOKUP(E788,[10]Hoja1!$D$3:$E$327,2,FALSE)</f>
        <v>https://community.secop.gov.co/Public/Tendering/OpportunityDetail/Index?noticeUID=CO1.NTC.4737744&amp;isFromPublicArea=True&amp;isModal=true&amp;asPopupView=true</v>
      </c>
      <c r="AG788" s="290" t="s">
        <v>192</v>
      </c>
      <c r="AH788" s="290" t="s">
        <v>192</v>
      </c>
    </row>
    <row r="789" spans="1:34" s="297" customFormat="1" ht="15" customHeight="1" x14ac:dyDescent="0.2">
      <c r="A789" s="289">
        <v>891780111</v>
      </c>
      <c r="B789" s="289" t="s">
        <v>54</v>
      </c>
      <c r="C789" s="290" t="s">
        <v>56</v>
      </c>
      <c r="D789" s="289" t="s">
        <v>60</v>
      </c>
      <c r="E789" s="290" t="s">
        <v>9171</v>
      </c>
      <c r="F789" s="289" t="s">
        <v>61</v>
      </c>
      <c r="G789" s="85" t="s">
        <v>63</v>
      </c>
      <c r="H789" s="85" t="s">
        <v>73</v>
      </c>
      <c r="I789" s="237">
        <v>9500000</v>
      </c>
      <c r="J789" s="290"/>
      <c r="K789" s="291"/>
      <c r="L789" s="291"/>
      <c r="M789" s="292">
        <f t="shared" si="45"/>
        <v>9500000</v>
      </c>
      <c r="N789" s="85">
        <v>1083557779</v>
      </c>
      <c r="O789" s="85" t="s">
        <v>8358</v>
      </c>
      <c r="P789" s="85" t="s">
        <v>9172</v>
      </c>
      <c r="Q789" s="309">
        <f t="shared" si="48"/>
        <v>45118</v>
      </c>
      <c r="R789" s="309">
        <f t="shared" si="48"/>
        <v>45118</v>
      </c>
      <c r="S789" s="309">
        <f t="shared" si="49"/>
        <v>45260</v>
      </c>
      <c r="T789" s="293"/>
      <c r="U789" s="293"/>
      <c r="V789" s="293"/>
      <c r="W789" s="294"/>
      <c r="X789" s="237"/>
      <c r="Y789" s="295">
        <f t="shared" si="46"/>
        <v>9500000</v>
      </c>
      <c r="Z789" s="296">
        <f t="shared" si="47"/>
        <v>0</v>
      </c>
      <c r="AA789" s="85">
        <v>36726018</v>
      </c>
      <c r="AB789" s="85" t="s">
        <v>7466</v>
      </c>
      <c r="AC789" s="290" t="s">
        <v>196</v>
      </c>
      <c r="AD789" s="290" t="s">
        <v>196</v>
      </c>
      <c r="AE789" s="303"/>
      <c r="AF789" s="310" t="str">
        <f>VLOOKUP(E789,[10]Hoja1!$D$3:$E$327,2,FALSE)</f>
        <v>https://community.secop.gov.co/Public/Tendering/OpportunityDetail/Index?noticeUID=CO1.NTC.4737067&amp;isFromPublicArea=True&amp;isModal=true&amp;asPopupView=true</v>
      </c>
      <c r="AG789" s="290" t="s">
        <v>192</v>
      </c>
      <c r="AH789" s="290" t="s">
        <v>192</v>
      </c>
    </row>
    <row r="790" spans="1:34" s="297" customFormat="1" ht="15" customHeight="1" x14ac:dyDescent="0.2">
      <c r="A790" s="289">
        <v>891780111</v>
      </c>
      <c r="B790" s="289" t="s">
        <v>54</v>
      </c>
      <c r="C790" s="290" t="s">
        <v>56</v>
      </c>
      <c r="D790" s="289" t="s">
        <v>60</v>
      </c>
      <c r="E790" s="290" t="s">
        <v>9173</v>
      </c>
      <c r="F790" s="289" t="s">
        <v>61</v>
      </c>
      <c r="G790" s="85" t="s">
        <v>63</v>
      </c>
      <c r="H790" s="85" t="s">
        <v>73</v>
      </c>
      <c r="I790" s="237">
        <v>14000000</v>
      </c>
      <c r="J790" s="290"/>
      <c r="K790" s="291"/>
      <c r="L790" s="291"/>
      <c r="M790" s="292">
        <f t="shared" si="45"/>
        <v>14000000</v>
      </c>
      <c r="N790" s="85">
        <v>1081907898</v>
      </c>
      <c r="O790" s="85" t="s">
        <v>8650</v>
      </c>
      <c r="P790" s="85" t="s">
        <v>9174</v>
      </c>
      <c r="Q790" s="309">
        <f t="shared" si="48"/>
        <v>45118</v>
      </c>
      <c r="R790" s="309">
        <f t="shared" si="48"/>
        <v>45118</v>
      </c>
      <c r="S790" s="309">
        <f t="shared" si="49"/>
        <v>45260</v>
      </c>
      <c r="T790" s="293"/>
      <c r="U790" s="293"/>
      <c r="V790" s="293"/>
      <c r="W790" s="294"/>
      <c r="X790" s="237">
        <f>VLOOKUP(N790,[9]Pagos!$C$2:$D$353,2,FALSE)</f>
        <v>2800000</v>
      </c>
      <c r="Y790" s="295">
        <f t="shared" si="46"/>
        <v>11200000</v>
      </c>
      <c r="Z790" s="296">
        <f t="shared" si="47"/>
        <v>0.2</v>
      </c>
      <c r="AA790" s="85">
        <v>1082943047</v>
      </c>
      <c r="AB790" s="85" t="s">
        <v>169</v>
      </c>
      <c r="AC790" s="290" t="s">
        <v>196</v>
      </c>
      <c r="AD790" s="290" t="s">
        <v>196</v>
      </c>
      <c r="AE790" s="303"/>
      <c r="AF790" s="310" t="str">
        <f>VLOOKUP(E790,[10]Hoja1!$D$3:$E$327,2,FALSE)</f>
        <v>https://community.secop.gov.co/Public/Tendering/OpportunityDetail/Index?noticeUID=CO1.NTC.4737329&amp;isFromPublicArea=True&amp;isModal=true&amp;asPopupView=true</v>
      </c>
      <c r="AG790" s="290" t="s">
        <v>192</v>
      </c>
      <c r="AH790" s="290" t="s">
        <v>192</v>
      </c>
    </row>
    <row r="791" spans="1:34" s="297" customFormat="1" ht="15" customHeight="1" x14ac:dyDescent="0.2">
      <c r="A791" s="289">
        <v>891780111</v>
      </c>
      <c r="B791" s="289" t="s">
        <v>54</v>
      </c>
      <c r="C791" s="290" t="s">
        <v>56</v>
      </c>
      <c r="D791" s="289" t="s">
        <v>60</v>
      </c>
      <c r="E791" s="290" t="s">
        <v>9175</v>
      </c>
      <c r="F791" s="289" t="s">
        <v>61</v>
      </c>
      <c r="G791" s="85" t="s">
        <v>63</v>
      </c>
      <c r="H791" s="85" t="s">
        <v>73</v>
      </c>
      <c r="I791" s="237">
        <v>20000000</v>
      </c>
      <c r="J791" s="290"/>
      <c r="K791" s="291"/>
      <c r="L791" s="291"/>
      <c r="M791" s="292">
        <f t="shared" si="45"/>
        <v>20000000</v>
      </c>
      <c r="N791" s="85">
        <v>1024505118</v>
      </c>
      <c r="O791" s="85" t="s">
        <v>7659</v>
      </c>
      <c r="P791" s="85" t="s">
        <v>9176</v>
      </c>
      <c r="Q791" s="309">
        <f t="shared" si="48"/>
        <v>45118</v>
      </c>
      <c r="R791" s="309">
        <f t="shared" si="48"/>
        <v>45118</v>
      </c>
      <c r="S791" s="309">
        <f t="shared" si="49"/>
        <v>45260</v>
      </c>
      <c r="T791" s="293"/>
      <c r="U791" s="293"/>
      <c r="V791" s="293"/>
      <c r="W791" s="294"/>
      <c r="X791" s="237">
        <f>VLOOKUP(N791,[9]Pagos!$C$2:$D$353,2,FALSE)</f>
        <v>4000000</v>
      </c>
      <c r="Y791" s="295">
        <f t="shared" si="46"/>
        <v>16000000</v>
      </c>
      <c r="Z791" s="296">
        <f t="shared" si="47"/>
        <v>0.2</v>
      </c>
      <c r="AA791" s="85">
        <v>7633817</v>
      </c>
      <c r="AB791" s="85" t="s">
        <v>5425</v>
      </c>
      <c r="AC791" s="290" t="s">
        <v>196</v>
      </c>
      <c r="AD791" s="290" t="s">
        <v>196</v>
      </c>
      <c r="AE791" s="303"/>
      <c r="AF791" s="310" t="str">
        <f>VLOOKUP(E791,[10]Hoja1!$D$3:$E$327,2,FALSE)</f>
        <v>https://community.secop.gov.co/Public/Tendering/OpportunityDetail/Index?noticeUID=CO1.NTC.4737519&amp;isFromPublicArea=True&amp;isModal=true&amp;asPopupView=true</v>
      </c>
      <c r="AG791" s="290" t="s">
        <v>192</v>
      </c>
      <c r="AH791" s="290" t="s">
        <v>192</v>
      </c>
    </row>
    <row r="792" spans="1:34" s="297" customFormat="1" ht="15" customHeight="1" x14ac:dyDescent="0.2">
      <c r="A792" s="289">
        <v>891780111</v>
      </c>
      <c r="B792" s="289" t="s">
        <v>54</v>
      </c>
      <c r="C792" s="290" t="s">
        <v>56</v>
      </c>
      <c r="D792" s="289" t="s">
        <v>60</v>
      </c>
      <c r="E792" s="290" t="s">
        <v>9177</v>
      </c>
      <c r="F792" s="289" t="s">
        <v>61</v>
      </c>
      <c r="G792" s="85" t="s">
        <v>63</v>
      </c>
      <c r="H792" s="85" t="s">
        <v>73</v>
      </c>
      <c r="I792" s="237">
        <v>14000000</v>
      </c>
      <c r="J792" s="290"/>
      <c r="K792" s="291"/>
      <c r="L792" s="291"/>
      <c r="M792" s="292">
        <f t="shared" si="45"/>
        <v>14000000</v>
      </c>
      <c r="N792" s="85">
        <v>57444678</v>
      </c>
      <c r="O792" s="85" t="s">
        <v>8643</v>
      </c>
      <c r="P792" s="85" t="s">
        <v>9178</v>
      </c>
      <c r="Q792" s="309">
        <f t="shared" si="48"/>
        <v>45118</v>
      </c>
      <c r="R792" s="309">
        <f t="shared" si="48"/>
        <v>45118</v>
      </c>
      <c r="S792" s="309">
        <f t="shared" si="49"/>
        <v>45260</v>
      </c>
      <c r="T792" s="293"/>
      <c r="U792" s="293"/>
      <c r="V792" s="293"/>
      <c r="W792" s="294"/>
      <c r="X792" s="237">
        <f>VLOOKUP(N792,[9]Pagos!$C$2:$D$353,2,FALSE)</f>
        <v>2800000</v>
      </c>
      <c r="Y792" s="295">
        <f t="shared" si="46"/>
        <v>11200000</v>
      </c>
      <c r="Z792" s="296">
        <f t="shared" si="47"/>
        <v>0.2</v>
      </c>
      <c r="AA792" s="85">
        <v>32770239</v>
      </c>
      <c r="AB792" s="85" t="s">
        <v>2135</v>
      </c>
      <c r="AC792" s="290" t="s">
        <v>196</v>
      </c>
      <c r="AD792" s="290" t="s">
        <v>196</v>
      </c>
      <c r="AE792" s="303"/>
      <c r="AF792" s="310" t="str">
        <f>VLOOKUP(E792,[10]Hoja1!$D$3:$E$327,2,FALSE)</f>
        <v>https://community.secop.gov.co/Public/Tendering/OpportunityDetail/Index?noticeUID=CO1.NTC.4737708&amp;isFromPublicArea=True&amp;isModal=true&amp;asPopupView=true</v>
      </c>
      <c r="AG792" s="290" t="s">
        <v>192</v>
      </c>
      <c r="AH792" s="290" t="s">
        <v>192</v>
      </c>
    </row>
    <row r="793" spans="1:34" s="297" customFormat="1" ht="15" customHeight="1" x14ac:dyDescent="0.2">
      <c r="A793" s="289">
        <v>891780111</v>
      </c>
      <c r="B793" s="289" t="s">
        <v>54</v>
      </c>
      <c r="C793" s="290" t="s">
        <v>56</v>
      </c>
      <c r="D793" s="289" t="s">
        <v>60</v>
      </c>
      <c r="E793" s="290" t="s">
        <v>9179</v>
      </c>
      <c r="F793" s="289" t="s">
        <v>61</v>
      </c>
      <c r="G793" s="85" t="s">
        <v>63</v>
      </c>
      <c r="H793" s="85" t="s">
        <v>73</v>
      </c>
      <c r="I793" s="237">
        <v>9500000</v>
      </c>
      <c r="J793" s="290"/>
      <c r="K793" s="291"/>
      <c r="L793" s="291"/>
      <c r="M793" s="292">
        <f t="shared" si="45"/>
        <v>9500000</v>
      </c>
      <c r="N793" s="85">
        <v>1082915041</v>
      </c>
      <c r="O793" s="85" t="s">
        <v>6673</v>
      </c>
      <c r="P793" s="85" t="s">
        <v>9180</v>
      </c>
      <c r="Q793" s="309">
        <f t="shared" si="48"/>
        <v>45118</v>
      </c>
      <c r="R793" s="309">
        <f t="shared" si="48"/>
        <v>45118</v>
      </c>
      <c r="S793" s="309">
        <f t="shared" si="49"/>
        <v>45260</v>
      </c>
      <c r="T793" s="293"/>
      <c r="U793" s="293"/>
      <c r="V793" s="293"/>
      <c r="W793" s="294"/>
      <c r="X793" s="237">
        <f>VLOOKUP(N793,[9]Pagos!$C$2:$D$353,2,FALSE)</f>
        <v>1900000</v>
      </c>
      <c r="Y793" s="295">
        <f t="shared" si="46"/>
        <v>7600000</v>
      </c>
      <c r="Z793" s="296">
        <f t="shared" si="47"/>
        <v>0.2</v>
      </c>
      <c r="AA793" s="85">
        <v>57444673</v>
      </c>
      <c r="AB793" s="85" t="s">
        <v>5370</v>
      </c>
      <c r="AC793" s="290" t="s">
        <v>196</v>
      </c>
      <c r="AD793" s="290" t="s">
        <v>196</v>
      </c>
      <c r="AE793" s="303"/>
      <c r="AF793" s="310" t="str">
        <f>VLOOKUP(E793,[10]Hoja1!$D$3:$E$327,2,FALSE)</f>
        <v>https://community.secop.gov.co/Public/Tendering/OpportunityDetail/Index?noticeUID=CO1.NTC.4738410&amp;isFromPublicArea=True&amp;isModal=true&amp;asPopupView=true</v>
      </c>
      <c r="AG793" s="290" t="s">
        <v>192</v>
      </c>
      <c r="AH793" s="290" t="s">
        <v>192</v>
      </c>
    </row>
    <row r="794" spans="1:34" s="297" customFormat="1" ht="15" customHeight="1" x14ac:dyDescent="0.2">
      <c r="A794" s="289">
        <v>891780111</v>
      </c>
      <c r="B794" s="289" t="s">
        <v>54</v>
      </c>
      <c r="C794" s="290" t="s">
        <v>56</v>
      </c>
      <c r="D794" s="289" t="s">
        <v>60</v>
      </c>
      <c r="E794" s="290" t="s">
        <v>9181</v>
      </c>
      <c r="F794" s="289" t="s">
        <v>61</v>
      </c>
      <c r="G794" s="85" t="s">
        <v>63</v>
      </c>
      <c r="H794" s="85" t="s">
        <v>73</v>
      </c>
      <c r="I794" s="237">
        <v>12500000</v>
      </c>
      <c r="J794" s="290"/>
      <c r="K794" s="291"/>
      <c r="L794" s="291"/>
      <c r="M794" s="292">
        <f t="shared" si="45"/>
        <v>12500000</v>
      </c>
      <c r="N794" s="85">
        <v>1082941397</v>
      </c>
      <c r="O794" s="85" t="s">
        <v>6430</v>
      </c>
      <c r="P794" s="85" t="s">
        <v>9182</v>
      </c>
      <c r="Q794" s="309">
        <f t="shared" si="48"/>
        <v>45118</v>
      </c>
      <c r="R794" s="309">
        <f t="shared" si="48"/>
        <v>45118</v>
      </c>
      <c r="S794" s="309">
        <f t="shared" si="49"/>
        <v>45260</v>
      </c>
      <c r="T794" s="293"/>
      <c r="U794" s="293"/>
      <c r="V794" s="293"/>
      <c r="W794" s="294"/>
      <c r="X794" s="237">
        <f>VLOOKUP(N794,[9]Pagos!$C$2:$D$353,2,FALSE)</f>
        <v>2500000</v>
      </c>
      <c r="Y794" s="295">
        <f t="shared" si="46"/>
        <v>10000000</v>
      </c>
      <c r="Z794" s="296">
        <f t="shared" si="47"/>
        <v>0.2</v>
      </c>
      <c r="AA794" s="85">
        <v>57435262</v>
      </c>
      <c r="AB794" s="85" t="s">
        <v>9183</v>
      </c>
      <c r="AC794" s="290" t="s">
        <v>196</v>
      </c>
      <c r="AD794" s="290" t="s">
        <v>196</v>
      </c>
      <c r="AE794" s="303"/>
      <c r="AF794" s="310" t="str">
        <f>VLOOKUP(E794,[10]Hoja1!$D$3:$E$327,2,FALSE)</f>
        <v>https://community.secop.gov.co/Public/Tendering/OpportunityDetail/Index?noticeUID=CO1.NTC.4738565&amp;isFromPublicArea=True&amp;isModal=true&amp;asPopupView=true</v>
      </c>
      <c r="AG794" s="290" t="s">
        <v>192</v>
      </c>
      <c r="AH794" s="290" t="s">
        <v>192</v>
      </c>
    </row>
    <row r="795" spans="1:34" s="297" customFormat="1" ht="15" customHeight="1" x14ac:dyDescent="0.2">
      <c r="A795" s="289">
        <v>891780111</v>
      </c>
      <c r="B795" s="289" t="s">
        <v>54</v>
      </c>
      <c r="C795" s="290" t="s">
        <v>56</v>
      </c>
      <c r="D795" s="289" t="s">
        <v>60</v>
      </c>
      <c r="E795" s="290" t="s">
        <v>9184</v>
      </c>
      <c r="F795" s="289" t="s">
        <v>61</v>
      </c>
      <c r="G795" s="85" t="s">
        <v>63</v>
      </c>
      <c r="H795" s="85" t="s">
        <v>73</v>
      </c>
      <c r="I795" s="237">
        <v>14000000</v>
      </c>
      <c r="J795" s="290"/>
      <c r="K795" s="291"/>
      <c r="L795" s="291"/>
      <c r="M795" s="292">
        <f t="shared" si="45"/>
        <v>14000000</v>
      </c>
      <c r="N795" s="85">
        <v>7631214</v>
      </c>
      <c r="O795" s="85" t="s">
        <v>8524</v>
      </c>
      <c r="P795" s="85" t="s">
        <v>9185</v>
      </c>
      <c r="Q795" s="309">
        <f t="shared" si="48"/>
        <v>45118</v>
      </c>
      <c r="R795" s="309">
        <f t="shared" si="48"/>
        <v>45118</v>
      </c>
      <c r="S795" s="309">
        <f t="shared" si="49"/>
        <v>45260</v>
      </c>
      <c r="T795" s="293"/>
      <c r="U795" s="293"/>
      <c r="V795" s="293"/>
      <c r="W795" s="294"/>
      <c r="X795" s="237">
        <f>VLOOKUP(N795,[9]Pagos!$C$2:$D$353,2,FALSE)</f>
        <v>2800000</v>
      </c>
      <c r="Y795" s="295">
        <f t="shared" si="46"/>
        <v>11200000</v>
      </c>
      <c r="Z795" s="296">
        <f t="shared" si="47"/>
        <v>0.2</v>
      </c>
      <c r="AA795" s="85">
        <v>85154788</v>
      </c>
      <c r="AB795" s="85" t="s">
        <v>8505</v>
      </c>
      <c r="AC795" s="290" t="s">
        <v>196</v>
      </c>
      <c r="AD795" s="290" t="s">
        <v>196</v>
      </c>
      <c r="AE795" s="303"/>
      <c r="AF795" s="310" t="str">
        <f>VLOOKUP(E795,[10]Hoja1!$D$3:$E$327,2,FALSE)</f>
        <v>https://community.secop.gov.co/Public/Tendering/OpportunityDetail/Index?noticeUID=CO1.NTC.4737497&amp;isFromPublicArea=True&amp;isModal=true&amp;asPopupView=true</v>
      </c>
      <c r="AG795" s="290" t="s">
        <v>192</v>
      </c>
      <c r="AH795" s="290" t="s">
        <v>192</v>
      </c>
    </row>
    <row r="796" spans="1:34" s="297" customFormat="1" ht="15" customHeight="1" x14ac:dyDescent="0.2">
      <c r="A796" s="289">
        <v>891780111</v>
      </c>
      <c r="B796" s="289" t="s">
        <v>54</v>
      </c>
      <c r="C796" s="290" t="s">
        <v>56</v>
      </c>
      <c r="D796" s="289" t="s">
        <v>60</v>
      </c>
      <c r="E796" s="290" t="s">
        <v>9186</v>
      </c>
      <c r="F796" s="289" t="s">
        <v>61</v>
      </c>
      <c r="G796" s="85" t="s">
        <v>63</v>
      </c>
      <c r="H796" s="85" t="s">
        <v>73</v>
      </c>
      <c r="I796" s="237">
        <v>14000000</v>
      </c>
      <c r="J796" s="290"/>
      <c r="K796" s="291"/>
      <c r="L796" s="291"/>
      <c r="M796" s="292">
        <f t="shared" si="45"/>
        <v>14000000</v>
      </c>
      <c r="N796" s="85">
        <v>36668619</v>
      </c>
      <c r="O796" s="85" t="s">
        <v>8706</v>
      </c>
      <c r="P796" s="85" t="s">
        <v>9187</v>
      </c>
      <c r="Q796" s="309">
        <f t="shared" si="48"/>
        <v>45118</v>
      </c>
      <c r="R796" s="309">
        <f t="shared" si="48"/>
        <v>45118</v>
      </c>
      <c r="S796" s="309">
        <f t="shared" si="49"/>
        <v>45260</v>
      </c>
      <c r="T796" s="293"/>
      <c r="U796" s="293"/>
      <c r="V796" s="293"/>
      <c r="W796" s="294"/>
      <c r="X796" s="237">
        <f>VLOOKUP(N796,[9]Pagos!$C$2:$D$353,2,FALSE)</f>
        <v>2800000</v>
      </c>
      <c r="Y796" s="295">
        <f t="shared" si="46"/>
        <v>11200000</v>
      </c>
      <c r="Z796" s="296">
        <f t="shared" si="47"/>
        <v>0.2</v>
      </c>
      <c r="AA796" s="85">
        <v>85154788</v>
      </c>
      <c r="AB796" s="85" t="s">
        <v>8505</v>
      </c>
      <c r="AC796" s="290" t="s">
        <v>196</v>
      </c>
      <c r="AD796" s="290" t="s">
        <v>196</v>
      </c>
      <c r="AE796" s="303"/>
      <c r="AF796" s="310" t="str">
        <f>VLOOKUP(E796,[10]Hoja1!$D$3:$E$327,2,FALSE)</f>
        <v>https://community.secop.gov.co/Public/Tendering/OpportunityDetail/Index?noticeUID=CO1.NTC.4737907&amp;isFromPublicArea=True&amp;isModal=true&amp;asPopupView=true</v>
      </c>
      <c r="AG796" s="290" t="s">
        <v>192</v>
      </c>
      <c r="AH796" s="290" t="s">
        <v>192</v>
      </c>
    </row>
    <row r="797" spans="1:34" s="297" customFormat="1" ht="15" customHeight="1" x14ac:dyDescent="0.2">
      <c r="A797" s="289">
        <v>891780111</v>
      </c>
      <c r="B797" s="289" t="s">
        <v>54</v>
      </c>
      <c r="C797" s="290" t="s">
        <v>56</v>
      </c>
      <c r="D797" s="289" t="s">
        <v>60</v>
      </c>
      <c r="E797" s="290" t="s">
        <v>9188</v>
      </c>
      <c r="F797" s="289" t="s">
        <v>61</v>
      </c>
      <c r="G797" s="85" t="s">
        <v>63</v>
      </c>
      <c r="H797" s="85" t="s">
        <v>73</v>
      </c>
      <c r="I797" s="237">
        <v>18500000</v>
      </c>
      <c r="J797" s="290"/>
      <c r="K797" s="291"/>
      <c r="L797" s="291"/>
      <c r="M797" s="292">
        <f t="shared" si="45"/>
        <v>18500000</v>
      </c>
      <c r="N797" s="85">
        <v>1083553861</v>
      </c>
      <c r="O797" s="85" t="s">
        <v>6573</v>
      </c>
      <c r="P797" s="85" t="s">
        <v>9189</v>
      </c>
      <c r="Q797" s="309">
        <f t="shared" si="48"/>
        <v>45118</v>
      </c>
      <c r="R797" s="309">
        <f t="shared" si="48"/>
        <v>45118</v>
      </c>
      <c r="S797" s="309">
        <f t="shared" si="49"/>
        <v>45260</v>
      </c>
      <c r="T797" s="293"/>
      <c r="U797" s="293"/>
      <c r="V797" s="293"/>
      <c r="W797" s="294"/>
      <c r="X797" s="237">
        <f>VLOOKUP(N797,[9]Pagos!$C$2:$D$353,2,FALSE)</f>
        <v>3700000</v>
      </c>
      <c r="Y797" s="295">
        <f t="shared" si="46"/>
        <v>14800000</v>
      </c>
      <c r="Z797" s="296">
        <f t="shared" si="47"/>
        <v>0.2</v>
      </c>
      <c r="AA797" s="85"/>
      <c r="AB797" s="85" t="s">
        <v>9081</v>
      </c>
      <c r="AC797" s="290" t="s">
        <v>196</v>
      </c>
      <c r="AD797" s="290" t="s">
        <v>196</v>
      </c>
      <c r="AE797" s="303"/>
      <c r="AF797" s="310" t="str">
        <f>VLOOKUP(E797,[10]Hoja1!$D$3:$E$327,2,FALSE)</f>
        <v>https://community.secop.gov.co/Public/Tendering/OpportunityDetail/Index?noticeUID=CO1.NTC.4737594&amp;isFromPublicArea=True&amp;isModal=true&amp;asPopupView=true</v>
      </c>
      <c r="AG797" s="290" t="s">
        <v>192</v>
      </c>
      <c r="AH797" s="290" t="s">
        <v>192</v>
      </c>
    </row>
    <row r="798" spans="1:34" s="297" customFormat="1" ht="15" customHeight="1" x14ac:dyDescent="0.2">
      <c r="A798" s="289">
        <v>891780111</v>
      </c>
      <c r="B798" s="289" t="s">
        <v>54</v>
      </c>
      <c r="C798" s="290" t="s">
        <v>56</v>
      </c>
      <c r="D798" s="289" t="s">
        <v>60</v>
      </c>
      <c r="E798" s="290" t="s">
        <v>9190</v>
      </c>
      <c r="F798" s="289" t="s">
        <v>61</v>
      </c>
      <c r="G798" s="85" t="s">
        <v>63</v>
      </c>
      <c r="H798" s="85" t="s">
        <v>73</v>
      </c>
      <c r="I798" s="237">
        <v>12500000</v>
      </c>
      <c r="J798" s="290"/>
      <c r="K798" s="291"/>
      <c r="L798" s="291"/>
      <c r="M798" s="292">
        <f t="shared" si="45"/>
        <v>12500000</v>
      </c>
      <c r="N798" s="85">
        <v>1083006157</v>
      </c>
      <c r="O798" s="85" t="s">
        <v>6892</v>
      </c>
      <c r="P798" s="85" t="s">
        <v>9191</v>
      </c>
      <c r="Q798" s="309">
        <f t="shared" si="48"/>
        <v>45118</v>
      </c>
      <c r="R798" s="309">
        <f t="shared" si="48"/>
        <v>45118</v>
      </c>
      <c r="S798" s="309">
        <f t="shared" si="49"/>
        <v>45260</v>
      </c>
      <c r="T798" s="293"/>
      <c r="U798" s="293"/>
      <c r="V798" s="293"/>
      <c r="W798" s="294"/>
      <c r="X798" s="237">
        <f>VLOOKUP(N798,[9]Pagos!$C$2:$D$353,2,FALSE)</f>
        <v>2500000</v>
      </c>
      <c r="Y798" s="295">
        <f t="shared" si="46"/>
        <v>10000000</v>
      </c>
      <c r="Z798" s="296">
        <f t="shared" si="47"/>
        <v>0.2</v>
      </c>
      <c r="AA798" s="85"/>
      <c r="AB798" s="85" t="s">
        <v>175</v>
      </c>
      <c r="AC798" s="290" t="s">
        <v>196</v>
      </c>
      <c r="AD798" s="290" t="s">
        <v>196</v>
      </c>
      <c r="AE798" s="303"/>
      <c r="AF798" s="310" t="str">
        <f>VLOOKUP(E798,[10]Hoja1!$D$3:$E$327,2,FALSE)</f>
        <v>https://community.secop.gov.co/Public/Tendering/OpportunityDetail/Index?noticeUID=CO1.NTC.4737921&amp;isFromPublicArea=True&amp;isModal=true&amp;asPopupView=true</v>
      </c>
      <c r="AG798" s="290" t="s">
        <v>192</v>
      </c>
      <c r="AH798" s="290" t="s">
        <v>192</v>
      </c>
    </row>
    <row r="799" spans="1:34" s="297" customFormat="1" ht="15" customHeight="1" x14ac:dyDescent="0.2">
      <c r="A799" s="289">
        <v>891780111</v>
      </c>
      <c r="B799" s="289" t="s">
        <v>54</v>
      </c>
      <c r="C799" s="290" t="s">
        <v>56</v>
      </c>
      <c r="D799" s="289" t="s">
        <v>60</v>
      </c>
      <c r="E799" s="290" t="s">
        <v>9192</v>
      </c>
      <c r="F799" s="289" t="s">
        <v>61</v>
      </c>
      <c r="G799" s="85" t="s">
        <v>63</v>
      </c>
      <c r="H799" s="85" t="s">
        <v>73</v>
      </c>
      <c r="I799" s="237">
        <v>17500000</v>
      </c>
      <c r="J799" s="290"/>
      <c r="K799" s="291"/>
      <c r="L799" s="291"/>
      <c r="M799" s="292">
        <f t="shared" si="45"/>
        <v>17500000</v>
      </c>
      <c r="N799" s="85">
        <v>1082909660</v>
      </c>
      <c r="O799" s="85" t="s">
        <v>8197</v>
      </c>
      <c r="P799" s="85" t="s">
        <v>9193</v>
      </c>
      <c r="Q799" s="309">
        <f t="shared" si="48"/>
        <v>45118</v>
      </c>
      <c r="R799" s="309">
        <f t="shared" si="48"/>
        <v>45118</v>
      </c>
      <c r="S799" s="309">
        <f t="shared" si="49"/>
        <v>45260</v>
      </c>
      <c r="T799" s="293"/>
      <c r="U799" s="293"/>
      <c r="V799" s="293"/>
      <c r="W799" s="294"/>
      <c r="X799" s="237">
        <f>VLOOKUP(N799,[9]Pagos!$C$2:$D$353,2,FALSE)</f>
        <v>3500000</v>
      </c>
      <c r="Y799" s="295">
        <f t="shared" si="46"/>
        <v>14000000</v>
      </c>
      <c r="Z799" s="296">
        <f t="shared" si="47"/>
        <v>0.2</v>
      </c>
      <c r="AA799" s="85"/>
      <c r="AB799" s="85" t="s">
        <v>176</v>
      </c>
      <c r="AC799" s="290" t="s">
        <v>196</v>
      </c>
      <c r="AD799" s="290" t="s">
        <v>196</v>
      </c>
      <c r="AE799" s="303"/>
      <c r="AF799" s="310" t="str">
        <f>VLOOKUP(E799,[10]Hoja1!$D$3:$E$327,2,FALSE)</f>
        <v>https://community.secop.gov.co/Public/Tendering/OpportunityDetail/Index?noticeUID=CO1.NTC.4737841&amp;isFromPublicArea=True&amp;isModal=true&amp;asPopupView=true</v>
      </c>
      <c r="AG799" s="290" t="s">
        <v>192</v>
      </c>
      <c r="AH799" s="290" t="s">
        <v>192</v>
      </c>
    </row>
    <row r="800" spans="1:34" s="297" customFormat="1" ht="15" customHeight="1" x14ac:dyDescent="0.2">
      <c r="A800" s="289">
        <v>891780111</v>
      </c>
      <c r="B800" s="289" t="s">
        <v>54</v>
      </c>
      <c r="C800" s="290" t="s">
        <v>56</v>
      </c>
      <c r="D800" s="289" t="s">
        <v>60</v>
      </c>
      <c r="E800" s="290" t="s">
        <v>9194</v>
      </c>
      <c r="F800" s="289" t="s">
        <v>61</v>
      </c>
      <c r="G800" s="85" t="s">
        <v>63</v>
      </c>
      <c r="H800" s="85" t="s">
        <v>73</v>
      </c>
      <c r="I800" s="237">
        <v>3600000</v>
      </c>
      <c r="J800" s="290">
        <v>1</v>
      </c>
      <c r="K800" s="291"/>
      <c r="L800" s="291"/>
      <c r="M800" s="292">
        <f t="shared" si="45"/>
        <v>3600000</v>
      </c>
      <c r="N800" s="85">
        <v>1128127123</v>
      </c>
      <c r="O800" s="85" t="s">
        <v>9195</v>
      </c>
      <c r="P800" s="85" t="s">
        <v>9033</v>
      </c>
      <c r="Q800" s="309">
        <f t="shared" si="48"/>
        <v>45118</v>
      </c>
      <c r="R800" s="309">
        <f t="shared" si="48"/>
        <v>45118</v>
      </c>
      <c r="S800" s="309">
        <f>DATE(2023,7,24)</f>
        <v>45131</v>
      </c>
      <c r="T800" s="293"/>
      <c r="U800" s="293"/>
      <c r="V800" s="293"/>
      <c r="W800" s="304">
        <f>DATE(2023,7,31)</f>
        <v>45138</v>
      </c>
      <c r="X800" s="237">
        <f>VLOOKUP(N800,[9]Pagos!$C$2:$D$353,2,FALSE)</f>
        <v>3600000</v>
      </c>
      <c r="Y800" s="295">
        <f t="shared" si="46"/>
        <v>0</v>
      </c>
      <c r="Z800" s="296">
        <f t="shared" si="47"/>
        <v>1</v>
      </c>
      <c r="AA800" s="85">
        <v>41947381</v>
      </c>
      <c r="AB800" s="85" t="s">
        <v>6440</v>
      </c>
      <c r="AC800" s="290" t="s">
        <v>196</v>
      </c>
      <c r="AD800" s="290" t="s">
        <v>196</v>
      </c>
      <c r="AE800" s="303"/>
      <c r="AF800" s="310" t="str">
        <f>VLOOKUP(E800,[10]Hoja1!$D$3:$E$327,2,FALSE)</f>
        <v>https://community.secop.gov.co/Public/Tendering/OpportunityDetail/Index?noticeUID=CO1.NTC.4737929&amp;isFromPublicArea=True&amp;isModal=true&amp;asPopupView=true</v>
      </c>
      <c r="AG800" s="290" t="s">
        <v>192</v>
      </c>
      <c r="AH800" s="290" t="s">
        <v>192</v>
      </c>
    </row>
    <row r="801" spans="1:34" s="297" customFormat="1" ht="15" customHeight="1" x14ac:dyDescent="0.2">
      <c r="A801" s="289">
        <v>891780111</v>
      </c>
      <c r="B801" s="289" t="s">
        <v>54</v>
      </c>
      <c r="C801" s="290" t="s">
        <v>56</v>
      </c>
      <c r="D801" s="289" t="s">
        <v>60</v>
      </c>
      <c r="E801" s="290" t="s">
        <v>9196</v>
      </c>
      <c r="F801" s="289" t="s">
        <v>61</v>
      </c>
      <c r="G801" s="85" t="s">
        <v>63</v>
      </c>
      <c r="H801" s="85" t="s">
        <v>73</v>
      </c>
      <c r="I801" s="237">
        <v>14000000</v>
      </c>
      <c r="J801" s="290"/>
      <c r="K801" s="291"/>
      <c r="L801" s="291"/>
      <c r="M801" s="292">
        <f t="shared" si="45"/>
        <v>14000000</v>
      </c>
      <c r="N801" s="85">
        <v>1082908421</v>
      </c>
      <c r="O801" s="85" t="s">
        <v>6871</v>
      </c>
      <c r="P801" s="85" t="s">
        <v>9197</v>
      </c>
      <c r="Q801" s="309">
        <f t="shared" si="48"/>
        <v>45118</v>
      </c>
      <c r="R801" s="309">
        <f t="shared" si="48"/>
        <v>45118</v>
      </c>
      <c r="S801" s="309">
        <f t="shared" si="49"/>
        <v>45260</v>
      </c>
      <c r="T801" s="293"/>
      <c r="U801" s="293"/>
      <c r="V801" s="293"/>
      <c r="W801" s="294"/>
      <c r="X801" s="237">
        <f>VLOOKUP(N801,[9]Pagos!$C$2:$D$353,2,FALSE)</f>
        <v>2800000</v>
      </c>
      <c r="Y801" s="295">
        <f t="shared" si="46"/>
        <v>11200000</v>
      </c>
      <c r="Z801" s="296">
        <f t="shared" si="47"/>
        <v>0.2</v>
      </c>
      <c r="AA801" s="85">
        <v>85449357</v>
      </c>
      <c r="AB801" s="85" t="s">
        <v>2417</v>
      </c>
      <c r="AC801" s="290" t="s">
        <v>196</v>
      </c>
      <c r="AD801" s="290" t="s">
        <v>196</v>
      </c>
      <c r="AE801" s="303"/>
      <c r="AF801" s="310" t="str">
        <f>VLOOKUP(E801,[10]Hoja1!$D$3:$E$327,2,FALSE)</f>
        <v>https://community.secop.gov.co/Public/Tendering/OpportunityDetail/Index?noticeUID=CO1.NTC.4737934&amp;isFromPublicArea=True&amp;isModal=true&amp;asPopupView=true</v>
      </c>
      <c r="AG801" s="290" t="s">
        <v>192</v>
      </c>
      <c r="AH801" s="290" t="s">
        <v>192</v>
      </c>
    </row>
    <row r="802" spans="1:34" s="297" customFormat="1" ht="15" customHeight="1" x14ac:dyDescent="0.2">
      <c r="A802" s="289">
        <v>891780111</v>
      </c>
      <c r="B802" s="289" t="s">
        <v>54</v>
      </c>
      <c r="C802" s="290" t="s">
        <v>56</v>
      </c>
      <c r="D802" s="289" t="s">
        <v>60</v>
      </c>
      <c r="E802" s="290" t="s">
        <v>9198</v>
      </c>
      <c r="F802" s="289" t="s">
        <v>61</v>
      </c>
      <c r="G802" s="85" t="s">
        <v>63</v>
      </c>
      <c r="H802" s="85" t="s">
        <v>73</v>
      </c>
      <c r="I802" s="237">
        <v>12500000</v>
      </c>
      <c r="J802" s="290"/>
      <c r="K802" s="291"/>
      <c r="L802" s="291"/>
      <c r="M802" s="292">
        <f t="shared" si="45"/>
        <v>12500000</v>
      </c>
      <c r="N802" s="85">
        <v>57428933</v>
      </c>
      <c r="O802" s="85" t="s">
        <v>6425</v>
      </c>
      <c r="P802" s="85" t="s">
        <v>9199</v>
      </c>
      <c r="Q802" s="309">
        <f t="shared" si="48"/>
        <v>45118</v>
      </c>
      <c r="R802" s="309">
        <f t="shared" si="48"/>
        <v>45118</v>
      </c>
      <c r="S802" s="309">
        <f t="shared" si="49"/>
        <v>45260</v>
      </c>
      <c r="T802" s="293"/>
      <c r="U802" s="293"/>
      <c r="V802" s="293"/>
      <c r="W802" s="294"/>
      <c r="X802" s="237">
        <f>VLOOKUP(N802,[9]Pagos!$C$2:$D$353,2,FALSE)</f>
        <v>2500000</v>
      </c>
      <c r="Y802" s="295">
        <f t="shared" si="46"/>
        <v>10000000</v>
      </c>
      <c r="Z802" s="296">
        <f t="shared" si="47"/>
        <v>0.2</v>
      </c>
      <c r="AA802" s="85">
        <v>57435262</v>
      </c>
      <c r="AB802" s="85" t="s">
        <v>9183</v>
      </c>
      <c r="AC802" s="290" t="s">
        <v>196</v>
      </c>
      <c r="AD802" s="290" t="s">
        <v>196</v>
      </c>
      <c r="AE802" s="303"/>
      <c r="AF802" s="310" t="str">
        <f>VLOOKUP(E802,[10]Hoja1!$D$3:$E$327,2,FALSE)</f>
        <v>https://community.secop.gov.co/Public/Tendering/OpportunityDetail/Index?noticeUID=CO1.NTC.4737861&amp;isFromPublicArea=True&amp;isModal=true&amp;asPopupView=true</v>
      </c>
      <c r="AG802" s="290" t="s">
        <v>192</v>
      </c>
      <c r="AH802" s="290" t="s">
        <v>192</v>
      </c>
    </row>
    <row r="803" spans="1:34" s="297" customFormat="1" ht="15" customHeight="1" x14ac:dyDescent="0.2">
      <c r="A803" s="289">
        <v>891780111</v>
      </c>
      <c r="B803" s="289" t="s">
        <v>54</v>
      </c>
      <c r="C803" s="290" t="s">
        <v>56</v>
      </c>
      <c r="D803" s="289" t="s">
        <v>60</v>
      </c>
      <c r="E803" s="290" t="s">
        <v>9200</v>
      </c>
      <c r="F803" s="289" t="s">
        <v>61</v>
      </c>
      <c r="G803" s="85" t="s">
        <v>63</v>
      </c>
      <c r="H803" s="85" t="s">
        <v>73</v>
      </c>
      <c r="I803" s="237">
        <v>15500000</v>
      </c>
      <c r="J803" s="290"/>
      <c r="K803" s="291"/>
      <c r="L803" s="291"/>
      <c r="M803" s="292">
        <f t="shared" si="45"/>
        <v>15500000</v>
      </c>
      <c r="N803" s="85">
        <v>26671795</v>
      </c>
      <c r="O803" s="85" t="s">
        <v>6923</v>
      </c>
      <c r="P803" s="85" t="s">
        <v>9201</v>
      </c>
      <c r="Q803" s="309">
        <f t="shared" si="48"/>
        <v>45118</v>
      </c>
      <c r="R803" s="309">
        <f t="shared" si="48"/>
        <v>45118</v>
      </c>
      <c r="S803" s="309">
        <f t="shared" si="49"/>
        <v>45260</v>
      </c>
      <c r="T803" s="293"/>
      <c r="U803" s="293"/>
      <c r="V803" s="293"/>
      <c r="W803" s="294"/>
      <c r="X803" s="237">
        <f>VLOOKUP(N803,[9]Pagos!$C$2:$D$353,2,FALSE)</f>
        <v>3100000</v>
      </c>
      <c r="Y803" s="295">
        <f t="shared" si="46"/>
        <v>12400000</v>
      </c>
      <c r="Z803" s="296">
        <f t="shared" si="47"/>
        <v>0.2</v>
      </c>
      <c r="AA803" s="85">
        <v>12548945</v>
      </c>
      <c r="AB803" s="85" t="s">
        <v>6925</v>
      </c>
      <c r="AC803" s="290" t="s">
        <v>196</v>
      </c>
      <c r="AD803" s="290" t="s">
        <v>196</v>
      </c>
      <c r="AE803" s="303"/>
      <c r="AF803" s="310" t="str">
        <f>VLOOKUP(E803,[10]Hoja1!$D$3:$E$327,2,FALSE)</f>
        <v>https://community.secop.gov.co/Public/Tendering/OpportunityDetail/Index?noticeUID=CO1.NTC.4737867&amp;isFromPublicArea=True&amp;isModal=true&amp;asPopupView=true</v>
      </c>
      <c r="AG803" s="290" t="s">
        <v>192</v>
      </c>
      <c r="AH803" s="290" t="s">
        <v>192</v>
      </c>
    </row>
    <row r="804" spans="1:34" s="297" customFormat="1" ht="15" customHeight="1" x14ac:dyDescent="0.2">
      <c r="A804" s="289">
        <v>891780111</v>
      </c>
      <c r="B804" s="289" t="s">
        <v>54</v>
      </c>
      <c r="C804" s="290" t="s">
        <v>56</v>
      </c>
      <c r="D804" s="289" t="s">
        <v>60</v>
      </c>
      <c r="E804" s="290" t="s">
        <v>9202</v>
      </c>
      <c r="F804" s="289" t="s">
        <v>61</v>
      </c>
      <c r="G804" s="85" t="s">
        <v>63</v>
      </c>
      <c r="H804" s="85" t="s">
        <v>73</v>
      </c>
      <c r="I804" s="237">
        <v>39000000</v>
      </c>
      <c r="J804" s="290"/>
      <c r="K804" s="291"/>
      <c r="L804" s="291"/>
      <c r="M804" s="292">
        <f t="shared" si="45"/>
        <v>39000000</v>
      </c>
      <c r="N804" s="85">
        <v>85468614</v>
      </c>
      <c r="O804" s="85" t="s">
        <v>6434</v>
      </c>
      <c r="P804" s="85" t="s">
        <v>9203</v>
      </c>
      <c r="Q804" s="309">
        <f t="shared" si="48"/>
        <v>45118</v>
      </c>
      <c r="R804" s="309">
        <f t="shared" si="48"/>
        <v>45118</v>
      </c>
      <c r="S804" s="309">
        <f t="shared" si="49"/>
        <v>45260</v>
      </c>
      <c r="T804" s="293"/>
      <c r="U804" s="293"/>
      <c r="V804" s="293"/>
      <c r="W804" s="294"/>
      <c r="X804" s="237">
        <f>VLOOKUP(N804,[9]Pagos!$C$2:$D$353,2,FALSE)</f>
        <v>7800000</v>
      </c>
      <c r="Y804" s="295">
        <f t="shared" si="46"/>
        <v>31200000</v>
      </c>
      <c r="Z804" s="296">
        <f t="shared" si="47"/>
        <v>0.2</v>
      </c>
      <c r="AA804" s="85">
        <v>85455983</v>
      </c>
      <c r="AB804" s="85" t="s">
        <v>6413</v>
      </c>
      <c r="AC804" s="290" t="s">
        <v>196</v>
      </c>
      <c r="AD804" s="290" t="s">
        <v>196</v>
      </c>
      <c r="AE804" s="303"/>
      <c r="AF804" s="310" t="str">
        <f>VLOOKUP(E804,[10]Hoja1!$D$3:$E$327,2,FALSE)</f>
        <v>https://community.secop.gov.co/Public/Tendering/OpportunityDetail/Index?noticeUID=CO1.NTC.4738122&amp;isFromPublicArea=True&amp;isModal=true&amp;asPopupView=true</v>
      </c>
      <c r="AG804" s="290" t="s">
        <v>192</v>
      </c>
      <c r="AH804" s="290" t="s">
        <v>192</v>
      </c>
    </row>
    <row r="805" spans="1:34" s="297" customFormat="1" ht="15" customHeight="1" x14ac:dyDescent="0.2">
      <c r="A805" s="289">
        <v>891780111</v>
      </c>
      <c r="B805" s="289" t="s">
        <v>54</v>
      </c>
      <c r="C805" s="290" t="s">
        <v>56</v>
      </c>
      <c r="D805" s="289" t="s">
        <v>60</v>
      </c>
      <c r="E805" s="290" t="s">
        <v>9204</v>
      </c>
      <c r="F805" s="289" t="s">
        <v>61</v>
      </c>
      <c r="G805" s="85" t="s">
        <v>63</v>
      </c>
      <c r="H805" s="85" t="s">
        <v>73</v>
      </c>
      <c r="I805" s="237">
        <v>25000000</v>
      </c>
      <c r="J805" s="290"/>
      <c r="K805" s="291"/>
      <c r="L805" s="291"/>
      <c r="M805" s="292">
        <f t="shared" si="45"/>
        <v>25000000</v>
      </c>
      <c r="N805" s="85">
        <v>1082939683</v>
      </c>
      <c r="O805" s="85" t="s">
        <v>6962</v>
      </c>
      <c r="P805" s="85" t="s">
        <v>9205</v>
      </c>
      <c r="Q805" s="309">
        <f>DATE(2023,7,12)</f>
        <v>45119</v>
      </c>
      <c r="R805" s="309">
        <f>DATE(2023,7,12)</f>
        <v>45119</v>
      </c>
      <c r="S805" s="309">
        <f t="shared" si="49"/>
        <v>45260</v>
      </c>
      <c r="T805" s="293"/>
      <c r="U805" s="293"/>
      <c r="V805" s="293"/>
      <c r="W805" s="294"/>
      <c r="X805" s="237">
        <f>VLOOKUP(N805,[9]Pagos!$C$2:$D$353,2,FALSE)</f>
        <v>5000000</v>
      </c>
      <c r="Y805" s="295">
        <f t="shared" si="46"/>
        <v>20000000</v>
      </c>
      <c r="Z805" s="296">
        <f t="shared" si="47"/>
        <v>0.2</v>
      </c>
      <c r="AA805" s="85">
        <v>85455983</v>
      </c>
      <c r="AB805" s="85" t="s">
        <v>6413</v>
      </c>
      <c r="AC805" s="290" t="s">
        <v>196</v>
      </c>
      <c r="AD805" s="290" t="s">
        <v>196</v>
      </c>
      <c r="AE805" s="303"/>
      <c r="AF805" s="310" t="str">
        <f>VLOOKUP(E805,[10]Hoja1!$D$3:$E$327,2,FALSE)</f>
        <v>https://community.secop.gov.co/Public/Tendering/OpportunityDetail/Index?noticeUID=CO1.NTC.4740581&amp;isFromPublicArea=True&amp;isModal=true&amp;asPopupView=true</v>
      </c>
      <c r="AG805" s="290" t="s">
        <v>192</v>
      </c>
      <c r="AH805" s="290" t="s">
        <v>192</v>
      </c>
    </row>
    <row r="806" spans="1:34" s="297" customFormat="1" ht="15" customHeight="1" x14ac:dyDescent="0.2">
      <c r="A806" s="289">
        <v>891780111</v>
      </c>
      <c r="B806" s="289" t="s">
        <v>54</v>
      </c>
      <c r="C806" s="290" t="s">
        <v>56</v>
      </c>
      <c r="D806" s="289" t="s">
        <v>60</v>
      </c>
      <c r="E806" s="290" t="s">
        <v>9206</v>
      </c>
      <c r="F806" s="289" t="s">
        <v>61</v>
      </c>
      <c r="G806" s="85" t="s">
        <v>63</v>
      </c>
      <c r="H806" s="85" t="s">
        <v>73</v>
      </c>
      <c r="I806" s="237">
        <v>15500000</v>
      </c>
      <c r="J806" s="290"/>
      <c r="K806" s="291"/>
      <c r="L806" s="291"/>
      <c r="M806" s="292">
        <f t="shared" si="45"/>
        <v>15500000</v>
      </c>
      <c r="N806" s="85">
        <v>1065883393</v>
      </c>
      <c r="O806" s="85" t="s">
        <v>6832</v>
      </c>
      <c r="P806" s="85" t="s">
        <v>9086</v>
      </c>
      <c r="Q806" s="309">
        <f t="shared" ref="Q806:R813" si="50">DATE(2023,7,12)</f>
        <v>45119</v>
      </c>
      <c r="R806" s="309">
        <f t="shared" si="50"/>
        <v>45119</v>
      </c>
      <c r="S806" s="309">
        <f t="shared" si="49"/>
        <v>45260</v>
      </c>
      <c r="T806" s="293"/>
      <c r="U806" s="293"/>
      <c r="V806" s="293"/>
      <c r="W806" s="294"/>
      <c r="X806" s="237">
        <f>VLOOKUP(N806,[9]Pagos!$C$2:$D$353,2,FALSE)</f>
        <v>3100000</v>
      </c>
      <c r="Y806" s="295">
        <f t="shared" si="46"/>
        <v>12400000</v>
      </c>
      <c r="Z806" s="296">
        <f t="shared" si="47"/>
        <v>0.2</v>
      </c>
      <c r="AA806" s="85">
        <v>15443332</v>
      </c>
      <c r="AB806" s="85" t="s">
        <v>5907</v>
      </c>
      <c r="AC806" s="290" t="s">
        <v>196</v>
      </c>
      <c r="AD806" s="290" t="s">
        <v>196</v>
      </c>
      <c r="AE806" s="303"/>
      <c r="AF806" s="310" t="str">
        <f>VLOOKUP(E806,[10]Hoja1!$D$3:$E$327,2,FALSE)</f>
        <v>https://community.secop.gov.co/Public/Tendering/OpportunityDetail/Index?noticeUID=CO1.NTC.4740583&amp;isFromPublicArea=True&amp;isModal=true&amp;asPopupView=true</v>
      </c>
      <c r="AG806" s="290" t="s">
        <v>192</v>
      </c>
      <c r="AH806" s="290" t="s">
        <v>192</v>
      </c>
    </row>
    <row r="807" spans="1:34" s="297" customFormat="1" ht="15" customHeight="1" x14ac:dyDescent="0.2">
      <c r="A807" s="289">
        <v>891780111</v>
      </c>
      <c r="B807" s="289" t="s">
        <v>54</v>
      </c>
      <c r="C807" s="290" t="s">
        <v>57</v>
      </c>
      <c r="D807" s="289" t="s">
        <v>60</v>
      </c>
      <c r="E807" s="290" t="s">
        <v>9207</v>
      </c>
      <c r="F807" s="289" t="s">
        <v>61</v>
      </c>
      <c r="G807" s="85" t="s">
        <v>63</v>
      </c>
      <c r="H807" s="85" t="s">
        <v>73</v>
      </c>
      <c r="I807" s="237">
        <v>15500000</v>
      </c>
      <c r="J807" s="290"/>
      <c r="K807" s="291"/>
      <c r="L807" s="291"/>
      <c r="M807" s="292">
        <f t="shared" si="45"/>
        <v>15500000</v>
      </c>
      <c r="N807" s="85">
        <v>1082857989</v>
      </c>
      <c r="O807" s="85" t="s">
        <v>8548</v>
      </c>
      <c r="P807" s="85" t="s">
        <v>9208</v>
      </c>
      <c r="Q807" s="309">
        <f t="shared" si="50"/>
        <v>45119</v>
      </c>
      <c r="R807" s="309">
        <f t="shared" si="50"/>
        <v>45119</v>
      </c>
      <c r="S807" s="309">
        <f t="shared" si="49"/>
        <v>45260</v>
      </c>
      <c r="T807" s="293"/>
      <c r="U807" s="293"/>
      <c r="V807" s="293"/>
      <c r="W807" s="294"/>
      <c r="X807" s="237">
        <f>VLOOKUP(N807,[9]Pagos!$C$2:$D$353,2,FALSE)</f>
        <v>3100000</v>
      </c>
      <c r="Y807" s="295">
        <f t="shared" si="46"/>
        <v>12400000</v>
      </c>
      <c r="Z807" s="296">
        <f t="shared" si="47"/>
        <v>0.2</v>
      </c>
      <c r="AA807" s="85">
        <v>72175281</v>
      </c>
      <c r="AB807" s="85" t="s">
        <v>6507</v>
      </c>
      <c r="AC807" s="290" t="s">
        <v>196</v>
      </c>
      <c r="AD807" s="290" t="s">
        <v>196</v>
      </c>
      <c r="AE807" s="303"/>
      <c r="AF807" s="310" t="str">
        <f>VLOOKUP(E807,[10]Hoja1!$D$3:$E$327,2,FALSE)</f>
        <v>https://community.secop.gov.co/Public/Tendering/OpportunityDetail/Index?noticeUID=CO1.NTC.4740588&amp;isFromPublicArea=True&amp;isModal=true&amp;asPopupView=true</v>
      </c>
      <c r="AG807" s="290" t="s">
        <v>192</v>
      </c>
      <c r="AH807" s="290" t="s">
        <v>192</v>
      </c>
    </row>
    <row r="808" spans="1:34" s="297" customFormat="1" ht="15" customHeight="1" x14ac:dyDescent="0.2">
      <c r="A808" s="289">
        <v>891780111</v>
      </c>
      <c r="B808" s="289" t="s">
        <v>54</v>
      </c>
      <c r="C808" s="290" t="s">
        <v>57</v>
      </c>
      <c r="D808" s="289" t="s">
        <v>60</v>
      </c>
      <c r="E808" s="290" t="s">
        <v>9209</v>
      </c>
      <c r="F808" s="289" t="s">
        <v>61</v>
      </c>
      <c r="G808" s="85" t="s">
        <v>63</v>
      </c>
      <c r="H808" s="85" t="s">
        <v>73</v>
      </c>
      <c r="I808" s="237">
        <v>15500000</v>
      </c>
      <c r="J808" s="290"/>
      <c r="K808" s="291"/>
      <c r="L808" s="291"/>
      <c r="M808" s="292">
        <f t="shared" si="45"/>
        <v>15500000</v>
      </c>
      <c r="N808" s="85">
        <v>85468611</v>
      </c>
      <c r="O808" s="85" t="s">
        <v>6505</v>
      </c>
      <c r="P808" s="85" t="s">
        <v>9210</v>
      </c>
      <c r="Q808" s="309">
        <f t="shared" si="50"/>
        <v>45119</v>
      </c>
      <c r="R808" s="309">
        <f t="shared" si="50"/>
        <v>45119</v>
      </c>
      <c r="S808" s="309">
        <f t="shared" si="49"/>
        <v>45260</v>
      </c>
      <c r="T808" s="293"/>
      <c r="U808" s="293"/>
      <c r="V808" s="293"/>
      <c r="W808" s="294"/>
      <c r="X808" s="237">
        <f>VLOOKUP(N808,[9]Pagos!$C$2:$D$353,2,FALSE)</f>
        <v>3100000</v>
      </c>
      <c r="Y808" s="295">
        <f t="shared" si="46"/>
        <v>12400000</v>
      </c>
      <c r="Z808" s="296">
        <f t="shared" si="47"/>
        <v>0.2</v>
      </c>
      <c r="AA808" s="85">
        <v>72175281</v>
      </c>
      <c r="AB808" s="85" t="s">
        <v>6507</v>
      </c>
      <c r="AC808" s="290" t="s">
        <v>196</v>
      </c>
      <c r="AD808" s="290" t="s">
        <v>196</v>
      </c>
      <c r="AE808" s="303"/>
      <c r="AF808" s="310" t="str">
        <f>VLOOKUP(E808,[10]Hoja1!$D$3:$E$327,2,FALSE)</f>
        <v>https://community.secop.gov.co/Public/Tendering/OpportunityDetail/Index?noticeUID=CO1.NTC.4740833&amp;isFromPublicArea=True&amp;isModal=true&amp;asPopupView=true</v>
      </c>
      <c r="AG808" s="290" t="s">
        <v>192</v>
      </c>
      <c r="AH808" s="290" t="s">
        <v>192</v>
      </c>
    </row>
    <row r="809" spans="1:34" s="297" customFormat="1" ht="15" customHeight="1" x14ac:dyDescent="0.2">
      <c r="A809" s="289">
        <v>891780111</v>
      </c>
      <c r="B809" s="289" t="s">
        <v>54</v>
      </c>
      <c r="C809" s="290" t="s">
        <v>57</v>
      </c>
      <c r="D809" s="289" t="s">
        <v>60</v>
      </c>
      <c r="E809" s="290" t="s">
        <v>9211</v>
      </c>
      <c r="F809" s="289" t="s">
        <v>61</v>
      </c>
      <c r="G809" s="85" t="s">
        <v>63</v>
      </c>
      <c r="H809" s="85" t="s">
        <v>73</v>
      </c>
      <c r="I809" s="237">
        <v>15500000</v>
      </c>
      <c r="J809" s="290"/>
      <c r="K809" s="291"/>
      <c r="L809" s="291"/>
      <c r="M809" s="292">
        <f t="shared" si="45"/>
        <v>15500000</v>
      </c>
      <c r="N809" s="85">
        <v>1083017229</v>
      </c>
      <c r="O809" s="85" t="s">
        <v>8512</v>
      </c>
      <c r="P809" s="85" t="s">
        <v>9212</v>
      </c>
      <c r="Q809" s="309">
        <f t="shared" si="50"/>
        <v>45119</v>
      </c>
      <c r="R809" s="309">
        <f t="shared" si="50"/>
        <v>45119</v>
      </c>
      <c r="S809" s="309">
        <f t="shared" si="49"/>
        <v>45260</v>
      </c>
      <c r="T809" s="293"/>
      <c r="U809" s="293"/>
      <c r="V809" s="293"/>
      <c r="W809" s="294"/>
      <c r="X809" s="237">
        <f>VLOOKUP(N809,[9]Pagos!$C$2:$D$353,2,FALSE)</f>
        <v>3100000</v>
      </c>
      <c r="Y809" s="295">
        <f t="shared" si="46"/>
        <v>12400000</v>
      </c>
      <c r="Z809" s="296">
        <f t="shared" si="47"/>
        <v>0.2</v>
      </c>
      <c r="AA809" s="85">
        <v>72175281</v>
      </c>
      <c r="AB809" s="85" t="s">
        <v>6507</v>
      </c>
      <c r="AC809" s="290" t="s">
        <v>196</v>
      </c>
      <c r="AD809" s="290" t="s">
        <v>196</v>
      </c>
      <c r="AE809" s="303"/>
      <c r="AF809" s="310" t="str">
        <f>VLOOKUP(E809,[10]Hoja1!$D$3:$E$327,2,FALSE)</f>
        <v>https://community.secop.gov.co/Public/Tendering/OpportunityDetail/Index?noticeUID=CO1.NTC.4740835&amp;isFromPublicArea=True&amp;isModal=true&amp;asPopupView=true</v>
      </c>
      <c r="AG809" s="290" t="s">
        <v>192</v>
      </c>
      <c r="AH809" s="290" t="s">
        <v>192</v>
      </c>
    </row>
    <row r="810" spans="1:34" s="297" customFormat="1" ht="15" customHeight="1" x14ac:dyDescent="0.2">
      <c r="A810" s="289">
        <v>891780111</v>
      </c>
      <c r="B810" s="289" t="s">
        <v>54</v>
      </c>
      <c r="C810" s="290" t="s">
        <v>57</v>
      </c>
      <c r="D810" s="289" t="s">
        <v>60</v>
      </c>
      <c r="E810" s="290" t="s">
        <v>9213</v>
      </c>
      <c r="F810" s="289" t="s">
        <v>61</v>
      </c>
      <c r="G810" s="85" t="s">
        <v>63</v>
      </c>
      <c r="H810" s="85" t="s">
        <v>73</v>
      </c>
      <c r="I810" s="237">
        <v>14000000</v>
      </c>
      <c r="J810" s="290"/>
      <c r="K810" s="291"/>
      <c r="L810" s="291"/>
      <c r="M810" s="292">
        <f t="shared" si="45"/>
        <v>14000000</v>
      </c>
      <c r="N810" s="85">
        <v>1082976463</v>
      </c>
      <c r="O810" s="85" t="s">
        <v>8516</v>
      </c>
      <c r="P810" s="85" t="s">
        <v>9214</v>
      </c>
      <c r="Q810" s="309">
        <f t="shared" si="50"/>
        <v>45119</v>
      </c>
      <c r="R810" s="309">
        <f t="shared" si="50"/>
        <v>45119</v>
      </c>
      <c r="S810" s="309">
        <f t="shared" si="49"/>
        <v>45260</v>
      </c>
      <c r="T810" s="293"/>
      <c r="U810" s="293"/>
      <c r="V810" s="293"/>
      <c r="W810" s="294"/>
      <c r="X810" s="237">
        <f>VLOOKUP(N810,[9]Pagos!$C$2:$D$353,2,FALSE)</f>
        <v>2800000</v>
      </c>
      <c r="Y810" s="295">
        <f t="shared" si="46"/>
        <v>11200000</v>
      </c>
      <c r="Z810" s="296">
        <f t="shared" si="47"/>
        <v>0.2</v>
      </c>
      <c r="AA810" s="85">
        <v>72175281</v>
      </c>
      <c r="AB810" s="85" t="s">
        <v>6507</v>
      </c>
      <c r="AC810" s="290" t="s">
        <v>196</v>
      </c>
      <c r="AD810" s="290" t="s">
        <v>196</v>
      </c>
      <c r="AE810" s="303"/>
      <c r="AF810" s="310" t="str">
        <f>VLOOKUP(E810,[10]Hoja1!$D$3:$E$327,2,FALSE)</f>
        <v>https://community.secop.gov.co/Public/Tendering/OpportunityDetail/Index?noticeUID=CO1.NTC.4740838&amp;isFromPublicArea=True&amp;isModal=true&amp;asPopupView=true</v>
      </c>
      <c r="AG810" s="290" t="s">
        <v>192</v>
      </c>
      <c r="AH810" s="290" t="s">
        <v>192</v>
      </c>
    </row>
    <row r="811" spans="1:34" s="297" customFormat="1" ht="15" customHeight="1" x14ac:dyDescent="0.2">
      <c r="A811" s="289">
        <v>891780111</v>
      </c>
      <c r="B811" s="289" t="s">
        <v>54</v>
      </c>
      <c r="C811" s="290" t="s">
        <v>57</v>
      </c>
      <c r="D811" s="289" t="s">
        <v>60</v>
      </c>
      <c r="E811" s="290" t="s">
        <v>9215</v>
      </c>
      <c r="F811" s="289" t="s">
        <v>61</v>
      </c>
      <c r="G811" s="85" t="s">
        <v>63</v>
      </c>
      <c r="H811" s="85" t="s">
        <v>73</v>
      </c>
      <c r="I811" s="237">
        <v>14000000</v>
      </c>
      <c r="J811" s="290"/>
      <c r="K811" s="291"/>
      <c r="L811" s="291"/>
      <c r="M811" s="292">
        <f t="shared" si="45"/>
        <v>14000000</v>
      </c>
      <c r="N811" s="85">
        <v>1020736975</v>
      </c>
      <c r="O811" s="85" t="s">
        <v>7755</v>
      </c>
      <c r="P811" s="85" t="s">
        <v>9216</v>
      </c>
      <c r="Q811" s="309">
        <f t="shared" si="50"/>
        <v>45119</v>
      </c>
      <c r="R811" s="309">
        <f t="shared" si="50"/>
        <v>45119</v>
      </c>
      <c r="S811" s="309">
        <f t="shared" si="49"/>
        <v>45260</v>
      </c>
      <c r="T811" s="293"/>
      <c r="U811" s="293"/>
      <c r="V811" s="293"/>
      <c r="W811" s="294"/>
      <c r="X811" s="237">
        <f>VLOOKUP(N811,[9]Pagos!$C$2:$D$353,2,FALSE)</f>
        <v>2800000</v>
      </c>
      <c r="Y811" s="295">
        <f t="shared" si="46"/>
        <v>11200000</v>
      </c>
      <c r="Z811" s="296">
        <f t="shared" si="47"/>
        <v>0.2</v>
      </c>
      <c r="AA811" s="85">
        <v>72175281</v>
      </c>
      <c r="AB811" s="85" t="s">
        <v>6507</v>
      </c>
      <c r="AC811" s="290" t="s">
        <v>196</v>
      </c>
      <c r="AD811" s="290" t="s">
        <v>196</v>
      </c>
      <c r="AE811" s="303"/>
      <c r="AF811" s="310" t="str">
        <f>VLOOKUP(E811,[10]Hoja1!$D$3:$E$327,2,FALSE)</f>
        <v>https://community.secop.gov.co/Public/Tendering/OpportunityDetail/Index?noticeUID=CO1.NTC.4740839&amp;isFromPublicArea=True&amp;isModal=true&amp;asPopupView=true</v>
      </c>
      <c r="AG811" s="290" t="s">
        <v>192</v>
      </c>
      <c r="AH811" s="290" t="s">
        <v>192</v>
      </c>
    </row>
    <row r="812" spans="1:34" s="297" customFormat="1" ht="15" customHeight="1" x14ac:dyDescent="0.2">
      <c r="A812" s="289">
        <v>891780111</v>
      </c>
      <c r="B812" s="289" t="s">
        <v>54</v>
      </c>
      <c r="C812" s="290" t="s">
        <v>57</v>
      </c>
      <c r="D812" s="289" t="s">
        <v>60</v>
      </c>
      <c r="E812" s="290" t="s">
        <v>9217</v>
      </c>
      <c r="F812" s="289" t="s">
        <v>61</v>
      </c>
      <c r="G812" s="85" t="s">
        <v>63</v>
      </c>
      <c r="H812" s="85" t="s">
        <v>73</v>
      </c>
      <c r="I812" s="237">
        <v>17000000</v>
      </c>
      <c r="J812" s="290"/>
      <c r="K812" s="291"/>
      <c r="L812" s="291"/>
      <c r="M812" s="292">
        <f t="shared" si="45"/>
        <v>17000000</v>
      </c>
      <c r="N812" s="85">
        <v>7600549</v>
      </c>
      <c r="O812" s="85" t="s">
        <v>8681</v>
      </c>
      <c r="P812" s="85" t="s">
        <v>9218</v>
      </c>
      <c r="Q812" s="309">
        <f t="shared" si="50"/>
        <v>45119</v>
      </c>
      <c r="R812" s="309">
        <f t="shared" si="50"/>
        <v>45119</v>
      </c>
      <c r="S812" s="309">
        <f t="shared" si="49"/>
        <v>45260</v>
      </c>
      <c r="T812" s="293"/>
      <c r="U812" s="293"/>
      <c r="V812" s="293"/>
      <c r="W812" s="294"/>
      <c r="X812" s="237">
        <f>VLOOKUP(N812,[9]Pagos!$C$2:$D$353,2,FALSE)</f>
        <v>3400000</v>
      </c>
      <c r="Y812" s="295">
        <f t="shared" si="46"/>
        <v>13600000</v>
      </c>
      <c r="Z812" s="296">
        <f t="shared" si="47"/>
        <v>0.2</v>
      </c>
      <c r="AA812" s="85">
        <v>72175281</v>
      </c>
      <c r="AB812" s="85" t="s">
        <v>6507</v>
      </c>
      <c r="AC812" s="290" t="s">
        <v>196</v>
      </c>
      <c r="AD812" s="290" t="s">
        <v>196</v>
      </c>
      <c r="AE812" s="303"/>
      <c r="AF812" s="310" t="str">
        <f>VLOOKUP(E812,[10]Hoja1!$D$3:$E$327,2,FALSE)</f>
        <v>https://community.secop.gov.co/Public/Tendering/OpportunityDetail/Index?noticeUID=CO1.NTC.4740842&amp;isFromPublicArea=True&amp;isModal=true&amp;asPopupView=true</v>
      </c>
      <c r="AG812" s="290" t="s">
        <v>192</v>
      </c>
      <c r="AH812" s="290" t="s">
        <v>192</v>
      </c>
    </row>
    <row r="813" spans="1:34" s="297" customFormat="1" ht="15" customHeight="1" x14ac:dyDescent="0.2">
      <c r="A813" s="289">
        <v>891780111</v>
      </c>
      <c r="B813" s="289" t="s">
        <v>54</v>
      </c>
      <c r="C813" s="290" t="s">
        <v>57</v>
      </c>
      <c r="D813" s="289" t="s">
        <v>60</v>
      </c>
      <c r="E813" s="290" t="s">
        <v>9219</v>
      </c>
      <c r="F813" s="289" t="s">
        <v>61</v>
      </c>
      <c r="G813" s="85" t="s">
        <v>63</v>
      </c>
      <c r="H813" s="85" t="s">
        <v>73</v>
      </c>
      <c r="I813" s="237">
        <v>14500000</v>
      </c>
      <c r="J813" s="290"/>
      <c r="K813" s="291"/>
      <c r="L813" s="291"/>
      <c r="M813" s="292">
        <f t="shared" si="45"/>
        <v>14500000</v>
      </c>
      <c r="N813" s="85">
        <v>1082954069</v>
      </c>
      <c r="O813" s="85" t="s">
        <v>8476</v>
      </c>
      <c r="P813" s="85" t="s">
        <v>9220</v>
      </c>
      <c r="Q813" s="309">
        <f t="shared" si="50"/>
        <v>45119</v>
      </c>
      <c r="R813" s="309">
        <f t="shared" si="50"/>
        <v>45119</v>
      </c>
      <c r="S813" s="309">
        <f t="shared" si="49"/>
        <v>45260</v>
      </c>
      <c r="T813" s="293"/>
      <c r="U813" s="293"/>
      <c r="V813" s="293"/>
      <c r="W813" s="294"/>
      <c r="X813" s="237">
        <f>VLOOKUP(N813,[9]Pagos!$C$2:$D$353,2,FALSE)</f>
        <v>2900000</v>
      </c>
      <c r="Y813" s="295">
        <f t="shared" si="46"/>
        <v>11600000</v>
      </c>
      <c r="Z813" s="296">
        <f t="shared" si="47"/>
        <v>0.2</v>
      </c>
      <c r="AA813" s="85">
        <v>72175281</v>
      </c>
      <c r="AB813" s="85" t="s">
        <v>6507</v>
      </c>
      <c r="AC813" s="290" t="s">
        <v>196</v>
      </c>
      <c r="AD813" s="290" t="s">
        <v>196</v>
      </c>
      <c r="AE813" s="303"/>
      <c r="AF813" s="310" t="str">
        <f>VLOOKUP(E813,[10]Hoja1!$D$3:$E$327,2,FALSE)</f>
        <v>https://community.secop.gov.co/Public/Tendering/OpportunityDetail/Index?noticeUID=CO1.NTC.4740760&amp;isFromPublicArea=True&amp;isModal=true&amp;asPopupView=true</v>
      </c>
      <c r="AG813" s="290" t="s">
        <v>192</v>
      </c>
      <c r="AH813" s="290" t="s">
        <v>192</v>
      </c>
    </row>
    <row r="814" spans="1:34" s="297" customFormat="1" ht="15" customHeight="1" x14ac:dyDescent="0.2">
      <c r="A814" s="289">
        <v>891780111</v>
      </c>
      <c r="B814" s="289" t="s">
        <v>54</v>
      </c>
      <c r="C814" s="290" t="s">
        <v>56</v>
      </c>
      <c r="D814" s="289" t="s">
        <v>60</v>
      </c>
      <c r="E814" s="290" t="s">
        <v>9221</v>
      </c>
      <c r="F814" s="289" t="s">
        <v>61</v>
      </c>
      <c r="G814" s="85" t="s">
        <v>63</v>
      </c>
      <c r="H814" s="85" t="s">
        <v>73</v>
      </c>
      <c r="I814" s="237">
        <v>2700000</v>
      </c>
      <c r="J814" s="290"/>
      <c r="K814" s="291"/>
      <c r="L814" s="291"/>
      <c r="M814" s="292">
        <f t="shared" si="45"/>
        <v>2700000</v>
      </c>
      <c r="N814" s="85">
        <v>1221963203</v>
      </c>
      <c r="O814" s="85" t="s">
        <v>9222</v>
      </c>
      <c r="P814" s="85" t="s">
        <v>9107</v>
      </c>
      <c r="Q814" s="309">
        <f>DATE(2023,7,13)</f>
        <v>45120</v>
      </c>
      <c r="R814" s="309">
        <f>DATE(2023,7,13)</f>
        <v>45120</v>
      </c>
      <c r="S814" s="309">
        <f>DATE(2023,7,24)</f>
        <v>45131</v>
      </c>
      <c r="T814" s="309"/>
      <c r="U814" s="309"/>
      <c r="V814" s="309"/>
      <c r="W814" s="304"/>
      <c r="X814" s="237">
        <f>VLOOKUP(N814,[9]Pagos!$C$2:$D$353,2,FALSE)</f>
        <v>2700000</v>
      </c>
      <c r="Y814" s="295">
        <f t="shared" si="46"/>
        <v>0</v>
      </c>
      <c r="Z814" s="296">
        <f t="shared" si="47"/>
        <v>1</v>
      </c>
      <c r="AA814" s="85">
        <v>41947381</v>
      </c>
      <c r="AB814" s="85" t="s">
        <v>6440</v>
      </c>
      <c r="AC814" s="290" t="s">
        <v>196</v>
      </c>
      <c r="AD814" s="290" t="s">
        <v>196</v>
      </c>
      <c r="AE814" s="303"/>
      <c r="AF814" s="310" t="str">
        <f>VLOOKUP(E814,[10]Hoja1!$D$3:$E$327,2,FALSE)</f>
        <v>https://community.secop.gov.co/Public/Tendering/OpportunityDetail/Index?noticeUID=CO1.NTC.4747042&amp;isFromPublicArea=True&amp;isModal=true&amp;asPopupView=true</v>
      </c>
      <c r="AG814" s="290" t="s">
        <v>192</v>
      </c>
      <c r="AH814" s="290" t="s">
        <v>192</v>
      </c>
    </row>
    <row r="815" spans="1:34" s="297" customFormat="1" ht="15" customHeight="1" x14ac:dyDescent="0.2">
      <c r="A815" s="289">
        <v>891780111</v>
      </c>
      <c r="B815" s="289" t="s">
        <v>54</v>
      </c>
      <c r="C815" s="290" t="s">
        <v>56</v>
      </c>
      <c r="D815" s="289" t="s">
        <v>60</v>
      </c>
      <c r="E815" s="290" t="s">
        <v>9223</v>
      </c>
      <c r="F815" s="289" t="s">
        <v>61</v>
      </c>
      <c r="G815" s="85" t="s">
        <v>63</v>
      </c>
      <c r="H815" s="85" t="s">
        <v>73</v>
      </c>
      <c r="I815" s="237">
        <v>14000000</v>
      </c>
      <c r="J815" s="290"/>
      <c r="K815" s="291"/>
      <c r="L815" s="291"/>
      <c r="M815" s="292">
        <f t="shared" si="45"/>
        <v>14000000</v>
      </c>
      <c r="N815" s="85">
        <v>1085230612</v>
      </c>
      <c r="O815" s="85" t="s">
        <v>8661</v>
      </c>
      <c r="P815" s="85" t="s">
        <v>9224</v>
      </c>
      <c r="Q815" s="309">
        <f>DATE(2023,7,13)</f>
        <v>45120</v>
      </c>
      <c r="R815" s="309">
        <f>DATE(2023,7,13)</f>
        <v>45120</v>
      </c>
      <c r="S815" s="309">
        <f t="shared" si="49"/>
        <v>45260</v>
      </c>
      <c r="T815" s="293"/>
      <c r="U815" s="293"/>
      <c r="V815" s="293"/>
      <c r="W815" s="294"/>
      <c r="X815" s="237">
        <f>VLOOKUP(N815,[9]Pagos!$C$2:$D$353,2,FALSE)</f>
        <v>2800000</v>
      </c>
      <c r="Y815" s="295">
        <f t="shared" si="46"/>
        <v>11200000</v>
      </c>
      <c r="Z815" s="296">
        <f t="shared" si="47"/>
        <v>0.2</v>
      </c>
      <c r="AA815" s="85">
        <v>57290542</v>
      </c>
      <c r="AB815" s="85" t="s">
        <v>2018</v>
      </c>
      <c r="AC815" s="290" t="s">
        <v>196</v>
      </c>
      <c r="AD815" s="290" t="s">
        <v>196</v>
      </c>
      <c r="AE815" s="303"/>
      <c r="AF815" s="310" t="str">
        <f>VLOOKUP(E815,[10]Hoja1!$D$3:$E$327,2,FALSE)</f>
        <v>https://community.secop.gov.co/Public/Tendering/OpportunityDetail/Index?noticeUID=CO1.NTC.4747048&amp;isFromPublicArea=True&amp;isModal=true&amp;asPopupView=true</v>
      </c>
      <c r="AG815" s="290" t="s">
        <v>192</v>
      </c>
      <c r="AH815" s="290" t="s">
        <v>192</v>
      </c>
    </row>
    <row r="816" spans="1:34" s="297" customFormat="1" ht="15" customHeight="1" x14ac:dyDescent="0.2">
      <c r="A816" s="289">
        <v>891780111</v>
      </c>
      <c r="B816" s="289" t="s">
        <v>54</v>
      </c>
      <c r="C816" s="290" t="s">
        <v>56</v>
      </c>
      <c r="D816" s="289" t="s">
        <v>60</v>
      </c>
      <c r="E816" s="290" t="s">
        <v>9225</v>
      </c>
      <c r="F816" s="289" t="s">
        <v>61</v>
      </c>
      <c r="G816" s="85" t="s">
        <v>63</v>
      </c>
      <c r="H816" s="85" t="s">
        <v>73</v>
      </c>
      <c r="I816" s="237">
        <v>9500000</v>
      </c>
      <c r="J816" s="290"/>
      <c r="K816" s="291"/>
      <c r="L816" s="291"/>
      <c r="M816" s="292">
        <f t="shared" si="45"/>
        <v>9500000</v>
      </c>
      <c r="N816" s="85">
        <v>5492235</v>
      </c>
      <c r="O816" s="85" t="s">
        <v>8396</v>
      </c>
      <c r="P816" s="85" t="s">
        <v>9226</v>
      </c>
      <c r="Q816" s="309">
        <f>DATE(2023,7,14)</f>
        <v>45121</v>
      </c>
      <c r="R816" s="309">
        <f>DATE(2023,7,14)</f>
        <v>45121</v>
      </c>
      <c r="S816" s="309">
        <f t="shared" si="49"/>
        <v>45260</v>
      </c>
      <c r="T816" s="293"/>
      <c r="U816" s="293"/>
      <c r="V816" s="293"/>
      <c r="W816" s="294"/>
      <c r="X816" s="237">
        <f>VLOOKUP(N816,[9]Pagos!$C$2:$D$353,2,FALSE)</f>
        <v>1900000</v>
      </c>
      <c r="Y816" s="295">
        <f t="shared" si="46"/>
        <v>7600000</v>
      </c>
      <c r="Z816" s="296">
        <f t="shared" si="47"/>
        <v>0.2</v>
      </c>
      <c r="AA816" s="85">
        <v>57444673</v>
      </c>
      <c r="AB816" s="85" t="s">
        <v>5370</v>
      </c>
      <c r="AC816" s="290" t="s">
        <v>196</v>
      </c>
      <c r="AD816" s="290" t="s">
        <v>196</v>
      </c>
      <c r="AE816" s="303"/>
      <c r="AF816" s="310" t="str">
        <f>VLOOKUP(E816,[10]Hoja1!$D$3:$E$327,2,FALSE)</f>
        <v>https://community.secop.gov.co/Public/Tendering/OpportunityDetail/Index?noticeUID=CO1.NTC.4747056&amp;isFromPublicArea=True&amp;isModal=true&amp;asPopupView=true</v>
      </c>
      <c r="AG816" s="290" t="s">
        <v>192</v>
      </c>
      <c r="AH816" s="290" t="s">
        <v>192</v>
      </c>
    </row>
    <row r="817" spans="1:34" s="297" customFormat="1" ht="15" customHeight="1" x14ac:dyDescent="0.2">
      <c r="A817" s="289">
        <v>891780111</v>
      </c>
      <c r="B817" s="289" t="s">
        <v>54</v>
      </c>
      <c r="C817" s="290" t="s">
        <v>56</v>
      </c>
      <c r="D817" s="289" t="s">
        <v>60</v>
      </c>
      <c r="E817" s="290" t="s">
        <v>9227</v>
      </c>
      <c r="F817" s="289" t="s">
        <v>61</v>
      </c>
      <c r="G817" s="85" t="s">
        <v>63</v>
      </c>
      <c r="H817" s="85" t="s">
        <v>73</v>
      </c>
      <c r="I817" s="237">
        <v>15867000</v>
      </c>
      <c r="J817" s="290"/>
      <c r="K817" s="291"/>
      <c r="L817" s="291"/>
      <c r="M817" s="292">
        <f t="shared" si="45"/>
        <v>15867000</v>
      </c>
      <c r="N817" s="85">
        <v>1082908015</v>
      </c>
      <c r="O817" s="85" t="s">
        <v>8276</v>
      </c>
      <c r="P817" s="85" t="s">
        <v>9228</v>
      </c>
      <c r="Q817" s="309">
        <f>DATE(2023,7,17)</f>
        <v>45124</v>
      </c>
      <c r="R817" s="309">
        <f>DATE(2023,7,17)</f>
        <v>45124</v>
      </c>
      <c r="S817" s="309">
        <f t="shared" si="49"/>
        <v>45260</v>
      </c>
      <c r="T817" s="293"/>
      <c r="U817" s="293"/>
      <c r="V817" s="293"/>
      <c r="W817" s="294"/>
      <c r="X817" s="237">
        <f>VLOOKUP(N817,[9]Pagos!$C$2:$D$353,2,FALSE)</f>
        <v>2267000</v>
      </c>
      <c r="Y817" s="295">
        <f t="shared" si="46"/>
        <v>13600000</v>
      </c>
      <c r="Z817" s="296">
        <f t="shared" si="47"/>
        <v>0.14287514968172937</v>
      </c>
      <c r="AA817" s="85">
        <v>7632607</v>
      </c>
      <c r="AB817" s="85" t="s">
        <v>9012</v>
      </c>
      <c r="AC817" s="290" t="s">
        <v>196</v>
      </c>
      <c r="AD817" s="290" t="s">
        <v>196</v>
      </c>
      <c r="AE817" s="303"/>
      <c r="AF817" s="310" t="str">
        <f>VLOOKUP(E817,[10]Hoja1!$D$3:$E$327,2,FALSE)</f>
        <v>https://community.secop.gov.co/Public/Tendering/OpportunityDetail/Index?noticeUID=CO1.NTC.4758063&amp;isFromPublicArea=True&amp;isModal=true&amp;asPopupView=true</v>
      </c>
      <c r="AG817" s="290" t="s">
        <v>192</v>
      </c>
      <c r="AH817" s="290" t="s">
        <v>192</v>
      </c>
    </row>
    <row r="818" spans="1:34" s="297" customFormat="1" ht="15" customHeight="1" x14ac:dyDescent="0.2">
      <c r="A818" s="289">
        <v>891780111</v>
      </c>
      <c r="B818" s="289" t="s">
        <v>54</v>
      </c>
      <c r="C818" s="290" t="s">
        <v>56</v>
      </c>
      <c r="D818" s="289" t="s">
        <v>60</v>
      </c>
      <c r="E818" s="290" t="s">
        <v>9229</v>
      </c>
      <c r="F818" s="289" t="s">
        <v>61</v>
      </c>
      <c r="G818" s="85" t="s">
        <v>63</v>
      </c>
      <c r="H818" s="85" t="s">
        <v>73</v>
      </c>
      <c r="I818" s="237">
        <v>14000000</v>
      </c>
      <c r="J818" s="290"/>
      <c r="K818" s="291"/>
      <c r="L818" s="291"/>
      <c r="M818" s="292">
        <f t="shared" si="45"/>
        <v>14000000</v>
      </c>
      <c r="N818" s="85">
        <v>1082946247</v>
      </c>
      <c r="O818" s="85" t="s">
        <v>7328</v>
      </c>
      <c r="P818" s="85" t="s">
        <v>9230</v>
      </c>
      <c r="Q818" s="309">
        <f>DATE(2023,7,17)</f>
        <v>45124</v>
      </c>
      <c r="R818" s="309">
        <f>DATE(2023,7,17)</f>
        <v>45124</v>
      </c>
      <c r="S818" s="309">
        <f t="shared" si="49"/>
        <v>45260</v>
      </c>
      <c r="T818" s="293"/>
      <c r="U818" s="293"/>
      <c r="V818" s="293"/>
      <c r="W818" s="294"/>
      <c r="X818" s="237">
        <f>VLOOKUP(N818,[9]Pagos!$C$2:$D$353,2,FALSE)</f>
        <v>2800000</v>
      </c>
      <c r="Y818" s="295">
        <f t="shared" si="46"/>
        <v>11200000</v>
      </c>
      <c r="Z818" s="296">
        <f t="shared" si="47"/>
        <v>0.2</v>
      </c>
      <c r="AA818" s="85">
        <v>85152695</v>
      </c>
      <c r="AB818" s="85" t="s">
        <v>6984</v>
      </c>
      <c r="AC818" s="290" t="s">
        <v>196</v>
      </c>
      <c r="AD818" s="290" t="s">
        <v>196</v>
      </c>
      <c r="AE818" s="303"/>
      <c r="AF818" s="310" t="str">
        <f>VLOOKUP(E818,[10]Hoja1!$D$3:$E$327,2,FALSE)</f>
        <v>https://community.secop.gov.co/Public/Tendering/OpportunityDetail/Index?noticeUID=CO1.NTC.4757958&amp;isFromPublicArea=True&amp;isModal=true&amp;asPopupView=true</v>
      </c>
      <c r="AG818" s="290" t="s">
        <v>192</v>
      </c>
      <c r="AH818" s="290" t="s">
        <v>192</v>
      </c>
    </row>
    <row r="819" spans="1:34" s="297" customFormat="1" ht="15" customHeight="1" x14ac:dyDescent="0.2">
      <c r="A819" s="289">
        <v>891780111</v>
      </c>
      <c r="B819" s="289" t="s">
        <v>54</v>
      </c>
      <c r="C819" s="290" t="s">
        <v>56</v>
      </c>
      <c r="D819" s="289" t="s">
        <v>60</v>
      </c>
      <c r="E819" s="290" t="s">
        <v>9231</v>
      </c>
      <c r="F819" s="289" t="s">
        <v>61</v>
      </c>
      <c r="G819" s="85" t="s">
        <v>63</v>
      </c>
      <c r="H819" s="85" t="s">
        <v>73</v>
      </c>
      <c r="I819" s="237">
        <v>17000000</v>
      </c>
      <c r="J819" s="290"/>
      <c r="K819" s="291"/>
      <c r="L819" s="291"/>
      <c r="M819" s="292">
        <f t="shared" si="45"/>
        <v>17000000</v>
      </c>
      <c r="N819" s="85">
        <v>39049050</v>
      </c>
      <c r="O819" s="85" t="s">
        <v>8587</v>
      </c>
      <c r="P819" s="85" t="s">
        <v>9232</v>
      </c>
      <c r="Q819" s="309">
        <f>DATE(2023,7,18)</f>
        <v>45125</v>
      </c>
      <c r="R819" s="309">
        <f>DATE(2023,7,18)</f>
        <v>45125</v>
      </c>
      <c r="S819" s="309">
        <f t="shared" si="49"/>
        <v>45260</v>
      </c>
      <c r="T819" s="293"/>
      <c r="U819" s="293"/>
      <c r="V819" s="293"/>
      <c r="W819" s="294"/>
      <c r="X819" s="237">
        <f>VLOOKUP(N819,[9]Pagos!$C$2:$D$353,2,FALSE)</f>
        <v>3400000</v>
      </c>
      <c r="Y819" s="295">
        <f t="shared" si="46"/>
        <v>13600000</v>
      </c>
      <c r="Z819" s="296">
        <f t="shared" si="47"/>
        <v>0.2</v>
      </c>
      <c r="AA819" s="85">
        <v>36557666</v>
      </c>
      <c r="AB819" s="85" t="s">
        <v>6916</v>
      </c>
      <c r="AC819" s="290" t="s">
        <v>196</v>
      </c>
      <c r="AD819" s="290" t="s">
        <v>196</v>
      </c>
      <c r="AE819" s="303"/>
      <c r="AF819" s="310" t="str">
        <f>VLOOKUP(E819,[10]Hoja1!$D$3:$E$327,2,FALSE)</f>
        <v>https://community.secop.gov.co/Public/Tendering/OpportunityDetail/Index?noticeUID=CO1.NTC.4767322&amp;isFromPublicArea=True&amp;isModal=true&amp;asPopupView=true</v>
      </c>
      <c r="AG819" s="290" t="s">
        <v>192</v>
      </c>
      <c r="AH819" s="290" t="s">
        <v>192</v>
      </c>
    </row>
    <row r="820" spans="1:34" s="297" customFormat="1" ht="15" customHeight="1" x14ac:dyDescent="0.2">
      <c r="A820" s="289">
        <v>891780111</v>
      </c>
      <c r="B820" s="289" t="s">
        <v>54</v>
      </c>
      <c r="C820" s="290" t="s">
        <v>56</v>
      </c>
      <c r="D820" s="289" t="s">
        <v>60</v>
      </c>
      <c r="E820" s="290" t="s">
        <v>9233</v>
      </c>
      <c r="F820" s="289" t="s">
        <v>61</v>
      </c>
      <c r="G820" s="85" t="s">
        <v>63</v>
      </c>
      <c r="H820" s="85" t="s">
        <v>73</v>
      </c>
      <c r="I820" s="237">
        <v>20000000</v>
      </c>
      <c r="J820" s="290"/>
      <c r="K820" s="291"/>
      <c r="L820" s="291"/>
      <c r="M820" s="292">
        <f t="shared" si="45"/>
        <v>20000000</v>
      </c>
      <c r="N820" s="85">
        <v>85474255</v>
      </c>
      <c r="O820" s="85" t="s">
        <v>8623</v>
      </c>
      <c r="P820" s="85" t="s">
        <v>9234</v>
      </c>
      <c r="Q820" s="309">
        <f t="shared" ref="Q820:R835" si="51">DATE(2023,7,18)</f>
        <v>45125</v>
      </c>
      <c r="R820" s="309">
        <f t="shared" si="51"/>
        <v>45125</v>
      </c>
      <c r="S820" s="309">
        <f t="shared" si="49"/>
        <v>45260</v>
      </c>
      <c r="T820" s="293"/>
      <c r="U820" s="293"/>
      <c r="V820" s="293"/>
      <c r="W820" s="294"/>
      <c r="X820" s="237">
        <f>VLOOKUP(N820,[9]Pagos!$C$2:$D$353,2,FALSE)</f>
        <v>4000000</v>
      </c>
      <c r="Y820" s="295">
        <f t="shared" si="46"/>
        <v>16000000</v>
      </c>
      <c r="Z820" s="296">
        <f t="shared" si="47"/>
        <v>0.2</v>
      </c>
      <c r="AA820" s="85">
        <v>85154788</v>
      </c>
      <c r="AB820" s="85" t="s">
        <v>8505</v>
      </c>
      <c r="AC820" s="290" t="s">
        <v>196</v>
      </c>
      <c r="AD820" s="290" t="s">
        <v>196</v>
      </c>
      <c r="AE820" s="303"/>
      <c r="AF820" s="310" t="str">
        <f>VLOOKUP(E820,[10]Hoja1!$D$3:$E$327,2,FALSE)</f>
        <v>https://community.secop.gov.co/Public/Tendering/OpportunityDetail/Index?noticeUID=CO1.NTC.4767620&amp;isFromPublicArea=True&amp;isModal=true&amp;asPopupView=true</v>
      </c>
      <c r="AG820" s="290" t="s">
        <v>192</v>
      </c>
      <c r="AH820" s="290" t="s">
        <v>192</v>
      </c>
    </row>
    <row r="821" spans="1:34" s="297" customFormat="1" ht="15" customHeight="1" x14ac:dyDescent="0.2">
      <c r="A821" s="289">
        <v>891780111</v>
      </c>
      <c r="B821" s="289" t="s">
        <v>54</v>
      </c>
      <c r="C821" s="290" t="s">
        <v>56</v>
      </c>
      <c r="D821" s="289" t="s">
        <v>60</v>
      </c>
      <c r="E821" s="290" t="s">
        <v>9235</v>
      </c>
      <c r="F821" s="289" t="s">
        <v>61</v>
      </c>
      <c r="G821" s="85" t="s">
        <v>63</v>
      </c>
      <c r="H821" s="85" t="s">
        <v>73</v>
      </c>
      <c r="I821" s="237">
        <v>20250000</v>
      </c>
      <c r="J821" s="290"/>
      <c r="K821" s="291"/>
      <c r="L821" s="291"/>
      <c r="M821" s="292">
        <f t="shared" si="45"/>
        <v>20250000</v>
      </c>
      <c r="N821" s="85">
        <v>1082924263</v>
      </c>
      <c r="O821" s="85" t="s">
        <v>8724</v>
      </c>
      <c r="P821" s="85" t="s">
        <v>9236</v>
      </c>
      <c r="Q821" s="309">
        <f t="shared" si="51"/>
        <v>45125</v>
      </c>
      <c r="R821" s="309">
        <f t="shared" si="51"/>
        <v>45125</v>
      </c>
      <c r="S821" s="309">
        <f t="shared" si="49"/>
        <v>45260</v>
      </c>
      <c r="T821" s="293"/>
      <c r="U821" s="293"/>
      <c r="V821" s="293"/>
      <c r="W821" s="294"/>
      <c r="X821" s="237">
        <f>VLOOKUP(N821,[9]Pagos!$C$2:$D$353,2,FALSE)</f>
        <v>2250000</v>
      </c>
      <c r="Y821" s="295">
        <f t="shared" si="46"/>
        <v>18000000</v>
      </c>
      <c r="Z821" s="296">
        <f t="shared" si="47"/>
        <v>0.1111111111111111</v>
      </c>
      <c r="AA821" s="85">
        <v>12621405</v>
      </c>
      <c r="AB821" s="85" t="s">
        <v>8695</v>
      </c>
      <c r="AC821" s="290" t="s">
        <v>196</v>
      </c>
      <c r="AD821" s="290" t="s">
        <v>196</v>
      </c>
      <c r="AE821" s="303"/>
      <c r="AF821" s="310" t="str">
        <f>VLOOKUP(E821,[10]Hoja1!$D$3:$E$327,2,FALSE)</f>
        <v>https://community.secop.gov.co/Public/Tendering/OpportunityDetail/Index?noticeUID=CO1.NTC.4767716&amp;isFromPublicArea=True&amp;isModal=true&amp;asPopupView=true</v>
      </c>
      <c r="AG821" s="290" t="s">
        <v>192</v>
      </c>
      <c r="AH821" s="290" t="s">
        <v>192</v>
      </c>
    </row>
    <row r="822" spans="1:34" s="297" customFormat="1" ht="15" customHeight="1" x14ac:dyDescent="0.2">
      <c r="A822" s="289">
        <v>891780111</v>
      </c>
      <c r="B822" s="289" t="s">
        <v>54</v>
      </c>
      <c r="C822" s="290" t="s">
        <v>56</v>
      </c>
      <c r="D822" s="289" t="s">
        <v>60</v>
      </c>
      <c r="E822" s="290" t="s">
        <v>9237</v>
      </c>
      <c r="F822" s="289" t="s">
        <v>61</v>
      </c>
      <c r="G822" s="85" t="s">
        <v>63</v>
      </c>
      <c r="H822" s="85" t="s">
        <v>73</v>
      </c>
      <c r="I822" s="237">
        <v>11250000</v>
      </c>
      <c r="J822" s="290"/>
      <c r="K822" s="291"/>
      <c r="L822" s="291"/>
      <c r="M822" s="292">
        <f t="shared" si="45"/>
        <v>11250000</v>
      </c>
      <c r="N822" s="85">
        <v>36669007</v>
      </c>
      <c r="O822" s="85" t="s">
        <v>9238</v>
      </c>
      <c r="P822" s="85" t="s">
        <v>9239</v>
      </c>
      <c r="Q822" s="309">
        <f t="shared" si="51"/>
        <v>45125</v>
      </c>
      <c r="R822" s="309">
        <f t="shared" si="51"/>
        <v>45125</v>
      </c>
      <c r="S822" s="309">
        <f t="shared" si="49"/>
        <v>45260</v>
      </c>
      <c r="T822" s="293"/>
      <c r="U822" s="293"/>
      <c r="V822" s="293"/>
      <c r="W822" s="294"/>
      <c r="X822" s="237">
        <f>VLOOKUP(N822,[9]Pagos!$C$2:$D$353,2,FALSE)</f>
        <v>1250000</v>
      </c>
      <c r="Y822" s="295">
        <f t="shared" si="46"/>
        <v>10000000</v>
      </c>
      <c r="Z822" s="296">
        <f t="shared" si="47"/>
        <v>0.1111111111111111</v>
      </c>
      <c r="AA822" s="85"/>
      <c r="AB822" s="85" t="s">
        <v>8760</v>
      </c>
      <c r="AC822" s="290" t="s">
        <v>196</v>
      </c>
      <c r="AD822" s="290" t="s">
        <v>196</v>
      </c>
      <c r="AE822" s="303"/>
      <c r="AF822" s="310" t="str">
        <f>VLOOKUP(E822,[10]Hoja1!$D$3:$E$327,2,FALSE)</f>
        <v>https://community.secop.gov.co/Public/Tendering/OpportunityDetail/Index?noticeUID=CO1.NTC.4767687&amp;isFromPublicArea=True&amp;isModal=true&amp;asPopupView=true</v>
      </c>
      <c r="AG822" s="290" t="s">
        <v>192</v>
      </c>
      <c r="AH822" s="290" t="s">
        <v>192</v>
      </c>
    </row>
    <row r="823" spans="1:34" s="297" customFormat="1" ht="15" customHeight="1" x14ac:dyDescent="0.2">
      <c r="A823" s="289">
        <v>891780111</v>
      </c>
      <c r="B823" s="289" t="s">
        <v>54</v>
      </c>
      <c r="C823" s="290" t="s">
        <v>56</v>
      </c>
      <c r="D823" s="289" t="s">
        <v>60</v>
      </c>
      <c r="E823" s="290" t="s">
        <v>9240</v>
      </c>
      <c r="F823" s="289" t="s">
        <v>61</v>
      </c>
      <c r="G823" s="85" t="s">
        <v>63</v>
      </c>
      <c r="H823" s="85" t="s">
        <v>73</v>
      </c>
      <c r="I823" s="237">
        <v>16650000</v>
      </c>
      <c r="J823" s="290"/>
      <c r="K823" s="291"/>
      <c r="L823" s="291"/>
      <c r="M823" s="292">
        <f t="shared" si="45"/>
        <v>16650000</v>
      </c>
      <c r="N823" s="85">
        <v>57442105</v>
      </c>
      <c r="O823" s="85" t="s">
        <v>1998</v>
      </c>
      <c r="P823" s="85" t="s">
        <v>9241</v>
      </c>
      <c r="Q823" s="309">
        <f t="shared" si="51"/>
        <v>45125</v>
      </c>
      <c r="R823" s="309">
        <f t="shared" si="51"/>
        <v>45125</v>
      </c>
      <c r="S823" s="309">
        <f t="shared" si="49"/>
        <v>45260</v>
      </c>
      <c r="T823" s="293"/>
      <c r="U823" s="293"/>
      <c r="V823" s="293"/>
      <c r="W823" s="294"/>
      <c r="X823" s="237">
        <f>VLOOKUP(N823,[9]Pagos!$C$2:$D$353,2,FALSE)</f>
        <v>1850000</v>
      </c>
      <c r="Y823" s="295">
        <f t="shared" si="46"/>
        <v>14800000</v>
      </c>
      <c r="Z823" s="296">
        <f t="shared" si="47"/>
        <v>0.1111111111111111</v>
      </c>
      <c r="AA823" s="85"/>
      <c r="AB823" s="85" t="s">
        <v>8760</v>
      </c>
      <c r="AC823" s="290" t="s">
        <v>196</v>
      </c>
      <c r="AD823" s="290" t="s">
        <v>196</v>
      </c>
      <c r="AE823" s="303"/>
      <c r="AF823" s="310" t="str">
        <f>VLOOKUP(E823,[10]Hoja1!$D$3:$E$327,2,FALSE)</f>
        <v>https://community.secop.gov.co/Public/Tendering/OpportunityDetail/Index?noticeUID=CO1.NTC.4768253&amp;isFromPublicArea=True&amp;isModal=true&amp;asPopupView=true</v>
      </c>
      <c r="AG823" s="290" t="s">
        <v>192</v>
      </c>
      <c r="AH823" s="290" t="s">
        <v>192</v>
      </c>
    </row>
    <row r="824" spans="1:34" s="297" customFormat="1" ht="15" customHeight="1" x14ac:dyDescent="0.2">
      <c r="A824" s="289">
        <v>891780111</v>
      </c>
      <c r="B824" s="289" t="s">
        <v>54</v>
      </c>
      <c r="C824" s="290" t="s">
        <v>56</v>
      </c>
      <c r="D824" s="289" t="s">
        <v>60</v>
      </c>
      <c r="E824" s="290" t="s">
        <v>9242</v>
      </c>
      <c r="F824" s="289" t="s">
        <v>61</v>
      </c>
      <c r="G824" s="85" t="s">
        <v>63</v>
      </c>
      <c r="H824" s="85" t="s">
        <v>73</v>
      </c>
      <c r="I824" s="237">
        <v>14400000</v>
      </c>
      <c r="J824" s="290">
        <v>1</v>
      </c>
      <c r="K824" s="291">
        <v>2000000</v>
      </c>
      <c r="L824" s="291"/>
      <c r="M824" s="292">
        <f t="shared" si="45"/>
        <v>16400000</v>
      </c>
      <c r="N824" s="85">
        <v>84455243</v>
      </c>
      <c r="O824" s="85" t="s">
        <v>2068</v>
      </c>
      <c r="P824" s="85" t="s">
        <v>9243</v>
      </c>
      <c r="Q824" s="309">
        <f t="shared" si="51"/>
        <v>45125</v>
      </c>
      <c r="R824" s="309">
        <f t="shared" si="51"/>
        <v>45125</v>
      </c>
      <c r="S824" s="309">
        <f t="shared" si="49"/>
        <v>45260</v>
      </c>
      <c r="T824" s="293"/>
      <c r="U824" s="293"/>
      <c r="V824" s="293"/>
      <c r="W824" s="294"/>
      <c r="X824" s="237">
        <f>VLOOKUP(N824,[9]Pagos!$C$2:$D$353,2,FALSE)</f>
        <v>1600000</v>
      </c>
      <c r="Y824" s="295">
        <f t="shared" si="46"/>
        <v>14800000</v>
      </c>
      <c r="Z824" s="296">
        <f t="shared" si="47"/>
        <v>9.7560975609756101E-2</v>
      </c>
      <c r="AA824" s="85"/>
      <c r="AB824" s="85" t="s">
        <v>8760</v>
      </c>
      <c r="AC824" s="290" t="s">
        <v>196</v>
      </c>
      <c r="AD824" s="290" t="s">
        <v>196</v>
      </c>
      <c r="AE824" s="303"/>
      <c r="AF824" s="310" t="str">
        <f>VLOOKUP(E824,[10]Hoja1!$D$3:$E$327,2,FALSE)</f>
        <v>https://community.secop.gov.co/Public/Tendering/OpportunityDetail/Index?noticeUID=CO1.NTC.4768472&amp;isFromPublicArea=True&amp;isModal=true&amp;asPopupView=true</v>
      </c>
      <c r="AG824" s="290" t="s">
        <v>192</v>
      </c>
      <c r="AH824" s="290" t="s">
        <v>192</v>
      </c>
    </row>
    <row r="825" spans="1:34" s="297" customFormat="1" ht="15" customHeight="1" x14ac:dyDescent="0.2">
      <c r="A825" s="289">
        <v>891780111</v>
      </c>
      <c r="B825" s="289" t="s">
        <v>54</v>
      </c>
      <c r="C825" s="290" t="s">
        <v>56</v>
      </c>
      <c r="D825" s="289" t="s">
        <v>60</v>
      </c>
      <c r="E825" s="290" t="s">
        <v>9244</v>
      </c>
      <c r="F825" s="289" t="s">
        <v>61</v>
      </c>
      <c r="G825" s="85" t="s">
        <v>63</v>
      </c>
      <c r="H825" s="85" t="s">
        <v>73</v>
      </c>
      <c r="I825" s="237">
        <v>9900000</v>
      </c>
      <c r="J825" s="290"/>
      <c r="K825" s="291"/>
      <c r="L825" s="291"/>
      <c r="M825" s="292">
        <f t="shared" si="45"/>
        <v>9900000</v>
      </c>
      <c r="N825" s="85">
        <v>57434959</v>
      </c>
      <c r="O825" s="85" t="s">
        <v>7426</v>
      </c>
      <c r="P825" s="85" t="s">
        <v>9245</v>
      </c>
      <c r="Q825" s="309">
        <f t="shared" si="51"/>
        <v>45125</v>
      </c>
      <c r="R825" s="309">
        <f t="shared" si="51"/>
        <v>45125</v>
      </c>
      <c r="S825" s="309">
        <f t="shared" si="49"/>
        <v>45260</v>
      </c>
      <c r="T825" s="293"/>
      <c r="U825" s="293"/>
      <c r="V825" s="293"/>
      <c r="W825" s="294"/>
      <c r="X825" s="237">
        <f>VLOOKUP(N825,[9]Pagos!$C$2:$D$353,2,FALSE)</f>
        <v>1100000</v>
      </c>
      <c r="Y825" s="295">
        <f t="shared" si="46"/>
        <v>8800000</v>
      </c>
      <c r="Z825" s="296">
        <f t="shared" si="47"/>
        <v>0.1111111111111111</v>
      </c>
      <c r="AA825" s="85">
        <v>26668285</v>
      </c>
      <c r="AB825" s="85" t="s">
        <v>5038</v>
      </c>
      <c r="AC825" s="290" t="s">
        <v>196</v>
      </c>
      <c r="AD825" s="290" t="s">
        <v>196</v>
      </c>
      <c r="AE825" s="303"/>
      <c r="AF825" s="310" t="str">
        <f>VLOOKUP(E825,[10]Hoja1!$D$3:$E$327,2,FALSE)</f>
        <v>https://community.secop.gov.co/Public/Tendering/OpportunityDetail/Index?noticeUID=CO1.NTC.4768294&amp;isFromPublicArea=True&amp;isModal=true&amp;asPopupView=true</v>
      </c>
      <c r="AG825" s="290" t="s">
        <v>192</v>
      </c>
      <c r="AH825" s="290" t="s">
        <v>192</v>
      </c>
    </row>
    <row r="826" spans="1:34" s="297" customFormat="1" ht="15" customHeight="1" x14ac:dyDescent="0.2">
      <c r="A826" s="289">
        <v>891780111</v>
      </c>
      <c r="B826" s="289" t="s">
        <v>54</v>
      </c>
      <c r="C826" s="290" t="s">
        <v>56</v>
      </c>
      <c r="D826" s="289" t="s">
        <v>60</v>
      </c>
      <c r="E826" s="290" t="s">
        <v>9246</v>
      </c>
      <c r="F826" s="289" t="s">
        <v>61</v>
      </c>
      <c r="G826" s="85" t="s">
        <v>63</v>
      </c>
      <c r="H826" s="85" t="s">
        <v>73</v>
      </c>
      <c r="I826" s="237">
        <v>19350000</v>
      </c>
      <c r="J826" s="290"/>
      <c r="K826" s="291"/>
      <c r="L826" s="291"/>
      <c r="M826" s="292">
        <f t="shared" si="45"/>
        <v>19350000</v>
      </c>
      <c r="N826" s="85">
        <v>57466190</v>
      </c>
      <c r="O826" s="85" t="s">
        <v>8088</v>
      </c>
      <c r="P826" s="85" t="s">
        <v>9247</v>
      </c>
      <c r="Q826" s="309">
        <f t="shared" si="51"/>
        <v>45125</v>
      </c>
      <c r="R826" s="309">
        <f t="shared" si="51"/>
        <v>45125</v>
      </c>
      <c r="S826" s="309">
        <f t="shared" si="49"/>
        <v>45260</v>
      </c>
      <c r="T826" s="293"/>
      <c r="U826" s="293"/>
      <c r="V826" s="293"/>
      <c r="W826" s="294"/>
      <c r="X826" s="237">
        <f>VLOOKUP(N826,[9]Pagos!$C$2:$D$353,2,FALSE)</f>
        <v>2150000</v>
      </c>
      <c r="Y826" s="295">
        <f t="shared" si="46"/>
        <v>17200000</v>
      </c>
      <c r="Z826" s="296">
        <f t="shared" si="47"/>
        <v>0.1111111111111111</v>
      </c>
      <c r="AA826" s="85"/>
      <c r="AB826" s="85" t="s">
        <v>9081</v>
      </c>
      <c r="AC826" s="290" t="s">
        <v>196</v>
      </c>
      <c r="AD826" s="290" t="s">
        <v>196</v>
      </c>
      <c r="AE826" s="303"/>
      <c r="AF826" s="310" t="str">
        <f>VLOOKUP(E826,[10]Hoja1!$D$3:$E$327,2,FALSE)</f>
        <v>https://community.secop.gov.co/Public/Tendering/OpportunityDetail/Index?noticeUID=CO1.NTC.4769022&amp;isFromPublicArea=True&amp;isModal=true&amp;asPopupView=true</v>
      </c>
      <c r="AG826" s="290" t="s">
        <v>192</v>
      </c>
      <c r="AH826" s="290" t="s">
        <v>192</v>
      </c>
    </row>
    <row r="827" spans="1:34" s="297" customFormat="1" ht="15" customHeight="1" x14ac:dyDescent="0.2">
      <c r="A827" s="289">
        <v>891780111</v>
      </c>
      <c r="B827" s="289" t="s">
        <v>54</v>
      </c>
      <c r="C827" s="290" t="s">
        <v>56</v>
      </c>
      <c r="D827" s="289" t="s">
        <v>60</v>
      </c>
      <c r="E827" s="290" t="s">
        <v>9248</v>
      </c>
      <c r="F827" s="289" t="s">
        <v>61</v>
      </c>
      <c r="G827" s="85" t="s">
        <v>63</v>
      </c>
      <c r="H827" s="85" t="s">
        <v>73</v>
      </c>
      <c r="I827" s="237">
        <v>12600000</v>
      </c>
      <c r="J827" s="290"/>
      <c r="K827" s="291"/>
      <c r="L827" s="291"/>
      <c r="M827" s="292">
        <f t="shared" si="45"/>
        <v>12600000</v>
      </c>
      <c r="N827" s="85">
        <v>84452171</v>
      </c>
      <c r="O827" s="85" t="s">
        <v>9249</v>
      </c>
      <c r="P827" s="85" t="s">
        <v>9250</v>
      </c>
      <c r="Q827" s="309">
        <f t="shared" si="51"/>
        <v>45125</v>
      </c>
      <c r="R827" s="309">
        <f t="shared" si="51"/>
        <v>45125</v>
      </c>
      <c r="S827" s="309">
        <f t="shared" si="49"/>
        <v>45260</v>
      </c>
      <c r="T827" s="293"/>
      <c r="U827" s="293"/>
      <c r="V827" s="293"/>
      <c r="W827" s="294"/>
      <c r="X827" s="237">
        <f>VLOOKUP(N827,[9]Pagos!$C$2:$D$353,2,FALSE)</f>
        <v>1400000</v>
      </c>
      <c r="Y827" s="295">
        <f t="shared" si="46"/>
        <v>11200000</v>
      </c>
      <c r="Z827" s="296">
        <f t="shared" si="47"/>
        <v>0.1111111111111111</v>
      </c>
      <c r="AA827" s="85"/>
      <c r="AB827" s="85" t="s">
        <v>9081</v>
      </c>
      <c r="AC827" s="290" t="s">
        <v>196</v>
      </c>
      <c r="AD827" s="290" t="s">
        <v>196</v>
      </c>
      <c r="AE827" s="303"/>
      <c r="AF827" s="310" t="str">
        <f>VLOOKUP(E827,[10]Hoja1!$D$3:$E$327,2,FALSE)</f>
        <v>https://community.secop.gov.co/Public/Tendering/OpportunityDetail/Index?noticeUID=CO1.NTC.4768757&amp;isFromPublicArea=True&amp;isModal=true&amp;asPopupView=true</v>
      </c>
      <c r="AG827" s="290" t="s">
        <v>192</v>
      </c>
      <c r="AH827" s="290" t="s">
        <v>192</v>
      </c>
    </row>
    <row r="828" spans="1:34" s="297" customFormat="1" ht="15" customHeight="1" x14ac:dyDescent="0.2">
      <c r="A828" s="289">
        <v>891780111</v>
      </c>
      <c r="B828" s="289" t="s">
        <v>54</v>
      </c>
      <c r="C828" s="290" t="s">
        <v>56</v>
      </c>
      <c r="D828" s="289" t="s">
        <v>60</v>
      </c>
      <c r="E828" s="290" t="s">
        <v>9251</v>
      </c>
      <c r="F828" s="289" t="s">
        <v>61</v>
      </c>
      <c r="G828" s="85" t="s">
        <v>63</v>
      </c>
      <c r="H828" s="85" t="s">
        <v>73</v>
      </c>
      <c r="I828" s="237">
        <v>18000000</v>
      </c>
      <c r="J828" s="290"/>
      <c r="K828" s="291"/>
      <c r="L828" s="291"/>
      <c r="M828" s="292">
        <f t="shared" si="45"/>
        <v>18000000</v>
      </c>
      <c r="N828" s="85">
        <v>36535996</v>
      </c>
      <c r="O828" s="85" t="s">
        <v>8100</v>
      </c>
      <c r="P828" s="85" t="s">
        <v>9247</v>
      </c>
      <c r="Q828" s="309">
        <f t="shared" si="51"/>
        <v>45125</v>
      </c>
      <c r="R828" s="309">
        <f t="shared" si="51"/>
        <v>45125</v>
      </c>
      <c r="S828" s="309">
        <f t="shared" si="49"/>
        <v>45260</v>
      </c>
      <c r="T828" s="293"/>
      <c r="U828" s="293"/>
      <c r="V828" s="293"/>
      <c r="W828" s="294"/>
      <c r="X828" s="237">
        <f>VLOOKUP(N828,[9]Pagos!$C$2:$D$353,2,FALSE)</f>
        <v>2000000</v>
      </c>
      <c r="Y828" s="295">
        <f t="shared" si="46"/>
        <v>16000000</v>
      </c>
      <c r="Z828" s="296">
        <f t="shared" si="47"/>
        <v>0.1111111111111111</v>
      </c>
      <c r="AA828" s="85"/>
      <c r="AB828" s="85" t="s">
        <v>9081</v>
      </c>
      <c r="AC828" s="290" t="s">
        <v>196</v>
      </c>
      <c r="AD828" s="290" t="s">
        <v>196</v>
      </c>
      <c r="AE828" s="303"/>
      <c r="AF828" s="310" t="str">
        <f>VLOOKUP(E828,[10]Hoja1!$D$3:$E$327,2,FALSE)</f>
        <v>https://community.secop.gov.co/Public/Tendering/OpportunityDetail/Index?noticeUID=CO1.NTC.4767007&amp;isFromPublicArea=True&amp;isModal=true&amp;asPopupView=true</v>
      </c>
      <c r="AG828" s="290" t="s">
        <v>192</v>
      </c>
      <c r="AH828" s="290" t="s">
        <v>192</v>
      </c>
    </row>
    <row r="829" spans="1:34" s="297" customFormat="1" ht="15" customHeight="1" x14ac:dyDescent="0.2">
      <c r="A829" s="289">
        <v>891780111</v>
      </c>
      <c r="B829" s="289" t="s">
        <v>54</v>
      </c>
      <c r="C829" s="290" t="s">
        <v>56</v>
      </c>
      <c r="D829" s="289" t="s">
        <v>60</v>
      </c>
      <c r="E829" s="290" t="s">
        <v>9252</v>
      </c>
      <c r="F829" s="289" t="s">
        <v>61</v>
      </c>
      <c r="G829" s="85" t="s">
        <v>63</v>
      </c>
      <c r="H829" s="85" t="s">
        <v>73</v>
      </c>
      <c r="I829" s="237">
        <v>16650000</v>
      </c>
      <c r="J829" s="290"/>
      <c r="K829" s="291"/>
      <c r="L829" s="291"/>
      <c r="M829" s="292">
        <f t="shared" si="45"/>
        <v>16650000</v>
      </c>
      <c r="N829" s="85">
        <v>57443718</v>
      </c>
      <c r="O829" s="85" t="s">
        <v>2043</v>
      </c>
      <c r="P829" s="85" t="s">
        <v>9253</v>
      </c>
      <c r="Q829" s="309">
        <f t="shared" si="51"/>
        <v>45125</v>
      </c>
      <c r="R829" s="309">
        <f t="shared" si="51"/>
        <v>45125</v>
      </c>
      <c r="S829" s="309">
        <f t="shared" si="49"/>
        <v>45260</v>
      </c>
      <c r="T829" s="293"/>
      <c r="U829" s="293"/>
      <c r="V829" s="293"/>
      <c r="W829" s="294"/>
      <c r="X829" s="237">
        <f>VLOOKUP(N829,[9]Pagos!$C$2:$D$353,2,FALSE)</f>
        <v>1850000</v>
      </c>
      <c r="Y829" s="295">
        <f t="shared" si="46"/>
        <v>14800000</v>
      </c>
      <c r="Z829" s="296">
        <f t="shared" si="47"/>
        <v>0.1111111111111111</v>
      </c>
      <c r="AA829" s="85"/>
      <c r="AB829" s="85" t="s">
        <v>8760</v>
      </c>
      <c r="AC829" s="290" t="s">
        <v>196</v>
      </c>
      <c r="AD829" s="290" t="s">
        <v>196</v>
      </c>
      <c r="AE829" s="303"/>
      <c r="AF829" s="310" t="str">
        <f>VLOOKUP(E829,[10]Hoja1!$D$3:$E$327,2,FALSE)</f>
        <v>https://community.secop.gov.co/Public/Tendering/OpportunityDetail/Index?noticeUID=CO1.NTC.4767262&amp;isFromPublicArea=True&amp;isModal=true&amp;asPopupView=true</v>
      </c>
      <c r="AG829" s="290" t="s">
        <v>192</v>
      </c>
      <c r="AH829" s="290" t="s">
        <v>192</v>
      </c>
    </row>
    <row r="830" spans="1:34" s="297" customFormat="1" ht="15" customHeight="1" x14ac:dyDescent="0.2">
      <c r="A830" s="289">
        <v>891780111</v>
      </c>
      <c r="B830" s="289" t="s">
        <v>54</v>
      </c>
      <c r="C830" s="290" t="s">
        <v>56</v>
      </c>
      <c r="D830" s="289" t="s">
        <v>60</v>
      </c>
      <c r="E830" s="290" t="s">
        <v>9254</v>
      </c>
      <c r="F830" s="289" t="s">
        <v>61</v>
      </c>
      <c r="G830" s="85" t="s">
        <v>63</v>
      </c>
      <c r="H830" s="85" t="s">
        <v>73</v>
      </c>
      <c r="I830" s="237">
        <v>8550000</v>
      </c>
      <c r="J830" s="290"/>
      <c r="K830" s="291"/>
      <c r="L830" s="291"/>
      <c r="M830" s="292">
        <f t="shared" si="45"/>
        <v>8550000</v>
      </c>
      <c r="N830" s="85">
        <v>1079916249</v>
      </c>
      <c r="O830" s="85" t="s">
        <v>7002</v>
      </c>
      <c r="P830" s="85" t="s">
        <v>9255</v>
      </c>
      <c r="Q830" s="309">
        <f t="shared" si="51"/>
        <v>45125</v>
      </c>
      <c r="R830" s="309">
        <f t="shared" si="51"/>
        <v>45125</v>
      </c>
      <c r="S830" s="309">
        <f t="shared" si="49"/>
        <v>45260</v>
      </c>
      <c r="T830" s="293"/>
      <c r="U830" s="293"/>
      <c r="V830" s="293"/>
      <c r="W830" s="294"/>
      <c r="X830" s="237">
        <f>VLOOKUP(N830,[9]Pagos!$C$2:$D$353,2,FALSE)</f>
        <v>950000</v>
      </c>
      <c r="Y830" s="295">
        <f t="shared" si="46"/>
        <v>7600000</v>
      </c>
      <c r="Z830" s="296">
        <f t="shared" si="47"/>
        <v>0.1111111111111111</v>
      </c>
      <c r="AA830" s="85">
        <v>26668285</v>
      </c>
      <c r="AB830" s="85" t="s">
        <v>5038</v>
      </c>
      <c r="AC830" s="290" t="s">
        <v>196</v>
      </c>
      <c r="AD830" s="290" t="s">
        <v>196</v>
      </c>
      <c r="AE830" s="303"/>
      <c r="AF830" s="310" t="str">
        <f>VLOOKUP(E830,[10]Hoja1!$D$3:$E$327,2,FALSE)</f>
        <v>https://community.secop.gov.co/Public/Tendering/OpportunityDetail/Index?noticeUID=CO1.NTC.4767464&amp;isFromPublicArea=True&amp;isModal=true&amp;asPopupView=true</v>
      </c>
      <c r="AG830" s="290" t="s">
        <v>192</v>
      </c>
      <c r="AH830" s="290" t="s">
        <v>192</v>
      </c>
    </row>
    <row r="831" spans="1:34" s="297" customFormat="1" ht="15" customHeight="1" x14ac:dyDescent="0.2">
      <c r="A831" s="289">
        <v>891780111</v>
      </c>
      <c r="B831" s="289" t="s">
        <v>54</v>
      </c>
      <c r="C831" s="290" t="s">
        <v>56</v>
      </c>
      <c r="D831" s="289" t="s">
        <v>60</v>
      </c>
      <c r="E831" s="290" t="s">
        <v>9256</v>
      </c>
      <c r="F831" s="289" t="s">
        <v>61</v>
      </c>
      <c r="G831" s="85" t="s">
        <v>63</v>
      </c>
      <c r="H831" s="85" t="s">
        <v>73</v>
      </c>
      <c r="I831" s="237">
        <v>13950000</v>
      </c>
      <c r="J831" s="290"/>
      <c r="K831" s="291"/>
      <c r="L831" s="291"/>
      <c r="M831" s="292">
        <f t="shared" si="45"/>
        <v>13950000</v>
      </c>
      <c r="N831" s="85">
        <v>1083455954</v>
      </c>
      <c r="O831" s="85" t="s">
        <v>7663</v>
      </c>
      <c r="P831" s="85" t="s">
        <v>9189</v>
      </c>
      <c r="Q831" s="309">
        <f t="shared" si="51"/>
        <v>45125</v>
      </c>
      <c r="R831" s="309">
        <f t="shared" si="51"/>
        <v>45125</v>
      </c>
      <c r="S831" s="309">
        <f t="shared" si="49"/>
        <v>45260</v>
      </c>
      <c r="T831" s="293"/>
      <c r="U831" s="293"/>
      <c r="V831" s="293"/>
      <c r="W831" s="294"/>
      <c r="X831" s="237">
        <f>VLOOKUP(N831,[9]Pagos!$C$2:$D$353,2,FALSE)</f>
        <v>1550000</v>
      </c>
      <c r="Y831" s="295">
        <f t="shared" si="46"/>
        <v>12400000</v>
      </c>
      <c r="Z831" s="296">
        <f t="shared" si="47"/>
        <v>0.1111111111111111</v>
      </c>
      <c r="AA831" s="85"/>
      <c r="AB831" s="85" t="s">
        <v>9081</v>
      </c>
      <c r="AC831" s="290" t="s">
        <v>196</v>
      </c>
      <c r="AD831" s="290" t="s">
        <v>196</v>
      </c>
      <c r="AE831" s="303"/>
      <c r="AF831" s="310" t="str">
        <f>VLOOKUP(E831,[10]Hoja1!$D$3:$E$327,2,FALSE)</f>
        <v>https://community.secop.gov.co/Public/Tendering/OpportunityDetail/Index?noticeUID=CO1.NTC.4768146&amp;isFromPublicArea=True&amp;isModal=true&amp;asPopupView=true</v>
      </c>
      <c r="AG831" s="290" t="s">
        <v>192</v>
      </c>
      <c r="AH831" s="290" t="s">
        <v>192</v>
      </c>
    </row>
    <row r="832" spans="1:34" s="297" customFormat="1" ht="15" customHeight="1" x14ac:dyDescent="0.2">
      <c r="A832" s="289">
        <v>891780111</v>
      </c>
      <c r="B832" s="289" t="s">
        <v>54</v>
      </c>
      <c r="C832" s="290" t="s">
        <v>56</v>
      </c>
      <c r="D832" s="289" t="s">
        <v>60</v>
      </c>
      <c r="E832" s="290" t="s">
        <v>9257</v>
      </c>
      <c r="F832" s="289" t="s">
        <v>61</v>
      </c>
      <c r="G832" s="85" t="s">
        <v>63</v>
      </c>
      <c r="H832" s="85" t="s">
        <v>73</v>
      </c>
      <c r="I832" s="237">
        <v>13950000</v>
      </c>
      <c r="J832" s="290"/>
      <c r="K832" s="291"/>
      <c r="L832" s="291"/>
      <c r="M832" s="292">
        <f t="shared" si="45"/>
        <v>13950000</v>
      </c>
      <c r="N832" s="85">
        <v>1004360507</v>
      </c>
      <c r="O832" s="85" t="s">
        <v>8126</v>
      </c>
      <c r="P832" s="85" t="s">
        <v>9258</v>
      </c>
      <c r="Q832" s="309">
        <f t="shared" si="51"/>
        <v>45125</v>
      </c>
      <c r="R832" s="309">
        <f t="shared" si="51"/>
        <v>45125</v>
      </c>
      <c r="S832" s="309">
        <f t="shared" si="49"/>
        <v>45260</v>
      </c>
      <c r="T832" s="293"/>
      <c r="U832" s="293"/>
      <c r="V832" s="293"/>
      <c r="W832" s="294"/>
      <c r="X832" s="237">
        <f>VLOOKUP(N832,[9]Pagos!$C$2:$D$353,2,FALSE)</f>
        <v>1550000</v>
      </c>
      <c r="Y832" s="295">
        <f t="shared" si="46"/>
        <v>12400000</v>
      </c>
      <c r="Z832" s="296">
        <f t="shared" si="47"/>
        <v>0.1111111111111111</v>
      </c>
      <c r="AA832" s="85"/>
      <c r="AB832" s="85" t="s">
        <v>9081</v>
      </c>
      <c r="AC832" s="290" t="s">
        <v>196</v>
      </c>
      <c r="AD832" s="290" t="s">
        <v>196</v>
      </c>
      <c r="AE832" s="303"/>
      <c r="AF832" s="310" t="str">
        <f>VLOOKUP(E832,[10]Hoja1!$D$3:$E$327,2,FALSE)</f>
        <v>https://community.secop.gov.co/Public/Tendering/OpportunityDetail/Index?noticeUID=CO1.NTC.4768416&amp;isFromPublicArea=True&amp;isModal=true&amp;asPopupView=true</v>
      </c>
      <c r="AG832" s="290" t="s">
        <v>192</v>
      </c>
      <c r="AH832" s="290" t="s">
        <v>192</v>
      </c>
    </row>
    <row r="833" spans="1:34" s="297" customFormat="1" ht="15" customHeight="1" x14ac:dyDescent="0.2">
      <c r="A833" s="289">
        <v>891780111</v>
      </c>
      <c r="B833" s="289" t="s">
        <v>54</v>
      </c>
      <c r="C833" s="290" t="s">
        <v>56</v>
      </c>
      <c r="D833" s="289" t="s">
        <v>60</v>
      </c>
      <c r="E833" s="290" t="s">
        <v>9259</v>
      </c>
      <c r="F833" s="289" t="s">
        <v>61</v>
      </c>
      <c r="G833" s="85" t="s">
        <v>63</v>
      </c>
      <c r="H833" s="85" t="s">
        <v>73</v>
      </c>
      <c r="I833" s="237">
        <v>12600000</v>
      </c>
      <c r="J833" s="290"/>
      <c r="K833" s="291"/>
      <c r="L833" s="291"/>
      <c r="M833" s="292">
        <f t="shared" si="45"/>
        <v>12600000</v>
      </c>
      <c r="N833" s="85">
        <v>36720698</v>
      </c>
      <c r="O833" s="85" t="s">
        <v>6599</v>
      </c>
      <c r="P833" s="85" t="s">
        <v>9260</v>
      </c>
      <c r="Q833" s="309">
        <f t="shared" si="51"/>
        <v>45125</v>
      </c>
      <c r="R833" s="309">
        <f t="shared" si="51"/>
        <v>45125</v>
      </c>
      <c r="S833" s="309">
        <f t="shared" si="49"/>
        <v>45260</v>
      </c>
      <c r="T833" s="293"/>
      <c r="U833" s="293"/>
      <c r="V833" s="293"/>
      <c r="W833" s="294"/>
      <c r="X833" s="237">
        <f>VLOOKUP(N833,[9]Pagos!$C$2:$D$353,2,FALSE)</f>
        <v>1400000</v>
      </c>
      <c r="Y833" s="295">
        <f t="shared" si="46"/>
        <v>11200000</v>
      </c>
      <c r="Z833" s="296">
        <f t="shared" si="47"/>
        <v>0.1111111111111111</v>
      </c>
      <c r="AA833" s="85">
        <v>84452087</v>
      </c>
      <c r="AB833" s="85" t="s">
        <v>6601</v>
      </c>
      <c r="AC833" s="290" t="s">
        <v>196</v>
      </c>
      <c r="AD833" s="290" t="s">
        <v>196</v>
      </c>
      <c r="AE833" s="303"/>
      <c r="AF833" s="310" t="str">
        <f>VLOOKUP(E833,[10]Hoja1!$D$3:$E$327,2,FALSE)</f>
        <v>https://community.secop.gov.co/Public/Tendering/OpportunityDetail/Index?noticeUID=CO1.NTC.4769018&amp;isFromPublicArea=True&amp;isModal=true&amp;asPopupView=true</v>
      </c>
      <c r="AG833" s="290" t="s">
        <v>192</v>
      </c>
      <c r="AH833" s="290" t="s">
        <v>192</v>
      </c>
    </row>
    <row r="834" spans="1:34" s="297" customFormat="1" ht="15" customHeight="1" x14ac:dyDescent="0.2">
      <c r="A834" s="289">
        <v>891780111</v>
      </c>
      <c r="B834" s="289" t="s">
        <v>54</v>
      </c>
      <c r="C834" s="290" t="s">
        <v>56</v>
      </c>
      <c r="D834" s="289" t="s">
        <v>60</v>
      </c>
      <c r="E834" s="290" t="s">
        <v>9261</v>
      </c>
      <c r="F834" s="289" t="s">
        <v>61</v>
      </c>
      <c r="G834" s="85" t="s">
        <v>63</v>
      </c>
      <c r="H834" s="85" t="s">
        <v>73</v>
      </c>
      <c r="I834" s="237">
        <v>15300000</v>
      </c>
      <c r="J834" s="290"/>
      <c r="K834" s="291"/>
      <c r="L834" s="291"/>
      <c r="M834" s="292">
        <f t="shared" si="45"/>
        <v>15300000</v>
      </c>
      <c r="N834" s="85">
        <v>1082886956</v>
      </c>
      <c r="O834" s="85" t="s">
        <v>7507</v>
      </c>
      <c r="P834" s="85" t="s">
        <v>9262</v>
      </c>
      <c r="Q834" s="309">
        <f t="shared" si="51"/>
        <v>45125</v>
      </c>
      <c r="R834" s="309">
        <f t="shared" si="51"/>
        <v>45125</v>
      </c>
      <c r="S834" s="309">
        <f t="shared" si="49"/>
        <v>45260</v>
      </c>
      <c r="T834" s="293"/>
      <c r="U834" s="293"/>
      <c r="V834" s="293"/>
      <c r="W834" s="294"/>
      <c r="X834" s="237">
        <f>VLOOKUP(N834,[9]Pagos!$C$2:$D$353,2,FALSE)</f>
        <v>1700000</v>
      </c>
      <c r="Y834" s="295">
        <f t="shared" si="46"/>
        <v>13600000</v>
      </c>
      <c r="Z834" s="296">
        <f t="shared" si="47"/>
        <v>0.1111111111111111</v>
      </c>
      <c r="AA834" s="85">
        <v>26668285</v>
      </c>
      <c r="AB834" s="85" t="s">
        <v>5038</v>
      </c>
      <c r="AC834" s="290" t="s">
        <v>196</v>
      </c>
      <c r="AD834" s="290" t="s">
        <v>196</v>
      </c>
      <c r="AE834" s="303"/>
      <c r="AF834" s="310" t="str">
        <f>VLOOKUP(E834,[10]Hoja1!$D$3:$E$327,2,FALSE)</f>
        <v>https://community.secop.gov.co/Public/Tendering/OpportunityDetail/Index?noticeUID=CO1.NTC.4766748&amp;isFromPublicArea=True&amp;isModal=true&amp;asPopupView=true</v>
      </c>
      <c r="AG834" s="290" t="s">
        <v>192</v>
      </c>
      <c r="AH834" s="290" t="s">
        <v>192</v>
      </c>
    </row>
    <row r="835" spans="1:34" s="297" customFormat="1" ht="15" customHeight="1" x14ac:dyDescent="0.2">
      <c r="A835" s="289">
        <v>891780111</v>
      </c>
      <c r="B835" s="289" t="s">
        <v>54</v>
      </c>
      <c r="C835" s="290" t="s">
        <v>56</v>
      </c>
      <c r="D835" s="289" t="s">
        <v>60</v>
      </c>
      <c r="E835" s="290" t="s">
        <v>9263</v>
      </c>
      <c r="F835" s="289" t="s">
        <v>61</v>
      </c>
      <c r="G835" s="85" t="s">
        <v>63</v>
      </c>
      <c r="H835" s="85" t="s">
        <v>73</v>
      </c>
      <c r="I835" s="237">
        <v>11250000</v>
      </c>
      <c r="J835" s="290"/>
      <c r="K835" s="291"/>
      <c r="L835" s="291"/>
      <c r="M835" s="292">
        <f t="shared" si="45"/>
        <v>11250000</v>
      </c>
      <c r="N835" s="85">
        <v>1082969436</v>
      </c>
      <c r="O835" s="85" t="s">
        <v>7655</v>
      </c>
      <c r="P835" s="85" t="s">
        <v>9264</v>
      </c>
      <c r="Q835" s="309">
        <f t="shared" si="51"/>
        <v>45125</v>
      </c>
      <c r="R835" s="309">
        <f t="shared" si="51"/>
        <v>45125</v>
      </c>
      <c r="S835" s="309">
        <f t="shared" si="49"/>
        <v>45260</v>
      </c>
      <c r="T835" s="293"/>
      <c r="U835" s="293"/>
      <c r="V835" s="293"/>
      <c r="W835" s="294"/>
      <c r="X835" s="237">
        <f>VLOOKUP(N835,[9]Pagos!$C$2:$D$353,2,FALSE)</f>
        <v>1250000</v>
      </c>
      <c r="Y835" s="295">
        <f t="shared" si="46"/>
        <v>10000000</v>
      </c>
      <c r="Z835" s="296">
        <f t="shared" si="47"/>
        <v>0.1111111111111111</v>
      </c>
      <c r="AA835" s="85">
        <v>36564011</v>
      </c>
      <c r="AB835" s="85" t="s">
        <v>6121</v>
      </c>
      <c r="AC835" s="290" t="s">
        <v>196</v>
      </c>
      <c r="AD835" s="290" t="s">
        <v>196</v>
      </c>
      <c r="AE835" s="303"/>
      <c r="AF835" s="310" t="str">
        <f>VLOOKUP(E835,[10]Hoja1!$D$3:$E$327,2,FALSE)</f>
        <v>https://community.secop.gov.co/Public/Tendering/OpportunityDetail/Index?noticeUID=CO1.NTC.4766935&amp;isFromPublicArea=True&amp;isModal=true&amp;asPopupView=true</v>
      </c>
      <c r="AG835" s="290" t="s">
        <v>192</v>
      </c>
      <c r="AH835" s="290" t="s">
        <v>192</v>
      </c>
    </row>
    <row r="836" spans="1:34" s="297" customFormat="1" ht="15" customHeight="1" x14ac:dyDescent="0.2">
      <c r="A836" s="289">
        <v>891780111</v>
      </c>
      <c r="B836" s="289" t="s">
        <v>54</v>
      </c>
      <c r="C836" s="290" t="s">
        <v>56</v>
      </c>
      <c r="D836" s="289" t="s">
        <v>60</v>
      </c>
      <c r="E836" s="290" t="s">
        <v>9265</v>
      </c>
      <c r="F836" s="289" t="s">
        <v>61</v>
      </c>
      <c r="G836" s="85" t="s">
        <v>63</v>
      </c>
      <c r="H836" s="85" t="s">
        <v>73</v>
      </c>
      <c r="I836" s="237">
        <v>8550000</v>
      </c>
      <c r="J836" s="290"/>
      <c r="K836" s="291"/>
      <c r="L836" s="291"/>
      <c r="M836" s="292">
        <f t="shared" si="45"/>
        <v>8550000</v>
      </c>
      <c r="N836" s="85">
        <v>36555376</v>
      </c>
      <c r="O836" s="85" t="s">
        <v>7094</v>
      </c>
      <c r="P836" s="85" t="s">
        <v>9266</v>
      </c>
      <c r="Q836" s="309">
        <f t="shared" ref="Q836:R841" si="52">DATE(2023,7,18)</f>
        <v>45125</v>
      </c>
      <c r="R836" s="309">
        <f t="shared" si="52"/>
        <v>45125</v>
      </c>
      <c r="S836" s="309">
        <f t="shared" si="49"/>
        <v>45260</v>
      </c>
      <c r="T836" s="293"/>
      <c r="U836" s="293"/>
      <c r="V836" s="293"/>
      <c r="W836" s="294"/>
      <c r="X836" s="237">
        <f>VLOOKUP(N836,[9]Pagos!$C$2:$D$353,2,FALSE)</f>
        <v>950000</v>
      </c>
      <c r="Y836" s="295">
        <f t="shared" si="46"/>
        <v>7600000</v>
      </c>
      <c r="Z836" s="296">
        <f t="shared" si="47"/>
        <v>0.1111111111111111</v>
      </c>
      <c r="AA836" s="85">
        <v>36564011</v>
      </c>
      <c r="AB836" s="85" t="s">
        <v>6121</v>
      </c>
      <c r="AC836" s="290" t="s">
        <v>196</v>
      </c>
      <c r="AD836" s="290" t="s">
        <v>196</v>
      </c>
      <c r="AE836" s="303"/>
      <c r="AF836" s="310" t="str">
        <f>VLOOKUP(E836,[10]Hoja1!$D$3:$E$327,2,FALSE)</f>
        <v>https://community.secop.gov.co/Public/Tendering/OpportunityDetail/Index?noticeUID=CO1.NTC.4768677&amp;isFromPublicArea=True&amp;isModal=true&amp;asPopupView=true</v>
      </c>
      <c r="AG836" s="290" t="s">
        <v>192</v>
      </c>
      <c r="AH836" s="290" t="s">
        <v>192</v>
      </c>
    </row>
    <row r="837" spans="1:34" s="297" customFormat="1" ht="15" customHeight="1" x14ac:dyDescent="0.2">
      <c r="A837" s="289">
        <v>891780111</v>
      </c>
      <c r="B837" s="289" t="s">
        <v>54</v>
      </c>
      <c r="C837" s="290" t="s">
        <v>56</v>
      </c>
      <c r="D837" s="289" t="s">
        <v>60</v>
      </c>
      <c r="E837" s="290" t="s">
        <v>9267</v>
      </c>
      <c r="F837" s="289" t="s">
        <v>61</v>
      </c>
      <c r="G837" s="85" t="s">
        <v>63</v>
      </c>
      <c r="H837" s="85" t="s">
        <v>73</v>
      </c>
      <c r="I837" s="237">
        <v>13950000</v>
      </c>
      <c r="J837" s="290"/>
      <c r="K837" s="291"/>
      <c r="L837" s="291"/>
      <c r="M837" s="292">
        <f t="shared" ref="M837:M900" si="53">I837+K837-L837</f>
        <v>13950000</v>
      </c>
      <c r="N837" s="85">
        <v>84450965</v>
      </c>
      <c r="O837" s="85" t="s">
        <v>6940</v>
      </c>
      <c r="P837" s="85" t="s">
        <v>9268</v>
      </c>
      <c r="Q837" s="309">
        <f t="shared" si="52"/>
        <v>45125</v>
      </c>
      <c r="R837" s="309">
        <f t="shared" si="52"/>
        <v>45125</v>
      </c>
      <c r="S837" s="309">
        <f t="shared" si="49"/>
        <v>45260</v>
      </c>
      <c r="T837" s="293"/>
      <c r="U837" s="293"/>
      <c r="V837" s="293"/>
      <c r="W837" s="294"/>
      <c r="X837" s="237">
        <f>VLOOKUP(N837,[9]Pagos!$C$2:$D$353,2,FALSE)</f>
        <v>1550000</v>
      </c>
      <c r="Y837" s="295">
        <f t="shared" ref="Y837:Y900" si="54">M837-X837</f>
        <v>12400000</v>
      </c>
      <c r="Z837" s="296">
        <f t="shared" ref="Z837:Z900" si="55">+(X837/M837)</f>
        <v>0.1111111111111111</v>
      </c>
      <c r="AA837" s="85">
        <v>26668285</v>
      </c>
      <c r="AB837" s="85" t="s">
        <v>5038</v>
      </c>
      <c r="AC837" s="290" t="s">
        <v>196</v>
      </c>
      <c r="AD837" s="290" t="s">
        <v>196</v>
      </c>
      <c r="AE837" s="303"/>
      <c r="AF837" s="310" t="str">
        <f>VLOOKUP(E837,[10]Hoja1!$D$3:$E$327,2,FALSE)</f>
        <v>https://community.secop.gov.co/Public/Tendering/OpportunityDetail/Index?noticeUID=CO1.NTC.4768673&amp;isFromPublicArea=True&amp;isModal=true&amp;asPopupView=true</v>
      </c>
      <c r="AG837" s="290" t="s">
        <v>192</v>
      </c>
      <c r="AH837" s="290" t="s">
        <v>192</v>
      </c>
    </row>
    <row r="838" spans="1:34" s="297" customFormat="1" ht="15" customHeight="1" x14ac:dyDescent="0.2">
      <c r="A838" s="289">
        <v>891780111</v>
      </c>
      <c r="B838" s="289" t="s">
        <v>54</v>
      </c>
      <c r="C838" s="290" t="s">
        <v>56</v>
      </c>
      <c r="D838" s="289" t="s">
        <v>60</v>
      </c>
      <c r="E838" s="290" t="s">
        <v>9269</v>
      </c>
      <c r="F838" s="289" t="s">
        <v>61</v>
      </c>
      <c r="G838" s="85" t="s">
        <v>63</v>
      </c>
      <c r="H838" s="85" t="s">
        <v>73</v>
      </c>
      <c r="I838" s="237">
        <v>11250000</v>
      </c>
      <c r="J838" s="290"/>
      <c r="K838" s="291"/>
      <c r="L838" s="291"/>
      <c r="M838" s="292">
        <f t="shared" si="53"/>
        <v>11250000</v>
      </c>
      <c r="N838" s="85">
        <v>1082997554</v>
      </c>
      <c r="O838" s="85" t="s">
        <v>8419</v>
      </c>
      <c r="P838" s="85" t="s">
        <v>9270</v>
      </c>
      <c r="Q838" s="309">
        <f t="shared" si="52"/>
        <v>45125</v>
      </c>
      <c r="R838" s="309">
        <f t="shared" si="52"/>
        <v>45125</v>
      </c>
      <c r="S838" s="309">
        <f t="shared" si="49"/>
        <v>45260</v>
      </c>
      <c r="T838" s="293"/>
      <c r="U838" s="293"/>
      <c r="V838" s="293"/>
      <c r="W838" s="294"/>
      <c r="X838" s="237">
        <f>VLOOKUP(N838,[9]Pagos!$C$2:$D$353,2,FALSE)</f>
        <v>1250000</v>
      </c>
      <c r="Y838" s="295">
        <f t="shared" si="54"/>
        <v>10000000</v>
      </c>
      <c r="Z838" s="296">
        <f t="shared" si="55"/>
        <v>0.1111111111111111</v>
      </c>
      <c r="AA838" s="85">
        <v>1098669877</v>
      </c>
      <c r="AB838" s="85" t="s">
        <v>8421</v>
      </c>
      <c r="AC838" s="290" t="s">
        <v>196</v>
      </c>
      <c r="AD838" s="290" t="s">
        <v>196</v>
      </c>
      <c r="AE838" s="303"/>
      <c r="AF838" s="310" t="str">
        <f>VLOOKUP(E838,[10]Hoja1!$D$3:$E$327,2,FALSE)</f>
        <v>https://community.secop.gov.co/Public/Tendering/OpportunityDetail/Index?noticeUID=CO1.NTC.4766948&amp;isFromPublicArea=True&amp;isModal=true&amp;asPopupView=true</v>
      </c>
      <c r="AG838" s="290" t="s">
        <v>192</v>
      </c>
      <c r="AH838" s="290" t="s">
        <v>192</v>
      </c>
    </row>
    <row r="839" spans="1:34" s="297" customFormat="1" ht="15" customHeight="1" x14ac:dyDescent="0.2">
      <c r="A839" s="289">
        <v>891780111</v>
      </c>
      <c r="B839" s="289" t="s">
        <v>54</v>
      </c>
      <c r="C839" s="290" t="s">
        <v>56</v>
      </c>
      <c r="D839" s="289" t="s">
        <v>60</v>
      </c>
      <c r="E839" s="290" t="s">
        <v>9271</v>
      </c>
      <c r="F839" s="289" t="s">
        <v>61</v>
      </c>
      <c r="G839" s="85" t="s">
        <v>63</v>
      </c>
      <c r="H839" s="85" t="s">
        <v>73</v>
      </c>
      <c r="I839" s="237">
        <v>15300000</v>
      </c>
      <c r="J839" s="290"/>
      <c r="K839" s="291"/>
      <c r="L839" s="291"/>
      <c r="M839" s="292">
        <f t="shared" si="53"/>
        <v>15300000</v>
      </c>
      <c r="N839" s="85">
        <v>57434436</v>
      </c>
      <c r="O839" s="85" t="s">
        <v>7609</v>
      </c>
      <c r="P839" s="85" t="s">
        <v>9272</v>
      </c>
      <c r="Q839" s="309">
        <f t="shared" si="52"/>
        <v>45125</v>
      </c>
      <c r="R839" s="309">
        <f t="shared" si="52"/>
        <v>45125</v>
      </c>
      <c r="S839" s="309">
        <f t="shared" si="49"/>
        <v>45260</v>
      </c>
      <c r="T839" s="293"/>
      <c r="U839" s="293"/>
      <c r="V839" s="293"/>
      <c r="W839" s="294"/>
      <c r="X839" s="237">
        <f>VLOOKUP(N839,[9]Pagos!$C$2:$D$353,2,FALSE)</f>
        <v>1700000</v>
      </c>
      <c r="Y839" s="295">
        <f t="shared" si="54"/>
        <v>13600000</v>
      </c>
      <c r="Z839" s="296">
        <f t="shared" si="55"/>
        <v>0.1111111111111111</v>
      </c>
      <c r="AA839" s="85">
        <v>12621405</v>
      </c>
      <c r="AB839" s="85" t="s">
        <v>8695</v>
      </c>
      <c r="AC839" s="290" t="s">
        <v>196</v>
      </c>
      <c r="AD839" s="290" t="s">
        <v>196</v>
      </c>
      <c r="AE839" s="303"/>
      <c r="AF839" s="310" t="str">
        <f>VLOOKUP(E839,[10]Hoja1!$D$3:$E$327,2,FALSE)</f>
        <v>https://community.secop.gov.co/Public/Tendering/OpportunityDetail/Index?noticeUID=CO1.NTC.4767135&amp;isFromPublicArea=True&amp;isModal=true&amp;asPopupView=true</v>
      </c>
      <c r="AG839" s="290" t="s">
        <v>192</v>
      </c>
      <c r="AH839" s="290" t="s">
        <v>192</v>
      </c>
    </row>
    <row r="840" spans="1:34" s="297" customFormat="1" ht="15" customHeight="1" x14ac:dyDescent="0.2">
      <c r="A840" s="289">
        <v>891780111</v>
      </c>
      <c r="B840" s="289" t="s">
        <v>54</v>
      </c>
      <c r="C840" s="290" t="s">
        <v>56</v>
      </c>
      <c r="D840" s="289" t="s">
        <v>60</v>
      </c>
      <c r="E840" s="290" t="s">
        <v>9273</v>
      </c>
      <c r="F840" s="289" t="s">
        <v>61</v>
      </c>
      <c r="G840" s="85" t="s">
        <v>63</v>
      </c>
      <c r="H840" s="85" t="s">
        <v>73</v>
      </c>
      <c r="I840" s="237">
        <v>12600000</v>
      </c>
      <c r="J840" s="290"/>
      <c r="K840" s="291"/>
      <c r="L840" s="291"/>
      <c r="M840" s="292">
        <f t="shared" si="53"/>
        <v>12600000</v>
      </c>
      <c r="N840" s="85">
        <v>36719605</v>
      </c>
      <c r="O840" s="85" t="s">
        <v>8480</v>
      </c>
      <c r="P840" s="85" t="s">
        <v>9274</v>
      </c>
      <c r="Q840" s="309">
        <f t="shared" si="52"/>
        <v>45125</v>
      </c>
      <c r="R840" s="309">
        <f t="shared" si="52"/>
        <v>45125</v>
      </c>
      <c r="S840" s="309">
        <f t="shared" si="49"/>
        <v>45260</v>
      </c>
      <c r="T840" s="293"/>
      <c r="U840" s="293"/>
      <c r="V840" s="293"/>
      <c r="W840" s="294"/>
      <c r="X840" s="237">
        <f>VLOOKUP(N840,[9]Pagos!$C$2:$D$353,2,FALSE)</f>
        <v>1400000</v>
      </c>
      <c r="Y840" s="295">
        <f t="shared" si="54"/>
        <v>11200000</v>
      </c>
      <c r="Z840" s="296">
        <f t="shared" si="55"/>
        <v>0.1111111111111111</v>
      </c>
      <c r="AA840" s="85">
        <v>93400727</v>
      </c>
      <c r="AB840" s="85" t="s">
        <v>6418</v>
      </c>
      <c r="AC840" s="290" t="s">
        <v>196</v>
      </c>
      <c r="AD840" s="290" t="s">
        <v>196</v>
      </c>
      <c r="AE840" s="303"/>
      <c r="AF840" s="310" t="str">
        <f>VLOOKUP(E840,[10]Hoja1!$D$3:$E$327,2,FALSE)</f>
        <v>https://community.secop.gov.co/Public/Tendering/OpportunityDetail/Index?noticeUID=CO1.NTC.4767146&amp;isFromPublicArea=True&amp;isModal=true&amp;asPopupView=true</v>
      </c>
      <c r="AG840" s="290" t="s">
        <v>192</v>
      </c>
      <c r="AH840" s="290" t="s">
        <v>192</v>
      </c>
    </row>
    <row r="841" spans="1:34" s="297" customFormat="1" ht="15" customHeight="1" x14ac:dyDescent="0.2">
      <c r="A841" s="289">
        <v>891780111</v>
      </c>
      <c r="B841" s="289" t="s">
        <v>54</v>
      </c>
      <c r="C841" s="290" t="s">
        <v>59</v>
      </c>
      <c r="D841" s="289" t="s">
        <v>60</v>
      </c>
      <c r="E841" s="290" t="s">
        <v>9275</v>
      </c>
      <c r="F841" s="289" t="s">
        <v>61</v>
      </c>
      <c r="G841" s="85" t="s">
        <v>63</v>
      </c>
      <c r="H841" s="85" t="s">
        <v>73</v>
      </c>
      <c r="I841" s="237">
        <v>15500000</v>
      </c>
      <c r="J841" s="290"/>
      <c r="K841" s="291"/>
      <c r="L841" s="291"/>
      <c r="M841" s="292">
        <f t="shared" si="53"/>
        <v>15500000</v>
      </c>
      <c r="N841" s="85">
        <v>1104871354</v>
      </c>
      <c r="O841" s="85" t="s">
        <v>8619</v>
      </c>
      <c r="P841" s="85" t="s">
        <v>9276</v>
      </c>
      <c r="Q841" s="309">
        <f t="shared" si="52"/>
        <v>45125</v>
      </c>
      <c r="R841" s="309">
        <f t="shared" si="52"/>
        <v>45125</v>
      </c>
      <c r="S841" s="309">
        <f>DATE(2023,12,18)</f>
        <v>45278</v>
      </c>
      <c r="T841" s="293"/>
      <c r="U841" s="293"/>
      <c r="V841" s="293"/>
      <c r="W841" s="294"/>
      <c r="X841" s="237">
        <f>VLOOKUP(N841,[9]Pagos!$C$2:$D$353,2,FALSE)</f>
        <v>1240000</v>
      </c>
      <c r="Y841" s="295">
        <f t="shared" si="54"/>
        <v>14260000</v>
      </c>
      <c r="Z841" s="296">
        <f t="shared" si="55"/>
        <v>0.08</v>
      </c>
      <c r="AA841" s="85">
        <v>85471791</v>
      </c>
      <c r="AB841" s="85" t="s">
        <v>7172</v>
      </c>
      <c r="AC841" s="290" t="s">
        <v>196</v>
      </c>
      <c r="AD841" s="290" t="s">
        <v>196</v>
      </c>
      <c r="AE841" s="303"/>
      <c r="AF841" s="310" t="str">
        <f>VLOOKUP(E841,[10]Hoja1!$D$3:$E$327,2,FALSE)</f>
        <v>https://community.secop.gov.co/Public/Tendering/OpportunityDetail/Index?noticeUID=CO1.NTC.4767158&amp;isFromPublicArea=True&amp;isModal=true&amp;asPopupView=true</v>
      </c>
      <c r="AG841" s="290" t="s">
        <v>192</v>
      </c>
      <c r="AH841" s="290" t="s">
        <v>192</v>
      </c>
    </row>
    <row r="842" spans="1:34" s="297" customFormat="1" ht="15" customHeight="1" x14ac:dyDescent="0.2">
      <c r="A842" s="289">
        <v>891780111</v>
      </c>
      <c r="B842" s="289" t="s">
        <v>54</v>
      </c>
      <c r="C842" s="290" t="s">
        <v>56</v>
      </c>
      <c r="D842" s="289" t="s">
        <v>60</v>
      </c>
      <c r="E842" s="290" t="s">
        <v>9277</v>
      </c>
      <c r="F842" s="289" t="s">
        <v>61</v>
      </c>
      <c r="G842" s="85" t="s">
        <v>63</v>
      </c>
      <c r="H842" s="85" t="s">
        <v>73</v>
      </c>
      <c r="I842" s="237">
        <v>13950000</v>
      </c>
      <c r="J842" s="290"/>
      <c r="K842" s="291"/>
      <c r="L842" s="291"/>
      <c r="M842" s="292">
        <f t="shared" si="53"/>
        <v>13950000</v>
      </c>
      <c r="N842" s="85">
        <v>1083007469</v>
      </c>
      <c r="O842" s="85" t="s">
        <v>7903</v>
      </c>
      <c r="P842" s="85" t="s">
        <v>9278</v>
      </c>
      <c r="Q842" s="309">
        <f>DATE(2023,7,19)</f>
        <v>45126</v>
      </c>
      <c r="R842" s="309">
        <f>DATE(2023,7,19)</f>
        <v>45126</v>
      </c>
      <c r="S842" s="309">
        <f t="shared" si="49"/>
        <v>45260</v>
      </c>
      <c r="T842" s="293"/>
      <c r="U842" s="293"/>
      <c r="V842" s="293"/>
      <c r="W842" s="294"/>
      <c r="X842" s="237">
        <f>VLOOKUP(N842,[9]Pagos!$C$2:$D$353,2,FALSE)</f>
        <v>1550000</v>
      </c>
      <c r="Y842" s="295">
        <f t="shared" si="54"/>
        <v>12400000</v>
      </c>
      <c r="Z842" s="296">
        <f t="shared" si="55"/>
        <v>0.1111111111111111</v>
      </c>
      <c r="AA842" s="85">
        <v>39058006</v>
      </c>
      <c r="AB842" s="85" t="s">
        <v>6699</v>
      </c>
      <c r="AC842" s="290" t="s">
        <v>196</v>
      </c>
      <c r="AD842" s="290" t="s">
        <v>196</v>
      </c>
      <c r="AE842" s="303"/>
      <c r="AF842" s="310" t="str">
        <f>VLOOKUP(E842,[10]Hoja1!$D$3:$E$327,2,FALSE)</f>
        <v>https://community.secop.gov.co/Public/Tendering/OpportunityDetail/Index?noticeUID=CO1.NTC.4770761&amp;isFromPublicArea=True&amp;isModal=true&amp;asPopupView=true</v>
      </c>
      <c r="AG842" s="290" t="s">
        <v>192</v>
      </c>
      <c r="AH842" s="290" t="s">
        <v>192</v>
      </c>
    </row>
    <row r="843" spans="1:34" s="297" customFormat="1" ht="15" customHeight="1" x14ac:dyDescent="0.2">
      <c r="A843" s="289">
        <v>891780111</v>
      </c>
      <c r="B843" s="289" t="s">
        <v>54</v>
      </c>
      <c r="C843" s="290" t="s">
        <v>56</v>
      </c>
      <c r="D843" s="289" t="s">
        <v>60</v>
      </c>
      <c r="E843" s="290" t="s">
        <v>9279</v>
      </c>
      <c r="F843" s="289" t="s">
        <v>61</v>
      </c>
      <c r="G843" s="85" t="s">
        <v>63</v>
      </c>
      <c r="H843" s="85" t="s">
        <v>73</v>
      </c>
      <c r="I843" s="237">
        <v>13950000</v>
      </c>
      <c r="J843" s="290"/>
      <c r="K843" s="291"/>
      <c r="L843" s="291"/>
      <c r="M843" s="292">
        <f t="shared" si="53"/>
        <v>13950000</v>
      </c>
      <c r="N843" s="85">
        <v>85465875</v>
      </c>
      <c r="O843" s="85" t="s">
        <v>9280</v>
      </c>
      <c r="P843" s="85" t="s">
        <v>9281</v>
      </c>
      <c r="Q843" s="309">
        <f t="shared" ref="Q843:R858" si="56">DATE(2023,7,19)</f>
        <v>45126</v>
      </c>
      <c r="R843" s="309">
        <f t="shared" si="56"/>
        <v>45126</v>
      </c>
      <c r="S843" s="309">
        <f t="shared" si="49"/>
        <v>45260</v>
      </c>
      <c r="T843" s="293"/>
      <c r="U843" s="293"/>
      <c r="V843" s="293"/>
      <c r="W843" s="294"/>
      <c r="X843" s="237">
        <f>VLOOKUP(N843,[9]Pagos!$C$2:$D$353,2,FALSE)</f>
        <v>1550000</v>
      </c>
      <c r="Y843" s="295">
        <f t="shared" si="54"/>
        <v>12400000</v>
      </c>
      <c r="Z843" s="296">
        <f t="shared" si="55"/>
        <v>0.1111111111111111</v>
      </c>
      <c r="AA843" s="85">
        <v>39058006</v>
      </c>
      <c r="AB843" s="85" t="s">
        <v>6699</v>
      </c>
      <c r="AC843" s="290" t="s">
        <v>196</v>
      </c>
      <c r="AD843" s="290" t="s">
        <v>196</v>
      </c>
      <c r="AE843" s="303"/>
      <c r="AF843" s="310" t="str">
        <f>VLOOKUP(E843,[10]Hoja1!$D$3:$E$327,2,FALSE)</f>
        <v>https://community.secop.gov.co/Public/Tendering/OpportunityDetail/Index?noticeUID=CO1.NTC.4770780&amp;isFromPublicArea=True&amp;isModal=true&amp;asPopupView=true</v>
      </c>
      <c r="AG843" s="290" t="s">
        <v>192</v>
      </c>
      <c r="AH843" s="290" t="s">
        <v>192</v>
      </c>
    </row>
    <row r="844" spans="1:34" s="297" customFormat="1" ht="15" customHeight="1" x14ac:dyDescent="0.2">
      <c r="A844" s="289">
        <v>891780111</v>
      </c>
      <c r="B844" s="289" t="s">
        <v>54</v>
      </c>
      <c r="C844" s="290" t="s">
        <v>56</v>
      </c>
      <c r="D844" s="289" t="s">
        <v>60</v>
      </c>
      <c r="E844" s="290" t="s">
        <v>9282</v>
      </c>
      <c r="F844" s="289" t="s">
        <v>61</v>
      </c>
      <c r="G844" s="85" t="s">
        <v>63</v>
      </c>
      <c r="H844" s="85" t="s">
        <v>73</v>
      </c>
      <c r="I844" s="237">
        <v>18000000</v>
      </c>
      <c r="J844" s="290"/>
      <c r="K844" s="291"/>
      <c r="L844" s="291"/>
      <c r="M844" s="292">
        <f t="shared" si="53"/>
        <v>18000000</v>
      </c>
      <c r="N844" s="85">
        <v>39057134</v>
      </c>
      <c r="O844" s="85" t="s">
        <v>6591</v>
      </c>
      <c r="P844" s="85" t="s">
        <v>9283</v>
      </c>
      <c r="Q844" s="309">
        <f t="shared" si="56"/>
        <v>45126</v>
      </c>
      <c r="R844" s="309">
        <f t="shared" si="56"/>
        <v>45126</v>
      </c>
      <c r="S844" s="309">
        <f t="shared" si="49"/>
        <v>45260</v>
      </c>
      <c r="T844" s="293"/>
      <c r="U844" s="293"/>
      <c r="V844" s="293"/>
      <c r="W844" s="294"/>
      <c r="X844" s="237">
        <f>VLOOKUP(N844,[9]Pagos!$C$2:$D$353,2,FALSE)</f>
        <v>2000000</v>
      </c>
      <c r="Y844" s="295">
        <f t="shared" si="54"/>
        <v>16000000</v>
      </c>
      <c r="Z844" s="296">
        <f t="shared" si="55"/>
        <v>0.1111111111111111</v>
      </c>
      <c r="AA844" s="85">
        <v>12621405</v>
      </c>
      <c r="AB844" s="85" t="s">
        <v>8695</v>
      </c>
      <c r="AC844" s="290" t="s">
        <v>196</v>
      </c>
      <c r="AD844" s="290" t="s">
        <v>196</v>
      </c>
      <c r="AE844" s="303"/>
      <c r="AF844" s="310" t="str">
        <f>VLOOKUP(E844,[10]Hoja1!$D$3:$E$327,2,FALSE)</f>
        <v>https://community.secop.gov.co/Public/Tendering/OpportunityDetail/Index?noticeUID=CO1.NTC.4770870&amp;isFromPublicArea=True&amp;isModal=true&amp;asPopupView=true</v>
      </c>
      <c r="AG844" s="290" t="s">
        <v>192</v>
      </c>
      <c r="AH844" s="290" t="s">
        <v>192</v>
      </c>
    </row>
    <row r="845" spans="1:34" s="297" customFormat="1" ht="15" customHeight="1" x14ac:dyDescent="0.2">
      <c r="A845" s="289">
        <v>891780111</v>
      </c>
      <c r="B845" s="289" t="s">
        <v>54</v>
      </c>
      <c r="C845" s="290" t="s">
        <v>56</v>
      </c>
      <c r="D845" s="289" t="s">
        <v>60</v>
      </c>
      <c r="E845" s="290" t="s">
        <v>9284</v>
      </c>
      <c r="F845" s="289" t="s">
        <v>61</v>
      </c>
      <c r="G845" s="85" t="s">
        <v>63</v>
      </c>
      <c r="H845" s="85" t="s">
        <v>73</v>
      </c>
      <c r="I845" s="237">
        <v>12600000</v>
      </c>
      <c r="J845" s="290"/>
      <c r="K845" s="291"/>
      <c r="L845" s="291"/>
      <c r="M845" s="292">
        <f t="shared" si="53"/>
        <v>12600000</v>
      </c>
      <c r="N845" s="85">
        <v>1083553499</v>
      </c>
      <c r="O845" s="85" t="s">
        <v>6901</v>
      </c>
      <c r="P845" s="85" t="s">
        <v>9285</v>
      </c>
      <c r="Q845" s="309">
        <f t="shared" si="56"/>
        <v>45126</v>
      </c>
      <c r="R845" s="309">
        <f t="shared" si="56"/>
        <v>45126</v>
      </c>
      <c r="S845" s="309">
        <f t="shared" si="49"/>
        <v>45260</v>
      </c>
      <c r="T845" s="293"/>
      <c r="U845" s="293"/>
      <c r="V845" s="293"/>
      <c r="W845" s="294"/>
      <c r="X845" s="237">
        <f>VLOOKUP(N845,[9]Pagos!$C$2:$D$353,2,FALSE)</f>
        <v>1400000</v>
      </c>
      <c r="Y845" s="295">
        <f t="shared" si="54"/>
        <v>11200000</v>
      </c>
      <c r="Z845" s="296">
        <f t="shared" si="55"/>
        <v>0.1111111111111111</v>
      </c>
      <c r="AA845" s="85"/>
      <c r="AB845" s="85" t="s">
        <v>9286</v>
      </c>
      <c r="AC845" s="290" t="s">
        <v>196</v>
      </c>
      <c r="AD845" s="290" t="s">
        <v>196</v>
      </c>
      <c r="AE845" s="303"/>
      <c r="AF845" s="310" t="str">
        <f>VLOOKUP(E845,[10]Hoja1!$D$3:$E$327,2,FALSE)</f>
        <v>https://community.secop.gov.co/Public/Tendering/OpportunityDetail/Index?noticeUID=CO1.NTC.4771024&amp;isFromPublicArea=True&amp;isModal=true&amp;asPopupView=true</v>
      </c>
      <c r="AG845" s="290" t="s">
        <v>192</v>
      </c>
      <c r="AH845" s="290" t="s">
        <v>192</v>
      </c>
    </row>
    <row r="846" spans="1:34" s="297" customFormat="1" ht="15" customHeight="1" x14ac:dyDescent="0.2">
      <c r="A846" s="289">
        <v>891780111</v>
      </c>
      <c r="B846" s="289" t="s">
        <v>54</v>
      </c>
      <c r="C846" s="290" t="s">
        <v>56</v>
      </c>
      <c r="D846" s="289" t="s">
        <v>60</v>
      </c>
      <c r="E846" s="290" t="s">
        <v>9287</v>
      </c>
      <c r="F846" s="289" t="s">
        <v>61</v>
      </c>
      <c r="G846" s="85" t="s">
        <v>63</v>
      </c>
      <c r="H846" s="85" t="s">
        <v>73</v>
      </c>
      <c r="I846" s="237">
        <v>12600000</v>
      </c>
      <c r="J846" s="290"/>
      <c r="K846" s="291"/>
      <c r="L846" s="291"/>
      <c r="M846" s="292">
        <f t="shared" si="53"/>
        <v>12600000</v>
      </c>
      <c r="N846" s="85">
        <v>1082921709</v>
      </c>
      <c r="O846" s="85" t="s">
        <v>6844</v>
      </c>
      <c r="P846" s="85" t="s">
        <v>9288</v>
      </c>
      <c r="Q846" s="309">
        <f t="shared" si="56"/>
        <v>45126</v>
      </c>
      <c r="R846" s="309">
        <f t="shared" si="56"/>
        <v>45126</v>
      </c>
      <c r="S846" s="309">
        <f t="shared" si="49"/>
        <v>45260</v>
      </c>
      <c r="T846" s="293"/>
      <c r="U846" s="293"/>
      <c r="V846" s="293"/>
      <c r="W846" s="294"/>
      <c r="X846" s="237">
        <f>VLOOKUP(N846,[9]Pagos!$C$2:$D$353,2,FALSE)</f>
        <v>1400000</v>
      </c>
      <c r="Y846" s="295">
        <f t="shared" si="54"/>
        <v>11200000</v>
      </c>
      <c r="Z846" s="296">
        <f t="shared" si="55"/>
        <v>0.1111111111111111</v>
      </c>
      <c r="AA846" s="85">
        <v>72175281</v>
      </c>
      <c r="AB846" s="85" t="s">
        <v>6507</v>
      </c>
      <c r="AC846" s="290" t="s">
        <v>196</v>
      </c>
      <c r="AD846" s="290" t="s">
        <v>196</v>
      </c>
      <c r="AE846" s="303"/>
      <c r="AF846" s="310" t="str">
        <f>VLOOKUP(E846,[10]Hoja1!$D$3:$E$327,2,FALSE)</f>
        <v>https://community.secop.gov.co/Public/Tendering/OpportunityDetail/Index?noticeUID=CO1.NTC.4771217&amp;isFromPublicArea=True&amp;isModal=true&amp;asPopupView=true</v>
      </c>
      <c r="AG846" s="290" t="s">
        <v>192</v>
      </c>
      <c r="AH846" s="290" t="s">
        <v>192</v>
      </c>
    </row>
    <row r="847" spans="1:34" s="297" customFormat="1" ht="15" customHeight="1" x14ac:dyDescent="0.2">
      <c r="A847" s="289">
        <v>891780111</v>
      </c>
      <c r="B847" s="289" t="s">
        <v>54</v>
      </c>
      <c r="C847" s="290" t="s">
        <v>56</v>
      </c>
      <c r="D847" s="289" t="s">
        <v>60</v>
      </c>
      <c r="E847" s="290" t="s">
        <v>9289</v>
      </c>
      <c r="F847" s="289" t="s">
        <v>61</v>
      </c>
      <c r="G847" s="85" t="s">
        <v>63</v>
      </c>
      <c r="H847" s="85" t="s">
        <v>73</v>
      </c>
      <c r="I847" s="237">
        <v>12600000</v>
      </c>
      <c r="J847" s="290"/>
      <c r="K847" s="291"/>
      <c r="L847" s="291"/>
      <c r="M847" s="292">
        <f t="shared" si="53"/>
        <v>12600000</v>
      </c>
      <c r="N847" s="85">
        <v>85373098</v>
      </c>
      <c r="O847" s="85" t="s">
        <v>7875</v>
      </c>
      <c r="P847" s="85" t="s">
        <v>9290</v>
      </c>
      <c r="Q847" s="309">
        <f t="shared" si="56"/>
        <v>45126</v>
      </c>
      <c r="R847" s="309">
        <f t="shared" si="56"/>
        <v>45126</v>
      </c>
      <c r="S847" s="309">
        <f t="shared" si="49"/>
        <v>45260</v>
      </c>
      <c r="T847" s="293"/>
      <c r="U847" s="293"/>
      <c r="V847" s="293"/>
      <c r="W847" s="294"/>
      <c r="X847" s="237">
        <f>VLOOKUP(N847,[9]Pagos!$C$2:$D$353,2,FALSE)</f>
        <v>1400000</v>
      </c>
      <c r="Y847" s="295">
        <f t="shared" si="54"/>
        <v>11200000</v>
      </c>
      <c r="Z847" s="296">
        <f t="shared" si="55"/>
        <v>0.1111111111111111</v>
      </c>
      <c r="AA847" s="85">
        <v>72175281</v>
      </c>
      <c r="AB847" s="85" t="s">
        <v>6507</v>
      </c>
      <c r="AC847" s="290" t="s">
        <v>196</v>
      </c>
      <c r="AD847" s="290" t="s">
        <v>196</v>
      </c>
      <c r="AE847" s="303"/>
      <c r="AF847" s="310" t="str">
        <f>VLOOKUP(E847,[10]Hoja1!$D$3:$E$327,2,FALSE)</f>
        <v>https://community.secop.gov.co/Public/Tendering/OpportunityDetail/Index?noticeUID=CO1.NTC.4771242&amp;isFromPublicArea=True&amp;isModal=true&amp;asPopupView=true</v>
      </c>
      <c r="AG847" s="290" t="s">
        <v>192</v>
      </c>
      <c r="AH847" s="290" t="s">
        <v>192</v>
      </c>
    </row>
    <row r="848" spans="1:34" s="297" customFormat="1" ht="15" customHeight="1" x14ac:dyDescent="0.2">
      <c r="A848" s="289">
        <v>891780111</v>
      </c>
      <c r="B848" s="289" t="s">
        <v>54</v>
      </c>
      <c r="C848" s="290" t="s">
        <v>56</v>
      </c>
      <c r="D848" s="289" t="s">
        <v>60</v>
      </c>
      <c r="E848" s="290" t="s">
        <v>9291</v>
      </c>
      <c r="F848" s="289" t="s">
        <v>61</v>
      </c>
      <c r="G848" s="85" t="s">
        <v>63</v>
      </c>
      <c r="H848" s="85" t="s">
        <v>73</v>
      </c>
      <c r="I848" s="237">
        <v>13950000</v>
      </c>
      <c r="J848" s="290"/>
      <c r="K848" s="291"/>
      <c r="L848" s="291"/>
      <c r="M848" s="292">
        <f t="shared" si="53"/>
        <v>13950000</v>
      </c>
      <c r="N848" s="85">
        <v>1082996348</v>
      </c>
      <c r="O848" s="85" t="s">
        <v>6936</v>
      </c>
      <c r="P848" s="85" t="s">
        <v>9292</v>
      </c>
      <c r="Q848" s="309">
        <f t="shared" si="56"/>
        <v>45126</v>
      </c>
      <c r="R848" s="309">
        <f t="shared" si="56"/>
        <v>45126</v>
      </c>
      <c r="S848" s="309">
        <f t="shared" ref="S848:S911" si="57">DATE(2023,11,30)</f>
        <v>45260</v>
      </c>
      <c r="T848" s="293"/>
      <c r="U848" s="293"/>
      <c r="V848" s="293"/>
      <c r="W848" s="294"/>
      <c r="X848" s="237">
        <f>VLOOKUP(N848,[9]Pagos!$C$2:$D$353,2,FALSE)</f>
        <v>1550000</v>
      </c>
      <c r="Y848" s="295">
        <f t="shared" si="54"/>
        <v>12400000</v>
      </c>
      <c r="Z848" s="296">
        <f t="shared" si="55"/>
        <v>0.1111111111111111</v>
      </c>
      <c r="AA848" s="85">
        <v>32770239</v>
      </c>
      <c r="AB848" s="85" t="s">
        <v>2135</v>
      </c>
      <c r="AC848" s="290" t="s">
        <v>196</v>
      </c>
      <c r="AD848" s="290" t="s">
        <v>196</v>
      </c>
      <c r="AE848" s="303"/>
      <c r="AF848" s="310" t="str">
        <f>VLOOKUP(E848,[10]Hoja1!$D$3:$E$327,2,FALSE)</f>
        <v>https://community.secop.gov.co/Public/Tendering/OpportunityDetail/Index?noticeUID=CO1.NTC.4771338&amp;isFromPublicArea=True&amp;isModal=true&amp;asPopupView=true</v>
      </c>
      <c r="AG848" s="290" t="s">
        <v>192</v>
      </c>
      <c r="AH848" s="290" t="s">
        <v>192</v>
      </c>
    </row>
    <row r="849" spans="1:34" s="297" customFormat="1" ht="15" customHeight="1" x14ac:dyDescent="0.2">
      <c r="A849" s="289">
        <v>891780111</v>
      </c>
      <c r="B849" s="289" t="s">
        <v>54</v>
      </c>
      <c r="C849" s="290" t="s">
        <v>56</v>
      </c>
      <c r="D849" s="289" t="s">
        <v>60</v>
      </c>
      <c r="E849" s="290" t="s">
        <v>9293</v>
      </c>
      <c r="F849" s="289" t="s">
        <v>61</v>
      </c>
      <c r="G849" s="85" t="s">
        <v>63</v>
      </c>
      <c r="H849" s="85" t="s">
        <v>73</v>
      </c>
      <c r="I849" s="237">
        <v>8550000</v>
      </c>
      <c r="J849" s="290"/>
      <c r="K849" s="291"/>
      <c r="L849" s="291"/>
      <c r="M849" s="292">
        <f t="shared" si="53"/>
        <v>8550000</v>
      </c>
      <c r="N849" s="85">
        <v>1148701328</v>
      </c>
      <c r="O849" s="85" t="s">
        <v>7102</v>
      </c>
      <c r="P849" s="85" t="s">
        <v>9294</v>
      </c>
      <c r="Q849" s="309">
        <f t="shared" si="56"/>
        <v>45126</v>
      </c>
      <c r="R849" s="309">
        <f t="shared" si="56"/>
        <v>45126</v>
      </c>
      <c r="S849" s="309">
        <f t="shared" si="57"/>
        <v>45260</v>
      </c>
      <c r="T849" s="293"/>
      <c r="U849" s="293"/>
      <c r="V849" s="293"/>
      <c r="W849" s="294"/>
      <c r="X849" s="237">
        <f>VLOOKUP(N849,[9]Pagos!$C$2:$D$353,2,FALSE)</f>
        <v>950000</v>
      </c>
      <c r="Y849" s="295">
        <f t="shared" si="54"/>
        <v>7600000</v>
      </c>
      <c r="Z849" s="296">
        <f t="shared" si="55"/>
        <v>0.1111111111111111</v>
      </c>
      <c r="AA849" s="85">
        <v>57297693</v>
      </c>
      <c r="AB849" s="85" t="s">
        <v>8869</v>
      </c>
      <c r="AC849" s="290" t="s">
        <v>196</v>
      </c>
      <c r="AD849" s="290" t="s">
        <v>196</v>
      </c>
      <c r="AE849" s="303"/>
      <c r="AF849" s="310" t="str">
        <f>VLOOKUP(E849,[10]Hoja1!$D$3:$E$327,2,FALSE)</f>
        <v>https://community.secop.gov.co/Public/Tendering/OpportunityDetail/Index?noticeUID=CO1.NTC.4771275&amp;isFromPublicArea=True&amp;isModal=true&amp;asPopupView=true</v>
      </c>
      <c r="AG849" s="290" t="s">
        <v>192</v>
      </c>
      <c r="AH849" s="290" t="s">
        <v>192</v>
      </c>
    </row>
    <row r="850" spans="1:34" s="297" customFormat="1" ht="15" customHeight="1" x14ac:dyDescent="0.2">
      <c r="A850" s="289">
        <v>891780111</v>
      </c>
      <c r="B850" s="289" t="s">
        <v>54</v>
      </c>
      <c r="C850" s="290" t="s">
        <v>56</v>
      </c>
      <c r="D850" s="289" t="s">
        <v>60</v>
      </c>
      <c r="E850" s="290" t="s">
        <v>9295</v>
      </c>
      <c r="F850" s="289" t="s">
        <v>61</v>
      </c>
      <c r="G850" s="85" t="s">
        <v>63</v>
      </c>
      <c r="H850" s="85" t="s">
        <v>73</v>
      </c>
      <c r="I850" s="237">
        <v>13950000</v>
      </c>
      <c r="J850" s="290"/>
      <c r="K850" s="291"/>
      <c r="L850" s="291"/>
      <c r="M850" s="292">
        <f t="shared" si="53"/>
        <v>13950000</v>
      </c>
      <c r="N850" s="85">
        <v>12563787</v>
      </c>
      <c r="O850" s="85" t="s">
        <v>8456</v>
      </c>
      <c r="P850" s="85" t="s">
        <v>9281</v>
      </c>
      <c r="Q850" s="309">
        <f t="shared" si="56"/>
        <v>45126</v>
      </c>
      <c r="R850" s="309">
        <f t="shared" si="56"/>
        <v>45126</v>
      </c>
      <c r="S850" s="309">
        <f t="shared" si="57"/>
        <v>45260</v>
      </c>
      <c r="T850" s="293"/>
      <c r="U850" s="293"/>
      <c r="V850" s="293"/>
      <c r="W850" s="294"/>
      <c r="X850" s="237">
        <f>VLOOKUP(N850,[9]Pagos!$C$2:$D$353,2,FALSE)</f>
        <v>1550000</v>
      </c>
      <c r="Y850" s="295">
        <f t="shared" si="54"/>
        <v>12400000</v>
      </c>
      <c r="Z850" s="296">
        <f t="shared" si="55"/>
        <v>0.1111111111111111</v>
      </c>
      <c r="AA850" s="85">
        <v>39058006</v>
      </c>
      <c r="AB850" s="85" t="s">
        <v>6699</v>
      </c>
      <c r="AC850" s="290" t="s">
        <v>196</v>
      </c>
      <c r="AD850" s="290" t="s">
        <v>196</v>
      </c>
      <c r="AE850" s="303"/>
      <c r="AF850" s="310" t="str">
        <f>VLOOKUP(E850,[10]Hoja1!$D$3:$E$327,2,FALSE)</f>
        <v>https://community.secop.gov.co/Public/Tendering/OpportunityDetail/Index?noticeUID=CO1.NTC.4771364&amp;isFromPublicArea=True&amp;isModal=true&amp;asPopupView=true</v>
      </c>
      <c r="AG850" s="290" t="s">
        <v>192</v>
      </c>
      <c r="AH850" s="290" t="s">
        <v>192</v>
      </c>
    </row>
    <row r="851" spans="1:34" s="297" customFormat="1" ht="15" customHeight="1" x14ac:dyDescent="0.2">
      <c r="A851" s="289">
        <v>891780111</v>
      </c>
      <c r="B851" s="289" t="s">
        <v>54</v>
      </c>
      <c r="C851" s="290" t="s">
        <v>56</v>
      </c>
      <c r="D851" s="289" t="s">
        <v>60</v>
      </c>
      <c r="E851" s="290" t="s">
        <v>9296</v>
      </c>
      <c r="F851" s="289" t="s">
        <v>61</v>
      </c>
      <c r="G851" s="85" t="s">
        <v>63</v>
      </c>
      <c r="H851" s="85" t="s">
        <v>73</v>
      </c>
      <c r="I851" s="237">
        <v>19350000</v>
      </c>
      <c r="J851" s="290"/>
      <c r="K851" s="291"/>
      <c r="L851" s="291"/>
      <c r="M851" s="292">
        <f t="shared" si="53"/>
        <v>19350000</v>
      </c>
      <c r="N851" s="85">
        <v>65742222</v>
      </c>
      <c r="O851" s="85" t="s">
        <v>8205</v>
      </c>
      <c r="P851" s="85" t="s">
        <v>9297</v>
      </c>
      <c r="Q851" s="309">
        <f t="shared" si="56"/>
        <v>45126</v>
      </c>
      <c r="R851" s="309">
        <f t="shared" si="56"/>
        <v>45126</v>
      </c>
      <c r="S851" s="309">
        <f t="shared" si="57"/>
        <v>45260</v>
      </c>
      <c r="T851" s="293"/>
      <c r="U851" s="293"/>
      <c r="V851" s="293"/>
      <c r="W851" s="294"/>
      <c r="X851" s="237">
        <f>VLOOKUP(N851,[9]Pagos!$C$2:$D$353,2,FALSE)</f>
        <v>2150000</v>
      </c>
      <c r="Y851" s="295">
        <f t="shared" si="54"/>
        <v>17200000</v>
      </c>
      <c r="Z851" s="296">
        <f t="shared" si="55"/>
        <v>0.1111111111111111</v>
      </c>
      <c r="AA851" s="85">
        <v>57461690</v>
      </c>
      <c r="AB851" s="85" t="s">
        <v>8207</v>
      </c>
      <c r="AC851" s="290" t="s">
        <v>196</v>
      </c>
      <c r="AD851" s="290" t="s">
        <v>196</v>
      </c>
      <c r="AE851" s="303"/>
      <c r="AF851" s="310" t="str">
        <f>VLOOKUP(E851,[10]Hoja1!$D$3:$E$327,2,FALSE)</f>
        <v>https://community.secop.gov.co/Public/Tendering/OpportunityDetail/Index?noticeUID=CO1.NTC.4771292&amp;isFromPublicArea=True&amp;isModal=true&amp;asPopupView=true</v>
      </c>
      <c r="AG851" s="290" t="s">
        <v>192</v>
      </c>
      <c r="AH851" s="290" t="s">
        <v>192</v>
      </c>
    </row>
    <row r="852" spans="1:34" s="297" customFormat="1" ht="15" customHeight="1" x14ac:dyDescent="0.2">
      <c r="A852" s="289">
        <v>891780111</v>
      </c>
      <c r="B852" s="289" t="s">
        <v>54</v>
      </c>
      <c r="C852" s="290" t="s">
        <v>56</v>
      </c>
      <c r="D852" s="289" t="s">
        <v>60</v>
      </c>
      <c r="E852" s="290" t="s">
        <v>9298</v>
      </c>
      <c r="F852" s="289" t="s">
        <v>61</v>
      </c>
      <c r="G852" s="85" t="s">
        <v>63</v>
      </c>
      <c r="H852" s="85" t="s">
        <v>73</v>
      </c>
      <c r="I852" s="237">
        <v>12600000</v>
      </c>
      <c r="J852" s="290"/>
      <c r="K852" s="291"/>
      <c r="L852" s="291"/>
      <c r="M852" s="292">
        <f t="shared" si="53"/>
        <v>12600000</v>
      </c>
      <c r="N852" s="85">
        <v>1065612272</v>
      </c>
      <c r="O852" s="85" t="s">
        <v>7545</v>
      </c>
      <c r="P852" s="85" t="s">
        <v>9299</v>
      </c>
      <c r="Q852" s="309">
        <f t="shared" si="56"/>
        <v>45126</v>
      </c>
      <c r="R852" s="309">
        <f t="shared" si="56"/>
        <v>45126</v>
      </c>
      <c r="S852" s="309">
        <f t="shared" si="57"/>
        <v>45260</v>
      </c>
      <c r="T852" s="293"/>
      <c r="U852" s="293"/>
      <c r="V852" s="293"/>
      <c r="W852" s="294"/>
      <c r="X852" s="237">
        <f>VLOOKUP(N852,[9]Pagos!$C$2:$D$353,2,FALSE)</f>
        <v>1400000</v>
      </c>
      <c r="Y852" s="295">
        <f t="shared" si="54"/>
        <v>11200000</v>
      </c>
      <c r="Z852" s="296">
        <f t="shared" si="55"/>
        <v>0.1111111111111111</v>
      </c>
      <c r="AA852" s="85">
        <v>26668285</v>
      </c>
      <c r="AB852" s="85" t="s">
        <v>5038</v>
      </c>
      <c r="AC852" s="290" t="s">
        <v>196</v>
      </c>
      <c r="AD852" s="290" t="s">
        <v>196</v>
      </c>
      <c r="AE852" s="303"/>
      <c r="AF852" s="310" t="str">
        <f>VLOOKUP(E852,[10]Hoja1!$D$3:$E$327,2,FALSE)</f>
        <v>https://community.secop.gov.co/Public/Tendering/OpportunityDetail/Index?noticeUID=CO1.NTC.4771588&amp;isFromPublicArea=True&amp;isModal=true&amp;asPopupView=true</v>
      </c>
      <c r="AG852" s="290" t="s">
        <v>192</v>
      </c>
      <c r="AH852" s="290" t="s">
        <v>192</v>
      </c>
    </row>
    <row r="853" spans="1:34" s="297" customFormat="1" ht="15" customHeight="1" x14ac:dyDescent="0.2">
      <c r="A853" s="289">
        <v>891780111</v>
      </c>
      <c r="B853" s="289" t="s">
        <v>54</v>
      </c>
      <c r="C853" s="290" t="s">
        <v>56</v>
      </c>
      <c r="D853" s="289" t="s">
        <v>60</v>
      </c>
      <c r="E853" s="290" t="s">
        <v>9300</v>
      </c>
      <c r="F853" s="289" t="s">
        <v>61</v>
      </c>
      <c r="G853" s="85" t="s">
        <v>63</v>
      </c>
      <c r="H853" s="85" t="s">
        <v>73</v>
      </c>
      <c r="I853" s="237">
        <v>9900000</v>
      </c>
      <c r="J853" s="290"/>
      <c r="K853" s="291"/>
      <c r="L853" s="291"/>
      <c r="M853" s="292">
        <f t="shared" si="53"/>
        <v>9900000</v>
      </c>
      <c r="N853" s="85">
        <v>57438355</v>
      </c>
      <c r="O853" s="85" t="s">
        <v>7799</v>
      </c>
      <c r="P853" s="85" t="s">
        <v>9301</v>
      </c>
      <c r="Q853" s="309">
        <f t="shared" si="56"/>
        <v>45126</v>
      </c>
      <c r="R853" s="309">
        <f t="shared" si="56"/>
        <v>45126</v>
      </c>
      <c r="S853" s="309">
        <f t="shared" si="57"/>
        <v>45260</v>
      </c>
      <c r="T853" s="293"/>
      <c r="U853" s="293"/>
      <c r="V853" s="293"/>
      <c r="W853" s="294"/>
      <c r="X853" s="237">
        <f>VLOOKUP(N853,[9]Pagos!$C$2:$D$353,2,FALSE)</f>
        <v>1100000</v>
      </c>
      <c r="Y853" s="295">
        <f t="shared" si="54"/>
        <v>8800000</v>
      </c>
      <c r="Z853" s="296">
        <f t="shared" si="55"/>
        <v>0.1111111111111111</v>
      </c>
      <c r="AA853" s="85">
        <v>85459497</v>
      </c>
      <c r="AB853" s="85" t="s">
        <v>4837</v>
      </c>
      <c r="AC853" s="290" t="s">
        <v>196</v>
      </c>
      <c r="AD853" s="290" t="s">
        <v>196</v>
      </c>
      <c r="AE853" s="303"/>
      <c r="AF853" s="310" t="str">
        <f>VLOOKUP(E853,[10]Hoja1!$D$3:$E$327,2,FALSE)</f>
        <v>https://community.secop.gov.co/Public/Tendering/OpportunityDetail/Index?noticeUID=CO1.NTC.4771721&amp;isFromPublicArea=True&amp;isModal=true&amp;asPopupView=true</v>
      </c>
      <c r="AG853" s="290" t="s">
        <v>192</v>
      </c>
      <c r="AH853" s="290" t="s">
        <v>192</v>
      </c>
    </row>
    <row r="854" spans="1:34" s="297" customFormat="1" ht="15" customHeight="1" x14ac:dyDescent="0.2">
      <c r="A854" s="289">
        <v>891780111</v>
      </c>
      <c r="B854" s="289" t="s">
        <v>54</v>
      </c>
      <c r="C854" s="290" t="s">
        <v>56</v>
      </c>
      <c r="D854" s="289" t="s">
        <v>60</v>
      </c>
      <c r="E854" s="290" t="s">
        <v>9302</v>
      </c>
      <c r="F854" s="289" t="s">
        <v>61</v>
      </c>
      <c r="G854" s="85" t="s">
        <v>63</v>
      </c>
      <c r="H854" s="85" t="s">
        <v>73</v>
      </c>
      <c r="I854" s="237">
        <v>12600000</v>
      </c>
      <c r="J854" s="290"/>
      <c r="K854" s="291"/>
      <c r="L854" s="291"/>
      <c r="M854" s="292">
        <f t="shared" si="53"/>
        <v>12600000</v>
      </c>
      <c r="N854" s="85">
        <v>1098748884</v>
      </c>
      <c r="O854" s="85" t="s">
        <v>7772</v>
      </c>
      <c r="P854" s="85" t="s">
        <v>9303</v>
      </c>
      <c r="Q854" s="309">
        <f t="shared" si="56"/>
        <v>45126</v>
      </c>
      <c r="R854" s="309">
        <f t="shared" si="56"/>
        <v>45126</v>
      </c>
      <c r="S854" s="309">
        <f t="shared" si="57"/>
        <v>45260</v>
      </c>
      <c r="T854" s="293"/>
      <c r="U854" s="293"/>
      <c r="V854" s="293"/>
      <c r="W854" s="294"/>
      <c r="X854" s="237">
        <f>VLOOKUP(N854,[9]Pagos!$C$2:$D$353,2,FALSE)</f>
        <v>1400000</v>
      </c>
      <c r="Y854" s="295">
        <f t="shared" si="54"/>
        <v>11200000</v>
      </c>
      <c r="Z854" s="296">
        <f t="shared" si="55"/>
        <v>0.1111111111111111</v>
      </c>
      <c r="AA854" s="85">
        <v>36557666</v>
      </c>
      <c r="AB854" s="85" t="s">
        <v>6916</v>
      </c>
      <c r="AC854" s="290" t="s">
        <v>196</v>
      </c>
      <c r="AD854" s="290" t="s">
        <v>196</v>
      </c>
      <c r="AE854" s="303"/>
      <c r="AF854" s="310" t="str">
        <f>VLOOKUP(E854,[10]Hoja1!$D$3:$E$327,2,FALSE)</f>
        <v>https://community.secop.gov.co/Public/Tendering/OpportunityDetail/Index?noticeUID=CO1.NTC.4771534&amp;isFromPublicArea=True&amp;isModal=true&amp;asPopupView=true</v>
      </c>
      <c r="AG854" s="290" t="s">
        <v>192</v>
      </c>
      <c r="AH854" s="290" t="s">
        <v>192</v>
      </c>
    </row>
    <row r="855" spans="1:34" s="297" customFormat="1" ht="15" customHeight="1" x14ac:dyDescent="0.2">
      <c r="A855" s="289">
        <v>891780111</v>
      </c>
      <c r="B855" s="289" t="s">
        <v>54</v>
      </c>
      <c r="C855" s="290" t="s">
        <v>56</v>
      </c>
      <c r="D855" s="289" t="s">
        <v>60</v>
      </c>
      <c r="E855" s="290" t="s">
        <v>9304</v>
      </c>
      <c r="F855" s="289" t="s">
        <v>61</v>
      </c>
      <c r="G855" s="85" t="s">
        <v>63</v>
      </c>
      <c r="H855" s="85" t="s">
        <v>73</v>
      </c>
      <c r="I855" s="237">
        <v>12600000</v>
      </c>
      <c r="J855" s="290"/>
      <c r="K855" s="291"/>
      <c r="L855" s="291"/>
      <c r="M855" s="292">
        <f t="shared" si="53"/>
        <v>12600000</v>
      </c>
      <c r="N855" s="85">
        <v>1082881245</v>
      </c>
      <c r="O855" s="85" t="s">
        <v>6944</v>
      </c>
      <c r="P855" s="85" t="s">
        <v>9305</v>
      </c>
      <c r="Q855" s="309">
        <f t="shared" si="56"/>
        <v>45126</v>
      </c>
      <c r="R855" s="309">
        <f t="shared" si="56"/>
        <v>45126</v>
      </c>
      <c r="S855" s="309">
        <f t="shared" si="57"/>
        <v>45260</v>
      </c>
      <c r="T855" s="293"/>
      <c r="U855" s="293"/>
      <c r="V855" s="293"/>
      <c r="W855" s="294"/>
      <c r="X855" s="237">
        <f>VLOOKUP(N855,[9]Pagos!$C$2:$D$353,2,FALSE)</f>
        <v>1400000</v>
      </c>
      <c r="Y855" s="295">
        <f t="shared" si="54"/>
        <v>11200000</v>
      </c>
      <c r="Z855" s="296">
        <f t="shared" si="55"/>
        <v>0.1111111111111111</v>
      </c>
      <c r="AA855" s="85">
        <v>36557666</v>
      </c>
      <c r="AB855" s="85" t="s">
        <v>6916</v>
      </c>
      <c r="AC855" s="290" t="s">
        <v>196</v>
      </c>
      <c r="AD855" s="290" t="s">
        <v>196</v>
      </c>
      <c r="AE855" s="303"/>
      <c r="AF855" s="310" t="str">
        <f>VLOOKUP(E855,[10]Hoja1!$D$3:$E$327,2,FALSE)</f>
        <v>https://community.secop.gov.co/Public/Tendering/OpportunityDetail/Index?noticeUID=CO1.NTC.4771370&amp;isFromPublicArea=True&amp;isModal=true&amp;asPopupView=true</v>
      </c>
      <c r="AG855" s="290" t="s">
        <v>192</v>
      </c>
      <c r="AH855" s="290" t="s">
        <v>192</v>
      </c>
    </row>
    <row r="856" spans="1:34" s="297" customFormat="1" ht="15" customHeight="1" x14ac:dyDescent="0.2">
      <c r="A856" s="289">
        <v>891780111</v>
      </c>
      <c r="B856" s="289" t="s">
        <v>54</v>
      </c>
      <c r="C856" s="290" t="s">
        <v>56</v>
      </c>
      <c r="D856" s="289" t="s">
        <v>60</v>
      </c>
      <c r="E856" s="290" t="s">
        <v>9306</v>
      </c>
      <c r="F856" s="289" t="s">
        <v>61</v>
      </c>
      <c r="G856" s="85" t="s">
        <v>63</v>
      </c>
      <c r="H856" s="85" t="s">
        <v>73</v>
      </c>
      <c r="I856" s="237">
        <v>12600000</v>
      </c>
      <c r="J856" s="290"/>
      <c r="K856" s="291"/>
      <c r="L856" s="291"/>
      <c r="M856" s="292">
        <f t="shared" si="53"/>
        <v>12600000</v>
      </c>
      <c r="N856" s="85">
        <v>1193225456</v>
      </c>
      <c r="O856" s="85" t="s">
        <v>7618</v>
      </c>
      <c r="P856" s="85" t="s">
        <v>9307</v>
      </c>
      <c r="Q856" s="309">
        <f t="shared" si="56"/>
        <v>45126</v>
      </c>
      <c r="R856" s="309">
        <f t="shared" si="56"/>
        <v>45126</v>
      </c>
      <c r="S856" s="309">
        <f t="shared" si="57"/>
        <v>45260</v>
      </c>
      <c r="T856" s="293"/>
      <c r="U856" s="293"/>
      <c r="V856" s="293"/>
      <c r="W856" s="294"/>
      <c r="X856" s="237">
        <f>VLOOKUP(N856,[9]Pagos!$C$2:$D$353,2,FALSE)</f>
        <v>1400000</v>
      </c>
      <c r="Y856" s="295">
        <f t="shared" si="54"/>
        <v>11200000</v>
      </c>
      <c r="Z856" s="296">
        <f t="shared" si="55"/>
        <v>0.1111111111111111</v>
      </c>
      <c r="AA856" s="85">
        <v>36557666</v>
      </c>
      <c r="AB856" s="85" t="s">
        <v>6916</v>
      </c>
      <c r="AC856" s="290" t="s">
        <v>196</v>
      </c>
      <c r="AD856" s="290" t="s">
        <v>196</v>
      </c>
      <c r="AE856" s="303"/>
      <c r="AF856" s="310" t="str">
        <f>VLOOKUP(E856,[10]Hoja1!$D$3:$E$327,2,FALSE)</f>
        <v>https://community.secop.gov.co/Public/Tendering/OpportunityDetail/Index?noticeUID=CO1.NTC.4771626&amp;isFromPublicArea=True&amp;isModal=true&amp;asPopupView=true</v>
      </c>
      <c r="AG856" s="290" t="s">
        <v>192</v>
      </c>
      <c r="AH856" s="290" t="s">
        <v>192</v>
      </c>
    </row>
    <row r="857" spans="1:34" s="297" customFormat="1" ht="15" customHeight="1" x14ac:dyDescent="0.2">
      <c r="A857" s="289">
        <v>891780111</v>
      </c>
      <c r="B857" s="289" t="s">
        <v>54</v>
      </c>
      <c r="C857" s="290" t="s">
        <v>56</v>
      </c>
      <c r="D857" s="289" t="s">
        <v>60</v>
      </c>
      <c r="E857" s="290" t="s">
        <v>9308</v>
      </c>
      <c r="F857" s="289" t="s">
        <v>61</v>
      </c>
      <c r="G857" s="85" t="s">
        <v>63</v>
      </c>
      <c r="H857" s="85" t="s">
        <v>73</v>
      </c>
      <c r="I857" s="237">
        <v>9900000</v>
      </c>
      <c r="J857" s="290"/>
      <c r="K857" s="291"/>
      <c r="L857" s="291"/>
      <c r="M857" s="292">
        <f t="shared" si="53"/>
        <v>9900000</v>
      </c>
      <c r="N857" s="85">
        <v>1082949505</v>
      </c>
      <c r="O857" s="85" t="s">
        <v>8291</v>
      </c>
      <c r="P857" s="85" t="s">
        <v>9309</v>
      </c>
      <c r="Q857" s="309">
        <f t="shared" si="56"/>
        <v>45126</v>
      </c>
      <c r="R857" s="309">
        <f t="shared" si="56"/>
        <v>45126</v>
      </c>
      <c r="S857" s="309">
        <f t="shared" si="57"/>
        <v>45260</v>
      </c>
      <c r="T857" s="293"/>
      <c r="U857" s="293"/>
      <c r="V857" s="293"/>
      <c r="W857" s="294"/>
      <c r="X857" s="237">
        <f>VLOOKUP(N857,[9]Pagos!$C$2:$D$353,2,FALSE)</f>
        <v>1100000</v>
      </c>
      <c r="Y857" s="295">
        <f t="shared" si="54"/>
        <v>8800000</v>
      </c>
      <c r="Z857" s="296">
        <f t="shared" si="55"/>
        <v>0.1111111111111111</v>
      </c>
      <c r="AA857" s="85">
        <v>36557666</v>
      </c>
      <c r="AB857" s="85" t="s">
        <v>6916</v>
      </c>
      <c r="AC857" s="290" t="s">
        <v>196</v>
      </c>
      <c r="AD857" s="290" t="s">
        <v>196</v>
      </c>
      <c r="AE857" s="303"/>
      <c r="AF857" s="310" t="str">
        <f>VLOOKUP(E857,[10]Hoja1!$D$3:$E$327,2,FALSE)</f>
        <v>https://community.secop.gov.co/Public/Tendering/OpportunityDetail/Index?noticeUID=CO1.NTC.4771638&amp;isFromPublicArea=True&amp;isModal=true&amp;asPopupView=true</v>
      </c>
      <c r="AG857" s="290" t="s">
        <v>192</v>
      </c>
      <c r="AH857" s="290" t="s">
        <v>192</v>
      </c>
    </row>
    <row r="858" spans="1:34" s="297" customFormat="1" ht="15" customHeight="1" x14ac:dyDescent="0.2">
      <c r="A858" s="289">
        <v>891780111</v>
      </c>
      <c r="B858" s="289" t="s">
        <v>54</v>
      </c>
      <c r="C858" s="290" t="s">
        <v>56</v>
      </c>
      <c r="D858" s="289" t="s">
        <v>60</v>
      </c>
      <c r="E858" s="290" t="s">
        <v>9310</v>
      </c>
      <c r="F858" s="289" t="s">
        <v>61</v>
      </c>
      <c r="G858" s="85" t="s">
        <v>63</v>
      </c>
      <c r="H858" s="85" t="s">
        <v>73</v>
      </c>
      <c r="I858" s="237">
        <v>12600000</v>
      </c>
      <c r="J858" s="290"/>
      <c r="K858" s="291"/>
      <c r="L858" s="291"/>
      <c r="M858" s="292">
        <f t="shared" si="53"/>
        <v>12600000</v>
      </c>
      <c r="N858" s="85">
        <v>1103122639</v>
      </c>
      <c r="O858" s="85" t="s">
        <v>7810</v>
      </c>
      <c r="P858" s="85" t="s">
        <v>9311</v>
      </c>
      <c r="Q858" s="309">
        <f t="shared" si="56"/>
        <v>45126</v>
      </c>
      <c r="R858" s="309">
        <f t="shared" si="56"/>
        <v>45126</v>
      </c>
      <c r="S858" s="309">
        <f t="shared" si="57"/>
        <v>45260</v>
      </c>
      <c r="T858" s="293"/>
      <c r="U858" s="293"/>
      <c r="V858" s="293"/>
      <c r="W858" s="294"/>
      <c r="X858" s="237">
        <f>VLOOKUP(N858,[9]Pagos!$C$2:$D$353,2,FALSE)</f>
        <v>1400000</v>
      </c>
      <c r="Y858" s="295">
        <f t="shared" si="54"/>
        <v>11200000</v>
      </c>
      <c r="Z858" s="296">
        <f t="shared" si="55"/>
        <v>0.1111111111111111</v>
      </c>
      <c r="AA858" s="85">
        <v>36557666</v>
      </c>
      <c r="AB858" s="85" t="s">
        <v>6916</v>
      </c>
      <c r="AC858" s="290" t="s">
        <v>196</v>
      </c>
      <c r="AD858" s="290" t="s">
        <v>196</v>
      </c>
      <c r="AE858" s="303"/>
      <c r="AF858" s="310" t="str">
        <f>VLOOKUP(E858,[10]Hoja1!$D$3:$E$327,2,FALSE)</f>
        <v>https://community.secop.gov.co/Public/Tendering/OpportunityDetail/Index?noticeUID=CO1.NTC.4771574&amp;isFromPublicArea=True&amp;isModal=true&amp;asPopupView=true</v>
      </c>
      <c r="AG858" s="290" t="s">
        <v>192</v>
      </c>
      <c r="AH858" s="290" t="s">
        <v>192</v>
      </c>
    </row>
    <row r="859" spans="1:34" s="297" customFormat="1" ht="15" customHeight="1" x14ac:dyDescent="0.2">
      <c r="A859" s="289">
        <v>891780111</v>
      </c>
      <c r="B859" s="289" t="s">
        <v>54</v>
      </c>
      <c r="C859" s="290" t="s">
        <v>56</v>
      </c>
      <c r="D859" s="289" t="s">
        <v>60</v>
      </c>
      <c r="E859" s="290" t="s">
        <v>9312</v>
      </c>
      <c r="F859" s="289" t="s">
        <v>61</v>
      </c>
      <c r="G859" s="85" t="s">
        <v>63</v>
      </c>
      <c r="H859" s="85" t="s">
        <v>73</v>
      </c>
      <c r="I859" s="237">
        <v>15750000</v>
      </c>
      <c r="J859" s="290"/>
      <c r="K859" s="291"/>
      <c r="L859" s="291"/>
      <c r="M859" s="292">
        <f t="shared" si="53"/>
        <v>15750000</v>
      </c>
      <c r="N859" s="85">
        <v>57427903</v>
      </c>
      <c r="O859" s="85" t="s">
        <v>8303</v>
      </c>
      <c r="P859" s="85" t="s">
        <v>9313</v>
      </c>
      <c r="Q859" s="309">
        <f t="shared" ref="Q859:R869" si="58">DATE(2023,7,19)</f>
        <v>45126</v>
      </c>
      <c r="R859" s="309">
        <f t="shared" si="58"/>
        <v>45126</v>
      </c>
      <c r="S859" s="309">
        <f t="shared" si="57"/>
        <v>45260</v>
      </c>
      <c r="T859" s="293"/>
      <c r="U859" s="293"/>
      <c r="V859" s="293"/>
      <c r="W859" s="294"/>
      <c r="X859" s="237">
        <f>VLOOKUP(N859,[9]Pagos!$C$2:$D$353,2,FALSE)</f>
        <v>1750000</v>
      </c>
      <c r="Y859" s="295">
        <f t="shared" si="54"/>
        <v>14000000</v>
      </c>
      <c r="Z859" s="296">
        <f t="shared" si="55"/>
        <v>0.1111111111111111</v>
      </c>
      <c r="AA859" s="85">
        <v>57441846</v>
      </c>
      <c r="AB859" s="85" t="s">
        <v>6885</v>
      </c>
      <c r="AC859" s="290" t="s">
        <v>196</v>
      </c>
      <c r="AD859" s="290" t="s">
        <v>196</v>
      </c>
      <c r="AE859" s="303"/>
      <c r="AF859" s="310" t="str">
        <f>VLOOKUP(E859,[10]Hoja1!$D$3:$E$327,2,FALSE)</f>
        <v>https://community.secop.gov.co/Public/Tendering/OpportunityDetail/Index?noticeUID=CO1.NTC.4771387&amp;isFromPublicArea=True&amp;isModal=true&amp;asPopupView=true</v>
      </c>
      <c r="AG859" s="290" t="s">
        <v>192</v>
      </c>
      <c r="AH859" s="290" t="s">
        <v>192</v>
      </c>
    </row>
    <row r="860" spans="1:34" s="297" customFormat="1" ht="15" customHeight="1" x14ac:dyDescent="0.2">
      <c r="A860" s="289">
        <v>891780111</v>
      </c>
      <c r="B860" s="289" t="s">
        <v>54</v>
      </c>
      <c r="C860" s="290" t="s">
        <v>56</v>
      </c>
      <c r="D860" s="289" t="s">
        <v>60</v>
      </c>
      <c r="E860" s="290" t="s">
        <v>9314</v>
      </c>
      <c r="F860" s="289" t="s">
        <v>61</v>
      </c>
      <c r="G860" s="85" t="s">
        <v>63</v>
      </c>
      <c r="H860" s="85" t="s">
        <v>73</v>
      </c>
      <c r="I860" s="237">
        <v>12600000</v>
      </c>
      <c r="J860" s="290"/>
      <c r="K860" s="291"/>
      <c r="L860" s="291"/>
      <c r="M860" s="292">
        <f t="shared" si="53"/>
        <v>12600000</v>
      </c>
      <c r="N860" s="85">
        <v>1083024033</v>
      </c>
      <c r="O860" s="85" t="s">
        <v>7838</v>
      </c>
      <c r="P860" s="85" t="s">
        <v>9315</v>
      </c>
      <c r="Q860" s="309">
        <f t="shared" si="58"/>
        <v>45126</v>
      </c>
      <c r="R860" s="309">
        <f t="shared" si="58"/>
        <v>45126</v>
      </c>
      <c r="S860" s="309">
        <f t="shared" si="57"/>
        <v>45260</v>
      </c>
      <c r="T860" s="293"/>
      <c r="U860" s="293"/>
      <c r="V860" s="293"/>
      <c r="W860" s="294"/>
      <c r="X860" s="237">
        <f>VLOOKUP(N860,[9]Pagos!$C$2:$D$353,2,FALSE)</f>
        <v>1400000</v>
      </c>
      <c r="Y860" s="295">
        <f t="shared" si="54"/>
        <v>11200000</v>
      </c>
      <c r="Z860" s="296">
        <f t="shared" si="55"/>
        <v>0.1111111111111111</v>
      </c>
      <c r="AA860" s="85">
        <v>36557666</v>
      </c>
      <c r="AB860" s="85" t="s">
        <v>6916</v>
      </c>
      <c r="AC860" s="290" t="s">
        <v>196</v>
      </c>
      <c r="AD860" s="290" t="s">
        <v>196</v>
      </c>
      <c r="AE860" s="303"/>
      <c r="AF860" s="310" t="str">
        <f>VLOOKUP(E860,[10]Hoja1!$D$3:$E$327,2,FALSE)</f>
        <v>https://community.secop.gov.co/Public/Tendering/OpportunityDetail/Index?noticeUID=CO1.NTC.4770902&amp;isFromPublicArea=True&amp;isModal=true&amp;asPopupView=true</v>
      </c>
      <c r="AG860" s="290" t="s">
        <v>192</v>
      </c>
      <c r="AH860" s="290" t="s">
        <v>192</v>
      </c>
    </row>
    <row r="861" spans="1:34" s="297" customFormat="1" ht="15" customHeight="1" x14ac:dyDescent="0.2">
      <c r="A861" s="289">
        <v>891780111</v>
      </c>
      <c r="B861" s="289" t="s">
        <v>54</v>
      </c>
      <c r="C861" s="290" t="s">
        <v>56</v>
      </c>
      <c r="D861" s="289" t="s">
        <v>60</v>
      </c>
      <c r="E861" s="290" t="s">
        <v>9316</v>
      </c>
      <c r="F861" s="289" t="s">
        <v>61</v>
      </c>
      <c r="G861" s="85" t="s">
        <v>63</v>
      </c>
      <c r="H861" s="85" t="s">
        <v>73</v>
      </c>
      <c r="I861" s="237">
        <v>8550000</v>
      </c>
      <c r="J861" s="290"/>
      <c r="K861" s="291"/>
      <c r="L861" s="291"/>
      <c r="M861" s="292">
        <f t="shared" si="53"/>
        <v>8550000</v>
      </c>
      <c r="N861" s="85">
        <v>1083040669</v>
      </c>
      <c r="O861" s="85" t="s">
        <v>7106</v>
      </c>
      <c r="P861" s="85" t="s">
        <v>9317</v>
      </c>
      <c r="Q861" s="309">
        <f t="shared" si="58"/>
        <v>45126</v>
      </c>
      <c r="R861" s="309">
        <f t="shared" si="58"/>
        <v>45126</v>
      </c>
      <c r="S861" s="309">
        <f t="shared" si="57"/>
        <v>45260</v>
      </c>
      <c r="T861" s="293"/>
      <c r="U861" s="293"/>
      <c r="V861" s="293"/>
      <c r="W861" s="294"/>
      <c r="X861" s="237">
        <f>VLOOKUP(N861,[9]Pagos!$C$2:$D$353,2,FALSE)</f>
        <v>950000</v>
      </c>
      <c r="Y861" s="295">
        <f t="shared" si="54"/>
        <v>7600000</v>
      </c>
      <c r="Z861" s="296">
        <f t="shared" si="55"/>
        <v>0.1111111111111111</v>
      </c>
      <c r="AA861" s="85">
        <v>36718996</v>
      </c>
      <c r="AB861" s="85" t="s">
        <v>6686</v>
      </c>
      <c r="AC861" s="290" t="s">
        <v>196</v>
      </c>
      <c r="AD861" s="290" t="s">
        <v>196</v>
      </c>
      <c r="AE861" s="303"/>
      <c r="AF861" s="310" t="str">
        <f>VLOOKUP(E861,[10]Hoja1!$D$3:$E$327,2,FALSE)</f>
        <v>https://community.secop.gov.co/Public/Tendering/OpportunityDetail/Index?noticeUID=CO1.NTC.4770879&amp;isFromPublicArea=True&amp;isModal=true&amp;asPopupView=true</v>
      </c>
      <c r="AG861" s="290" t="s">
        <v>192</v>
      </c>
      <c r="AH861" s="290" t="s">
        <v>192</v>
      </c>
    </row>
    <row r="862" spans="1:34" s="297" customFormat="1" ht="15" customHeight="1" x14ac:dyDescent="0.2">
      <c r="A862" s="289">
        <v>891780111</v>
      </c>
      <c r="B862" s="289" t="s">
        <v>54</v>
      </c>
      <c r="C862" s="290" t="s">
        <v>56</v>
      </c>
      <c r="D862" s="289" t="s">
        <v>60</v>
      </c>
      <c r="E862" s="290" t="s">
        <v>9318</v>
      </c>
      <c r="F862" s="289" t="s">
        <v>61</v>
      </c>
      <c r="G862" s="85" t="s">
        <v>63</v>
      </c>
      <c r="H862" s="85" t="s">
        <v>73</v>
      </c>
      <c r="I862" s="237">
        <v>13950000</v>
      </c>
      <c r="J862" s="290"/>
      <c r="K862" s="291"/>
      <c r="L862" s="291"/>
      <c r="M862" s="292">
        <f t="shared" si="53"/>
        <v>13950000</v>
      </c>
      <c r="N862" s="85">
        <v>1067900773</v>
      </c>
      <c r="O862" s="85" t="s">
        <v>7879</v>
      </c>
      <c r="P862" s="85" t="s">
        <v>9319</v>
      </c>
      <c r="Q862" s="309">
        <f t="shared" si="58"/>
        <v>45126</v>
      </c>
      <c r="R862" s="309">
        <f t="shared" si="58"/>
        <v>45126</v>
      </c>
      <c r="S862" s="309">
        <f t="shared" si="57"/>
        <v>45260</v>
      </c>
      <c r="T862" s="293"/>
      <c r="U862" s="293"/>
      <c r="V862" s="293"/>
      <c r="W862" s="294"/>
      <c r="X862" s="237">
        <f>VLOOKUP(N862,[9]Pagos!$C$2:$D$353,2,FALSE)</f>
        <v>1550000</v>
      </c>
      <c r="Y862" s="295">
        <f t="shared" si="54"/>
        <v>12400000</v>
      </c>
      <c r="Z862" s="296">
        <f t="shared" si="55"/>
        <v>0.1111111111111111</v>
      </c>
      <c r="AA862" s="85">
        <v>72175281</v>
      </c>
      <c r="AB862" s="85" t="s">
        <v>6507</v>
      </c>
      <c r="AC862" s="290" t="s">
        <v>196</v>
      </c>
      <c r="AD862" s="290" t="s">
        <v>196</v>
      </c>
      <c r="AE862" s="303"/>
      <c r="AF862" s="310" t="str">
        <f>VLOOKUP(E862,[10]Hoja1!$D$3:$E$327,2,FALSE)</f>
        <v>https://community.secop.gov.co/Public/Tendering/OpportunityDetail/Index?noticeUID=CO1.NTC.4771221&amp;isFromPublicArea=True&amp;isModal=true&amp;asPopupView=true</v>
      </c>
      <c r="AG862" s="290" t="s">
        <v>192</v>
      </c>
      <c r="AH862" s="290" t="s">
        <v>192</v>
      </c>
    </row>
    <row r="863" spans="1:34" s="297" customFormat="1" ht="15" customHeight="1" x14ac:dyDescent="0.2">
      <c r="A863" s="289">
        <v>891780111</v>
      </c>
      <c r="B863" s="289" t="s">
        <v>54</v>
      </c>
      <c r="C863" s="290" t="s">
        <v>56</v>
      </c>
      <c r="D863" s="289" t="s">
        <v>60</v>
      </c>
      <c r="E863" s="290" t="s">
        <v>9320</v>
      </c>
      <c r="F863" s="289" t="s">
        <v>61</v>
      </c>
      <c r="G863" s="85" t="s">
        <v>63</v>
      </c>
      <c r="H863" s="85" t="s">
        <v>73</v>
      </c>
      <c r="I863" s="237">
        <v>19350000</v>
      </c>
      <c r="J863" s="290"/>
      <c r="K863" s="291"/>
      <c r="L863" s="291"/>
      <c r="M863" s="292">
        <f t="shared" si="53"/>
        <v>19350000</v>
      </c>
      <c r="N863" s="85">
        <v>1082935721</v>
      </c>
      <c r="O863" s="85" t="s">
        <v>8035</v>
      </c>
      <c r="P863" s="85" t="s">
        <v>9247</v>
      </c>
      <c r="Q863" s="309">
        <f t="shared" si="58"/>
        <v>45126</v>
      </c>
      <c r="R863" s="309">
        <f t="shared" si="58"/>
        <v>45126</v>
      </c>
      <c r="S863" s="309">
        <f t="shared" si="57"/>
        <v>45260</v>
      </c>
      <c r="T863" s="293"/>
      <c r="U863" s="293"/>
      <c r="V863" s="293"/>
      <c r="W863" s="294"/>
      <c r="X863" s="237">
        <f>VLOOKUP(N863,[9]Pagos!$C$2:$D$353,2,FALSE)</f>
        <v>2150000</v>
      </c>
      <c r="Y863" s="295">
        <f t="shared" si="54"/>
        <v>17200000</v>
      </c>
      <c r="Z863" s="296">
        <f t="shared" si="55"/>
        <v>0.1111111111111111</v>
      </c>
      <c r="AA863" s="85"/>
      <c r="AB863" s="85" t="s">
        <v>9081</v>
      </c>
      <c r="AC863" s="290" t="s">
        <v>196</v>
      </c>
      <c r="AD863" s="290" t="s">
        <v>196</v>
      </c>
      <c r="AE863" s="303"/>
      <c r="AF863" s="310" t="str">
        <f>VLOOKUP(E863,[10]Hoja1!$D$3:$E$327,2,FALSE)</f>
        <v>https://community.secop.gov.co/Public/Tendering/OpportunityDetail/Index?noticeUID=CO1.NTC.4771162&amp;isFromPublicArea=True&amp;isModal=true&amp;asPopupView=true</v>
      </c>
      <c r="AG863" s="290" t="s">
        <v>192</v>
      </c>
      <c r="AH863" s="290" t="s">
        <v>192</v>
      </c>
    </row>
    <row r="864" spans="1:34" s="297" customFormat="1" ht="15" customHeight="1" x14ac:dyDescent="0.2">
      <c r="A864" s="289">
        <v>891780111</v>
      </c>
      <c r="B864" s="289" t="s">
        <v>54</v>
      </c>
      <c r="C864" s="290" t="s">
        <v>56</v>
      </c>
      <c r="D864" s="289" t="s">
        <v>60</v>
      </c>
      <c r="E864" s="290" t="s">
        <v>9321</v>
      </c>
      <c r="F864" s="289" t="s">
        <v>61</v>
      </c>
      <c r="G864" s="85" t="s">
        <v>63</v>
      </c>
      <c r="H864" s="85" t="s">
        <v>73</v>
      </c>
      <c r="I864" s="237">
        <v>11250000</v>
      </c>
      <c r="J864" s="290"/>
      <c r="K864" s="291"/>
      <c r="L864" s="291"/>
      <c r="M864" s="292">
        <f t="shared" si="53"/>
        <v>11250000</v>
      </c>
      <c r="N864" s="85">
        <v>36724927</v>
      </c>
      <c r="O864" s="85" t="s">
        <v>8039</v>
      </c>
      <c r="P864" s="85" t="s">
        <v>9322</v>
      </c>
      <c r="Q864" s="309">
        <f t="shared" si="58"/>
        <v>45126</v>
      </c>
      <c r="R864" s="309">
        <f t="shared" si="58"/>
        <v>45126</v>
      </c>
      <c r="S864" s="309">
        <f t="shared" si="57"/>
        <v>45260</v>
      </c>
      <c r="T864" s="293"/>
      <c r="U864" s="293"/>
      <c r="V864" s="293"/>
      <c r="W864" s="294"/>
      <c r="X864" s="237">
        <f>VLOOKUP(N864,[9]Pagos!$C$2:$D$353,2,FALSE)</f>
        <v>1250000</v>
      </c>
      <c r="Y864" s="295">
        <f t="shared" si="54"/>
        <v>10000000</v>
      </c>
      <c r="Z864" s="296">
        <f t="shared" si="55"/>
        <v>0.1111111111111111</v>
      </c>
      <c r="AA864" s="85">
        <v>85459497</v>
      </c>
      <c r="AB864" s="85" t="s">
        <v>4837</v>
      </c>
      <c r="AC864" s="290" t="s">
        <v>196</v>
      </c>
      <c r="AD864" s="290" t="s">
        <v>196</v>
      </c>
      <c r="AE864" s="303"/>
      <c r="AF864" s="310" t="str">
        <f>VLOOKUP(E864,[10]Hoja1!$D$3:$E$327,2,FALSE)</f>
        <v>https://community.secop.gov.co/Public/Tendering/OpportunityDetail/Index?noticeUID=CO1.NTC.4771934&amp;isFromPublicArea=True&amp;isModal=true&amp;asPopupView=true</v>
      </c>
      <c r="AG864" s="290" t="s">
        <v>192</v>
      </c>
      <c r="AH864" s="290" t="s">
        <v>192</v>
      </c>
    </row>
    <row r="865" spans="1:34" s="297" customFormat="1" ht="15" customHeight="1" x14ac:dyDescent="0.2">
      <c r="A865" s="289">
        <v>891780111</v>
      </c>
      <c r="B865" s="289" t="s">
        <v>54</v>
      </c>
      <c r="C865" s="290" t="s">
        <v>56</v>
      </c>
      <c r="D865" s="289" t="s">
        <v>60</v>
      </c>
      <c r="E865" s="290" t="s">
        <v>9323</v>
      </c>
      <c r="F865" s="289" t="s">
        <v>61</v>
      </c>
      <c r="G865" s="85" t="s">
        <v>63</v>
      </c>
      <c r="H865" s="85" t="s">
        <v>73</v>
      </c>
      <c r="I865" s="237">
        <v>11250000</v>
      </c>
      <c r="J865" s="290"/>
      <c r="K865" s="291"/>
      <c r="L865" s="291"/>
      <c r="M865" s="292">
        <f t="shared" si="53"/>
        <v>11250000</v>
      </c>
      <c r="N865" s="85">
        <v>1082925612</v>
      </c>
      <c r="O865" s="85" t="s">
        <v>6689</v>
      </c>
      <c r="P865" s="85" t="s">
        <v>9324</v>
      </c>
      <c r="Q865" s="309">
        <f t="shared" si="58"/>
        <v>45126</v>
      </c>
      <c r="R865" s="309">
        <f t="shared" si="58"/>
        <v>45126</v>
      </c>
      <c r="S865" s="309">
        <f t="shared" si="57"/>
        <v>45260</v>
      </c>
      <c r="T865" s="293"/>
      <c r="U865" s="293"/>
      <c r="V865" s="293"/>
      <c r="W865" s="294"/>
      <c r="X865" s="237">
        <f>VLOOKUP(N865,[9]Pagos!$C$2:$D$353,2,FALSE)</f>
        <v>1250000</v>
      </c>
      <c r="Y865" s="295">
        <f t="shared" si="54"/>
        <v>10000000</v>
      </c>
      <c r="Z865" s="296">
        <f t="shared" si="55"/>
        <v>0.1111111111111111</v>
      </c>
      <c r="AA865" s="85">
        <v>85465146</v>
      </c>
      <c r="AB865" s="85" t="s">
        <v>6628</v>
      </c>
      <c r="AC865" s="290" t="s">
        <v>196</v>
      </c>
      <c r="AD865" s="290" t="s">
        <v>196</v>
      </c>
      <c r="AE865" s="303"/>
      <c r="AF865" s="310" t="str">
        <f>VLOOKUP(E865,[10]Hoja1!$D$3:$E$327,2,FALSE)</f>
        <v>https://community.secop.gov.co/Public/Tendering/OpportunityDetail/Index?noticeUID=CO1.NTC.4772128&amp;isFromPublicArea=True&amp;isModal=true&amp;asPopupView=true</v>
      </c>
      <c r="AG865" s="290" t="s">
        <v>192</v>
      </c>
      <c r="AH865" s="290" t="s">
        <v>192</v>
      </c>
    </row>
    <row r="866" spans="1:34" s="297" customFormat="1" ht="15" customHeight="1" x14ac:dyDescent="0.2">
      <c r="A866" s="289">
        <v>891780111</v>
      </c>
      <c r="B866" s="289" t="s">
        <v>54</v>
      </c>
      <c r="C866" s="290" t="s">
        <v>56</v>
      </c>
      <c r="D866" s="289" t="s">
        <v>60</v>
      </c>
      <c r="E866" s="290" t="s">
        <v>9325</v>
      </c>
      <c r="F866" s="289" t="s">
        <v>61</v>
      </c>
      <c r="G866" s="85" t="s">
        <v>63</v>
      </c>
      <c r="H866" s="85" t="s">
        <v>73</v>
      </c>
      <c r="I866" s="237">
        <v>22500000</v>
      </c>
      <c r="J866" s="290"/>
      <c r="K866" s="291"/>
      <c r="L866" s="291"/>
      <c r="M866" s="292">
        <f t="shared" si="53"/>
        <v>22500000</v>
      </c>
      <c r="N866" s="85">
        <v>13542773</v>
      </c>
      <c r="O866" s="85" t="s">
        <v>6411</v>
      </c>
      <c r="P866" s="85" t="s">
        <v>9326</v>
      </c>
      <c r="Q866" s="309">
        <f t="shared" si="58"/>
        <v>45126</v>
      </c>
      <c r="R866" s="309">
        <f t="shared" si="58"/>
        <v>45126</v>
      </c>
      <c r="S866" s="309">
        <f t="shared" si="57"/>
        <v>45260</v>
      </c>
      <c r="T866" s="293"/>
      <c r="U866" s="293"/>
      <c r="V866" s="293"/>
      <c r="W866" s="294"/>
      <c r="X866" s="237">
        <f>VLOOKUP(N866,[9]Pagos!$C$2:$D$353,2,FALSE)</f>
        <v>2500000</v>
      </c>
      <c r="Y866" s="295">
        <f t="shared" si="54"/>
        <v>20000000</v>
      </c>
      <c r="Z866" s="296">
        <f t="shared" si="55"/>
        <v>0.1111111111111111</v>
      </c>
      <c r="AA866" s="85">
        <v>85455983</v>
      </c>
      <c r="AB866" s="85" t="s">
        <v>6413</v>
      </c>
      <c r="AC866" s="290" t="s">
        <v>196</v>
      </c>
      <c r="AD866" s="290" t="s">
        <v>196</v>
      </c>
      <c r="AE866" s="303"/>
      <c r="AF866" s="310" t="str">
        <f>VLOOKUP(E866,[10]Hoja1!$D$3:$E$327,2,FALSE)</f>
        <v>https://community.secop.gov.co/Public/Tendering/OpportunityDetail/Index?noticeUID=CO1.NTC.4773981&amp;isFromPublicArea=True&amp;isModal=true&amp;asPopupView=true</v>
      </c>
      <c r="AG866" s="290" t="s">
        <v>192</v>
      </c>
      <c r="AH866" s="290" t="s">
        <v>192</v>
      </c>
    </row>
    <row r="867" spans="1:34" s="297" customFormat="1" ht="15" customHeight="1" x14ac:dyDescent="0.2">
      <c r="A867" s="289">
        <v>891780111</v>
      </c>
      <c r="B867" s="289" t="s">
        <v>54</v>
      </c>
      <c r="C867" s="290" t="s">
        <v>56</v>
      </c>
      <c r="D867" s="289" t="s">
        <v>60</v>
      </c>
      <c r="E867" s="290" t="s">
        <v>9327</v>
      </c>
      <c r="F867" s="289" t="s">
        <v>61</v>
      </c>
      <c r="G867" s="85" t="s">
        <v>63</v>
      </c>
      <c r="H867" s="85" t="s">
        <v>73</v>
      </c>
      <c r="I867" s="237">
        <v>9314000</v>
      </c>
      <c r="J867" s="290"/>
      <c r="K867" s="291"/>
      <c r="L867" s="291"/>
      <c r="M867" s="292">
        <f t="shared" si="53"/>
        <v>9314000</v>
      </c>
      <c r="N867" s="85">
        <v>1083033311</v>
      </c>
      <c r="O867" s="85" t="s">
        <v>8370</v>
      </c>
      <c r="P867" s="85" t="s">
        <v>9328</v>
      </c>
      <c r="Q867" s="309">
        <f t="shared" si="58"/>
        <v>45126</v>
      </c>
      <c r="R867" s="309">
        <f>DATE(2023,7,24)</f>
        <v>45131</v>
      </c>
      <c r="S867" s="309">
        <f t="shared" si="57"/>
        <v>45260</v>
      </c>
      <c r="T867" s="293"/>
      <c r="U867" s="293"/>
      <c r="V867" s="293"/>
      <c r="W867" s="294"/>
      <c r="X867" s="237">
        <f>VLOOKUP(N867,[9]Pagos!$C$2:$D$353,2,FALSE)</f>
        <v>514000</v>
      </c>
      <c r="Y867" s="295">
        <f t="shared" si="54"/>
        <v>8800000</v>
      </c>
      <c r="Z867" s="296">
        <f t="shared" si="55"/>
        <v>5.5185741893923126E-2</v>
      </c>
      <c r="AA867" s="85">
        <v>1082868728</v>
      </c>
      <c r="AB867" s="85" t="s">
        <v>6010</v>
      </c>
      <c r="AC867" s="290" t="s">
        <v>196</v>
      </c>
      <c r="AD867" s="290" t="s">
        <v>196</v>
      </c>
      <c r="AE867" s="303"/>
      <c r="AF867" s="310" t="str">
        <f>VLOOKUP(E867,[10]Hoja1!$D$3:$E$327,2,FALSE)</f>
        <v>https://community.secop.gov.co/Public/Tendering/OpportunityDetail/Index?noticeUID=CO1.NTC.4770529&amp;isFromPublicArea=True&amp;isModal=true&amp;asPopupView=true</v>
      </c>
      <c r="AG867" s="290" t="s">
        <v>192</v>
      </c>
      <c r="AH867" s="290" t="s">
        <v>192</v>
      </c>
    </row>
    <row r="868" spans="1:34" s="297" customFormat="1" ht="15" customHeight="1" x14ac:dyDescent="0.2">
      <c r="A868" s="289">
        <v>891780111</v>
      </c>
      <c r="B868" s="289" t="s">
        <v>54</v>
      </c>
      <c r="C868" s="290" t="s">
        <v>56</v>
      </c>
      <c r="D868" s="289" t="s">
        <v>60</v>
      </c>
      <c r="E868" s="290" t="s">
        <v>9329</v>
      </c>
      <c r="F868" s="289" t="s">
        <v>61</v>
      </c>
      <c r="G868" s="85" t="s">
        <v>63</v>
      </c>
      <c r="H868" s="85" t="s">
        <v>73</v>
      </c>
      <c r="I868" s="237">
        <v>9314000</v>
      </c>
      <c r="J868" s="290"/>
      <c r="K868" s="291"/>
      <c r="L868" s="291"/>
      <c r="M868" s="292">
        <f t="shared" si="53"/>
        <v>9314000</v>
      </c>
      <c r="N868" s="85">
        <v>1083026685</v>
      </c>
      <c r="O868" s="85" t="s">
        <v>8710</v>
      </c>
      <c r="P868" s="85" t="s">
        <v>9330</v>
      </c>
      <c r="Q868" s="309">
        <f t="shared" si="58"/>
        <v>45126</v>
      </c>
      <c r="R868" s="309">
        <f>DATE(2023,7,24)</f>
        <v>45131</v>
      </c>
      <c r="S868" s="309">
        <f t="shared" si="57"/>
        <v>45260</v>
      </c>
      <c r="T868" s="293"/>
      <c r="U868" s="293"/>
      <c r="V868" s="293"/>
      <c r="W868" s="294"/>
      <c r="X868" s="237">
        <f>VLOOKUP(N868,[9]Pagos!$C$2:$D$353,2,FALSE)</f>
        <v>514000</v>
      </c>
      <c r="Y868" s="295">
        <f t="shared" si="54"/>
        <v>8800000</v>
      </c>
      <c r="Z868" s="296">
        <f t="shared" si="55"/>
        <v>5.5185741893923126E-2</v>
      </c>
      <c r="AA868" s="85">
        <v>1082868728</v>
      </c>
      <c r="AB868" s="85" t="s">
        <v>6010</v>
      </c>
      <c r="AC868" s="290" t="s">
        <v>196</v>
      </c>
      <c r="AD868" s="290" t="s">
        <v>196</v>
      </c>
      <c r="AE868" s="303"/>
      <c r="AF868" s="310" t="str">
        <f>VLOOKUP(E868,[10]Hoja1!$D$3:$E$327,2,FALSE)</f>
        <v>https://community.secop.gov.co/Public/Tendering/OpportunityDetail/Index?noticeUID=CO1.NTC.4770538&amp;isFromPublicArea=True&amp;isModal=true&amp;asPopupView=true</v>
      </c>
      <c r="AG868" s="290" t="s">
        <v>192</v>
      </c>
      <c r="AH868" s="290" t="s">
        <v>192</v>
      </c>
    </row>
    <row r="869" spans="1:34" s="297" customFormat="1" ht="15" customHeight="1" x14ac:dyDescent="0.2">
      <c r="A869" s="289">
        <v>891780111</v>
      </c>
      <c r="B869" s="289" t="s">
        <v>54</v>
      </c>
      <c r="C869" s="290" t="s">
        <v>56</v>
      </c>
      <c r="D869" s="289" t="s">
        <v>60</v>
      </c>
      <c r="E869" s="290" t="s">
        <v>9331</v>
      </c>
      <c r="F869" s="289" t="s">
        <v>61</v>
      </c>
      <c r="G869" s="85" t="s">
        <v>63</v>
      </c>
      <c r="H869" s="85" t="s">
        <v>73</v>
      </c>
      <c r="I869" s="237">
        <v>11250000</v>
      </c>
      <c r="J869" s="290"/>
      <c r="K869" s="291"/>
      <c r="L869" s="291"/>
      <c r="M869" s="292">
        <f t="shared" si="53"/>
        <v>11250000</v>
      </c>
      <c r="N869" s="85">
        <v>1082996963</v>
      </c>
      <c r="O869" s="85" t="s">
        <v>7596</v>
      </c>
      <c r="P869" s="85" t="s">
        <v>9332</v>
      </c>
      <c r="Q869" s="309">
        <f t="shared" si="58"/>
        <v>45126</v>
      </c>
      <c r="R869" s="309">
        <f t="shared" si="58"/>
        <v>45126</v>
      </c>
      <c r="S869" s="309">
        <f t="shared" si="57"/>
        <v>45260</v>
      </c>
      <c r="T869" s="293"/>
      <c r="U869" s="293"/>
      <c r="V869" s="293"/>
      <c r="W869" s="294"/>
      <c r="X869" s="237">
        <f>VLOOKUP(N869,[9]Pagos!$C$2:$D$353,2,FALSE)</f>
        <v>1250000</v>
      </c>
      <c r="Y869" s="295">
        <f t="shared" si="54"/>
        <v>10000000</v>
      </c>
      <c r="Z869" s="296">
        <f t="shared" si="55"/>
        <v>0.1111111111111111</v>
      </c>
      <c r="AA869" s="85">
        <v>30766322</v>
      </c>
      <c r="AB869" s="85" t="s">
        <v>7598</v>
      </c>
      <c r="AC869" s="290" t="s">
        <v>196</v>
      </c>
      <c r="AD869" s="290" t="s">
        <v>196</v>
      </c>
      <c r="AE869" s="303"/>
      <c r="AF869" s="310" t="str">
        <f>VLOOKUP(E869,[10]Hoja1!$D$3:$E$327,2,FALSE)</f>
        <v>https://community.secop.gov.co/Public/Tendering/OpportunityDetail/Index?noticeUID=CO1.NTC.4774038&amp;isFromPublicArea=True&amp;isModal=true&amp;asPopupView=true</v>
      </c>
      <c r="AG869" s="290" t="s">
        <v>192</v>
      </c>
      <c r="AH869" s="290" t="s">
        <v>192</v>
      </c>
    </row>
    <row r="870" spans="1:34" s="297" customFormat="1" ht="15" customHeight="1" x14ac:dyDescent="0.2">
      <c r="A870" s="289">
        <v>891780111</v>
      </c>
      <c r="B870" s="289" t="s">
        <v>54</v>
      </c>
      <c r="C870" s="290" t="s">
        <v>56</v>
      </c>
      <c r="D870" s="289" t="s">
        <v>60</v>
      </c>
      <c r="E870" s="290" t="s">
        <v>9333</v>
      </c>
      <c r="F870" s="289" t="s">
        <v>61</v>
      </c>
      <c r="G870" s="85" t="s">
        <v>63</v>
      </c>
      <c r="H870" s="85" t="s">
        <v>73</v>
      </c>
      <c r="I870" s="237">
        <v>8550000</v>
      </c>
      <c r="J870" s="290"/>
      <c r="K870" s="291"/>
      <c r="L870" s="291"/>
      <c r="M870" s="292">
        <f t="shared" si="53"/>
        <v>8550000</v>
      </c>
      <c r="N870" s="85">
        <v>1081925361</v>
      </c>
      <c r="O870" s="85" t="s">
        <v>6616</v>
      </c>
      <c r="P870" s="85" t="s">
        <v>9334</v>
      </c>
      <c r="Q870" s="309">
        <f>DATE(2023,7,21)</f>
        <v>45128</v>
      </c>
      <c r="R870" s="309">
        <f>DATE(2023,7,21)</f>
        <v>45128</v>
      </c>
      <c r="S870" s="309">
        <f t="shared" si="57"/>
        <v>45260</v>
      </c>
      <c r="T870" s="293"/>
      <c r="U870" s="293"/>
      <c r="V870" s="293"/>
      <c r="W870" s="294"/>
      <c r="X870" s="237">
        <f>VLOOKUP(N870,[9]Pagos!$C$2:$D$353,2,FALSE)</f>
        <v>950000</v>
      </c>
      <c r="Y870" s="295">
        <f t="shared" si="54"/>
        <v>7600000</v>
      </c>
      <c r="Z870" s="296">
        <f t="shared" si="55"/>
        <v>0.1111111111111111</v>
      </c>
      <c r="AA870" s="85">
        <v>57444673</v>
      </c>
      <c r="AB870" s="85" t="s">
        <v>5370</v>
      </c>
      <c r="AC870" s="290" t="s">
        <v>196</v>
      </c>
      <c r="AD870" s="290" t="s">
        <v>196</v>
      </c>
      <c r="AE870" s="303"/>
      <c r="AF870" s="310" t="str">
        <f>VLOOKUP(E870,[10]Hoja1!$D$3:$E$327,2,FALSE)</f>
        <v>https://community.secop.gov.co/Public/Tendering/OpportunityDetail/Index?noticeUID=CO1.NTC.4776323&amp;isFromPublicArea=True&amp;isModal=true&amp;asPopupView=true</v>
      </c>
      <c r="AG870" s="290" t="s">
        <v>192</v>
      </c>
      <c r="AH870" s="290" t="s">
        <v>192</v>
      </c>
    </row>
    <row r="871" spans="1:34" s="297" customFormat="1" ht="15" customHeight="1" x14ac:dyDescent="0.2">
      <c r="A871" s="289">
        <v>891780111</v>
      </c>
      <c r="B871" s="289" t="s">
        <v>54</v>
      </c>
      <c r="C871" s="290" t="s">
        <v>56</v>
      </c>
      <c r="D871" s="289" t="s">
        <v>60</v>
      </c>
      <c r="E871" s="290" t="s">
        <v>9335</v>
      </c>
      <c r="F871" s="289" t="s">
        <v>61</v>
      </c>
      <c r="G871" s="85" t="s">
        <v>63</v>
      </c>
      <c r="H871" s="85" t="s">
        <v>73</v>
      </c>
      <c r="I871" s="237">
        <v>8550000</v>
      </c>
      <c r="J871" s="290"/>
      <c r="K871" s="291"/>
      <c r="L871" s="291"/>
      <c r="M871" s="292">
        <f t="shared" si="53"/>
        <v>8550000</v>
      </c>
      <c r="N871" s="85">
        <v>1082977230</v>
      </c>
      <c r="O871" s="85" t="s">
        <v>6718</v>
      </c>
      <c r="P871" s="85" t="s">
        <v>9334</v>
      </c>
      <c r="Q871" s="309">
        <f t="shared" ref="Q871:R886" si="59">DATE(2023,7,21)</f>
        <v>45128</v>
      </c>
      <c r="R871" s="309">
        <f t="shared" si="59"/>
        <v>45128</v>
      </c>
      <c r="S871" s="309">
        <f t="shared" si="57"/>
        <v>45260</v>
      </c>
      <c r="T871" s="293"/>
      <c r="U871" s="293"/>
      <c r="V871" s="293"/>
      <c r="W871" s="294"/>
      <c r="X871" s="237">
        <f>VLOOKUP(N871,[9]Pagos!$C$2:$D$353,2,FALSE)</f>
        <v>950000</v>
      </c>
      <c r="Y871" s="295">
        <f t="shared" si="54"/>
        <v>7600000</v>
      </c>
      <c r="Z871" s="296">
        <f t="shared" si="55"/>
        <v>0.1111111111111111</v>
      </c>
      <c r="AA871" s="85">
        <v>57444673</v>
      </c>
      <c r="AB871" s="85" t="s">
        <v>5370</v>
      </c>
      <c r="AC871" s="290" t="s">
        <v>196</v>
      </c>
      <c r="AD871" s="290" t="s">
        <v>196</v>
      </c>
      <c r="AE871" s="303"/>
      <c r="AF871" s="310" t="str">
        <f>VLOOKUP(E871,[10]Hoja1!$D$3:$E$327,2,FALSE)</f>
        <v>https://community.secop.gov.co/Public/Tendering/OpportunityDetail/Index?noticeUID=CO1.NTC.4776335&amp;isFromPublicArea=True&amp;isModal=true&amp;asPopupView=true</v>
      </c>
      <c r="AG871" s="290" t="s">
        <v>192</v>
      </c>
      <c r="AH871" s="290" t="s">
        <v>192</v>
      </c>
    </row>
    <row r="872" spans="1:34" s="297" customFormat="1" ht="15" customHeight="1" x14ac:dyDescent="0.2">
      <c r="A872" s="289">
        <v>891780111</v>
      </c>
      <c r="B872" s="289" t="s">
        <v>54</v>
      </c>
      <c r="C872" s="290" t="s">
        <v>56</v>
      </c>
      <c r="D872" s="289" t="s">
        <v>60</v>
      </c>
      <c r="E872" s="290" t="s">
        <v>9336</v>
      </c>
      <c r="F872" s="289" t="s">
        <v>61</v>
      </c>
      <c r="G872" s="85" t="s">
        <v>63</v>
      </c>
      <c r="H872" s="85" t="s">
        <v>73</v>
      </c>
      <c r="I872" s="237">
        <v>12600000</v>
      </c>
      <c r="J872" s="290"/>
      <c r="K872" s="291"/>
      <c r="L872" s="291"/>
      <c r="M872" s="292">
        <f t="shared" si="53"/>
        <v>12600000</v>
      </c>
      <c r="N872" s="85">
        <v>1050461549</v>
      </c>
      <c r="O872" s="85" t="s">
        <v>7713</v>
      </c>
      <c r="P872" s="85" t="s">
        <v>9337</v>
      </c>
      <c r="Q872" s="309">
        <f t="shared" si="59"/>
        <v>45128</v>
      </c>
      <c r="R872" s="309">
        <f t="shared" si="59"/>
        <v>45128</v>
      </c>
      <c r="S872" s="309">
        <f t="shared" si="57"/>
        <v>45260</v>
      </c>
      <c r="T872" s="293"/>
      <c r="U872" s="293"/>
      <c r="V872" s="293"/>
      <c r="W872" s="294"/>
      <c r="X872" s="237">
        <f>VLOOKUP(N872,[9]Pagos!$C$2:$D$353,2,FALSE)</f>
        <v>1400000</v>
      </c>
      <c r="Y872" s="295">
        <f t="shared" si="54"/>
        <v>11200000</v>
      </c>
      <c r="Z872" s="296">
        <f t="shared" si="55"/>
        <v>0.1111111111111111</v>
      </c>
      <c r="AA872" s="85">
        <v>36557666</v>
      </c>
      <c r="AB872" s="85" t="s">
        <v>6916</v>
      </c>
      <c r="AC872" s="290" t="s">
        <v>196</v>
      </c>
      <c r="AD872" s="290" t="s">
        <v>196</v>
      </c>
      <c r="AE872" s="303"/>
      <c r="AF872" s="310" t="str">
        <f>VLOOKUP(E872,[10]Hoja1!$D$3:$E$327,2,FALSE)</f>
        <v>https://community.secop.gov.co/Public/Tendering/OpportunityDetail/Index?noticeUID=CO1.NTC.4776300&amp;isFromPublicArea=True&amp;isModal=true&amp;asPopupView=true</v>
      </c>
      <c r="AG872" s="290" t="s">
        <v>192</v>
      </c>
      <c r="AH872" s="290" t="s">
        <v>192</v>
      </c>
    </row>
    <row r="873" spans="1:34" s="297" customFormat="1" ht="15" customHeight="1" x14ac:dyDescent="0.2">
      <c r="A873" s="289">
        <v>891780111</v>
      </c>
      <c r="B873" s="289" t="s">
        <v>54</v>
      </c>
      <c r="C873" s="290" t="s">
        <v>56</v>
      </c>
      <c r="D873" s="289" t="s">
        <v>60</v>
      </c>
      <c r="E873" s="290" t="s">
        <v>9338</v>
      </c>
      <c r="F873" s="289" t="s">
        <v>61</v>
      </c>
      <c r="G873" s="85" t="s">
        <v>63</v>
      </c>
      <c r="H873" s="85" t="s">
        <v>73</v>
      </c>
      <c r="I873" s="237">
        <v>12600000</v>
      </c>
      <c r="J873" s="290"/>
      <c r="K873" s="291"/>
      <c r="L873" s="291"/>
      <c r="M873" s="292">
        <f t="shared" si="53"/>
        <v>12600000</v>
      </c>
      <c r="N873" s="85">
        <v>1082947568</v>
      </c>
      <c r="O873" s="85" t="s">
        <v>2074</v>
      </c>
      <c r="P873" s="85" t="s">
        <v>9339</v>
      </c>
      <c r="Q873" s="309">
        <f t="shared" si="59"/>
        <v>45128</v>
      </c>
      <c r="R873" s="309">
        <f t="shared" si="59"/>
        <v>45128</v>
      </c>
      <c r="S873" s="309">
        <f t="shared" si="57"/>
        <v>45260</v>
      </c>
      <c r="T873" s="293"/>
      <c r="U873" s="293"/>
      <c r="V873" s="293"/>
      <c r="W873" s="294"/>
      <c r="X873" s="237">
        <f>VLOOKUP(N873,[9]Pagos!$C$2:$D$353,2,FALSE)</f>
        <v>1400000</v>
      </c>
      <c r="Y873" s="295">
        <f t="shared" si="54"/>
        <v>11200000</v>
      </c>
      <c r="Z873" s="296">
        <f t="shared" si="55"/>
        <v>0.1111111111111111</v>
      </c>
      <c r="AA873" s="85"/>
      <c r="AB873" s="85" t="s">
        <v>8760</v>
      </c>
      <c r="AC873" s="290" t="s">
        <v>196</v>
      </c>
      <c r="AD873" s="290" t="s">
        <v>196</v>
      </c>
      <c r="AE873" s="303"/>
      <c r="AF873" s="310" t="str">
        <f>VLOOKUP(E873,[10]Hoja1!$D$3:$E$327,2,FALSE)</f>
        <v>https://community.secop.gov.co/Public/Tendering/OpportunityDetail/Index?noticeUID=CO1.NTC.4776712&amp;isFromPublicArea=True&amp;isModal=true&amp;asPopupView=true</v>
      </c>
      <c r="AG873" s="290" t="s">
        <v>192</v>
      </c>
      <c r="AH873" s="290" t="s">
        <v>192</v>
      </c>
    </row>
    <row r="874" spans="1:34" s="297" customFormat="1" ht="15" customHeight="1" x14ac:dyDescent="0.2">
      <c r="A874" s="289">
        <v>891780111</v>
      </c>
      <c r="B874" s="289" t="s">
        <v>54</v>
      </c>
      <c r="C874" s="290" t="s">
        <v>56</v>
      </c>
      <c r="D874" s="289" t="s">
        <v>60</v>
      </c>
      <c r="E874" s="290" t="s">
        <v>9340</v>
      </c>
      <c r="F874" s="289" t="s">
        <v>61</v>
      </c>
      <c r="G874" s="85" t="s">
        <v>63</v>
      </c>
      <c r="H874" s="85" t="s">
        <v>73</v>
      </c>
      <c r="I874" s="237">
        <v>12600000</v>
      </c>
      <c r="J874" s="290"/>
      <c r="K874" s="291"/>
      <c r="L874" s="291"/>
      <c r="M874" s="292">
        <f t="shared" si="53"/>
        <v>12600000</v>
      </c>
      <c r="N874" s="85">
        <v>57414091</v>
      </c>
      <c r="O874" s="85" t="s">
        <v>7137</v>
      </c>
      <c r="P874" s="85" t="s">
        <v>9341</v>
      </c>
      <c r="Q874" s="309">
        <f t="shared" si="59"/>
        <v>45128</v>
      </c>
      <c r="R874" s="309">
        <f t="shared" si="59"/>
        <v>45128</v>
      </c>
      <c r="S874" s="309">
        <f t="shared" si="57"/>
        <v>45260</v>
      </c>
      <c r="T874" s="293"/>
      <c r="U874" s="293"/>
      <c r="V874" s="293"/>
      <c r="W874" s="294"/>
      <c r="X874" s="237">
        <f>VLOOKUP(N874,[9]Pagos!$C$2:$D$353,2,FALSE)</f>
        <v>1400000</v>
      </c>
      <c r="Y874" s="295">
        <f t="shared" si="54"/>
        <v>11200000</v>
      </c>
      <c r="Z874" s="296">
        <f t="shared" si="55"/>
        <v>0.1111111111111111</v>
      </c>
      <c r="AA874" s="85">
        <v>36557666</v>
      </c>
      <c r="AB874" s="85" t="s">
        <v>6916</v>
      </c>
      <c r="AC874" s="290" t="s">
        <v>196</v>
      </c>
      <c r="AD874" s="290" t="s">
        <v>196</v>
      </c>
      <c r="AE874" s="303"/>
      <c r="AF874" s="310" t="str">
        <f>VLOOKUP(E874,[10]Hoja1!$D$3:$E$327,2,FALSE)</f>
        <v>https://community.secop.gov.co/Public/Tendering/OpportunityDetail/Index?noticeUID=CO1.NTC.4776384&amp;isFromPublicArea=True&amp;isModal=true&amp;asPopupView=true</v>
      </c>
      <c r="AG874" s="290" t="s">
        <v>192</v>
      </c>
      <c r="AH874" s="290" t="s">
        <v>192</v>
      </c>
    </row>
    <row r="875" spans="1:34" s="297" customFormat="1" ht="15" customHeight="1" x14ac:dyDescent="0.2">
      <c r="A875" s="289">
        <v>891780111</v>
      </c>
      <c r="B875" s="289" t="s">
        <v>54</v>
      </c>
      <c r="C875" s="290" t="s">
        <v>56</v>
      </c>
      <c r="D875" s="289" t="s">
        <v>60</v>
      </c>
      <c r="E875" s="290" t="s">
        <v>9342</v>
      </c>
      <c r="F875" s="289" t="s">
        <v>61</v>
      </c>
      <c r="G875" s="85" t="s">
        <v>63</v>
      </c>
      <c r="H875" s="85" t="s">
        <v>73</v>
      </c>
      <c r="I875" s="237">
        <v>12600000</v>
      </c>
      <c r="J875" s="290"/>
      <c r="K875" s="291"/>
      <c r="L875" s="291"/>
      <c r="M875" s="292">
        <f t="shared" si="53"/>
        <v>12600000</v>
      </c>
      <c r="N875" s="85">
        <v>12560564</v>
      </c>
      <c r="O875" s="85" t="s">
        <v>8158</v>
      </c>
      <c r="P875" s="85" t="s">
        <v>9343</v>
      </c>
      <c r="Q875" s="309">
        <f t="shared" si="59"/>
        <v>45128</v>
      </c>
      <c r="R875" s="309">
        <f t="shared" si="59"/>
        <v>45128</v>
      </c>
      <c r="S875" s="309">
        <f t="shared" si="57"/>
        <v>45260</v>
      </c>
      <c r="T875" s="293"/>
      <c r="U875" s="293"/>
      <c r="V875" s="293"/>
      <c r="W875" s="294"/>
      <c r="X875" s="237">
        <f>VLOOKUP(N875,[9]Pagos!$C$2:$D$353,2,FALSE)</f>
        <v>1400000</v>
      </c>
      <c r="Y875" s="295">
        <f t="shared" si="54"/>
        <v>11200000</v>
      </c>
      <c r="Z875" s="296">
        <f t="shared" si="55"/>
        <v>0.1111111111111111</v>
      </c>
      <c r="AA875" s="85">
        <v>36557666</v>
      </c>
      <c r="AB875" s="85" t="s">
        <v>6916</v>
      </c>
      <c r="AC875" s="290" t="s">
        <v>196</v>
      </c>
      <c r="AD875" s="290" t="s">
        <v>196</v>
      </c>
      <c r="AE875" s="303"/>
      <c r="AF875" s="310" t="str">
        <f>VLOOKUP(E875,[10]Hoja1!$D$3:$E$327,2,FALSE)</f>
        <v>https://community.secop.gov.co/Public/Tendering/OpportunityDetail/Index?noticeUID=CO1.NTC.4776389&amp;isFromPublicArea=True&amp;isModal=true&amp;asPopupView=true</v>
      </c>
      <c r="AG875" s="290" t="s">
        <v>192</v>
      </c>
      <c r="AH875" s="290" t="s">
        <v>192</v>
      </c>
    </row>
    <row r="876" spans="1:34" s="297" customFormat="1" ht="15" customHeight="1" x14ac:dyDescent="0.2">
      <c r="A876" s="289">
        <v>891780111</v>
      </c>
      <c r="B876" s="289" t="s">
        <v>54</v>
      </c>
      <c r="C876" s="290" t="s">
        <v>56</v>
      </c>
      <c r="D876" s="289" t="s">
        <v>60</v>
      </c>
      <c r="E876" s="290" t="s">
        <v>9344</v>
      </c>
      <c r="F876" s="289" t="s">
        <v>61</v>
      </c>
      <c r="G876" s="85" t="s">
        <v>63</v>
      </c>
      <c r="H876" s="85" t="s">
        <v>73</v>
      </c>
      <c r="I876" s="237">
        <v>8550000</v>
      </c>
      <c r="J876" s="290"/>
      <c r="K876" s="291"/>
      <c r="L876" s="291"/>
      <c r="M876" s="292">
        <f t="shared" si="53"/>
        <v>8550000</v>
      </c>
      <c r="N876" s="85">
        <v>9738364</v>
      </c>
      <c r="O876" s="85" t="s">
        <v>7592</v>
      </c>
      <c r="P876" s="85" t="s">
        <v>9345</v>
      </c>
      <c r="Q876" s="309">
        <f t="shared" si="59"/>
        <v>45128</v>
      </c>
      <c r="R876" s="309">
        <f t="shared" si="59"/>
        <v>45128</v>
      </c>
      <c r="S876" s="309">
        <f t="shared" si="57"/>
        <v>45260</v>
      </c>
      <c r="T876" s="293"/>
      <c r="U876" s="293"/>
      <c r="V876" s="293"/>
      <c r="W876" s="294"/>
      <c r="X876" s="237">
        <f>VLOOKUP(N876,[9]Pagos!$C$2:$D$353,2,FALSE)</f>
        <v>950000</v>
      </c>
      <c r="Y876" s="295">
        <f t="shared" si="54"/>
        <v>7600000</v>
      </c>
      <c r="Z876" s="296">
        <f t="shared" si="55"/>
        <v>0.1111111111111111</v>
      </c>
      <c r="AA876" s="85">
        <v>7601831</v>
      </c>
      <c r="AB876" s="85" t="s">
        <v>7383</v>
      </c>
      <c r="AC876" s="290" t="s">
        <v>196</v>
      </c>
      <c r="AD876" s="290" t="s">
        <v>196</v>
      </c>
      <c r="AE876" s="303"/>
      <c r="AF876" s="310" t="str">
        <f>VLOOKUP(E876,[10]Hoja1!$D$3:$E$327,2,FALSE)</f>
        <v>https://community.secop.gov.co/Public/Tendering/OpportunityDetail/Index?noticeUID=CO1.NTC.4776662&amp;isFromPublicArea=True&amp;isModal=true&amp;asPopupView=true</v>
      </c>
      <c r="AG876" s="290" t="s">
        <v>192</v>
      </c>
      <c r="AH876" s="290" t="s">
        <v>192</v>
      </c>
    </row>
    <row r="877" spans="1:34" s="297" customFormat="1" ht="15" customHeight="1" x14ac:dyDescent="0.2">
      <c r="A877" s="289">
        <v>891780111</v>
      </c>
      <c r="B877" s="289" t="s">
        <v>54</v>
      </c>
      <c r="C877" s="290" t="s">
        <v>56</v>
      </c>
      <c r="D877" s="289" t="s">
        <v>60</v>
      </c>
      <c r="E877" s="290" t="s">
        <v>9346</v>
      </c>
      <c r="F877" s="289" t="s">
        <v>61</v>
      </c>
      <c r="G877" s="85" t="s">
        <v>63</v>
      </c>
      <c r="H877" s="85" t="s">
        <v>73</v>
      </c>
      <c r="I877" s="237">
        <v>13950000</v>
      </c>
      <c r="J877" s="290"/>
      <c r="K877" s="291"/>
      <c r="L877" s="291"/>
      <c r="M877" s="292">
        <f t="shared" si="53"/>
        <v>13950000</v>
      </c>
      <c r="N877" s="85">
        <v>1082915137</v>
      </c>
      <c r="O877" s="85" t="s">
        <v>8248</v>
      </c>
      <c r="P877" s="85" t="s">
        <v>9347</v>
      </c>
      <c r="Q877" s="309">
        <f t="shared" si="59"/>
        <v>45128</v>
      </c>
      <c r="R877" s="309">
        <f t="shared" si="59"/>
        <v>45128</v>
      </c>
      <c r="S877" s="309">
        <f t="shared" si="57"/>
        <v>45260</v>
      </c>
      <c r="T877" s="293"/>
      <c r="U877" s="293"/>
      <c r="V877" s="293"/>
      <c r="W877" s="294"/>
      <c r="X877" s="237">
        <f>VLOOKUP(N877,[9]Pagos!$C$2:$D$353,2,FALSE)</f>
        <v>1550000</v>
      </c>
      <c r="Y877" s="295">
        <f t="shared" si="54"/>
        <v>12400000</v>
      </c>
      <c r="Z877" s="296">
        <f t="shared" si="55"/>
        <v>0.1111111111111111</v>
      </c>
      <c r="AA877" s="85">
        <v>7601831</v>
      </c>
      <c r="AB877" s="85" t="s">
        <v>7383</v>
      </c>
      <c r="AC877" s="290" t="s">
        <v>196</v>
      </c>
      <c r="AD877" s="290" t="s">
        <v>196</v>
      </c>
      <c r="AE877" s="303"/>
      <c r="AF877" s="310" t="str">
        <f>VLOOKUP(E877,[10]Hoja1!$D$3:$E$327,2,FALSE)</f>
        <v>https://community.secop.gov.co/Public/Tendering/OpportunityDetail/Index?noticeUID=CO1.NTC.4776674&amp;isFromPublicArea=True&amp;isModal=true&amp;asPopupView=true</v>
      </c>
      <c r="AG877" s="290" t="s">
        <v>192</v>
      </c>
      <c r="AH877" s="290" t="s">
        <v>192</v>
      </c>
    </row>
    <row r="878" spans="1:34" s="297" customFormat="1" ht="15" customHeight="1" x14ac:dyDescent="0.2">
      <c r="A878" s="289">
        <v>891780111</v>
      </c>
      <c r="B878" s="289" t="s">
        <v>54</v>
      </c>
      <c r="C878" s="290" t="s">
        <v>56</v>
      </c>
      <c r="D878" s="289" t="s">
        <v>60</v>
      </c>
      <c r="E878" s="290" t="s">
        <v>9348</v>
      </c>
      <c r="F878" s="289" t="s">
        <v>61</v>
      </c>
      <c r="G878" s="85" t="s">
        <v>63</v>
      </c>
      <c r="H878" s="85" t="s">
        <v>73</v>
      </c>
      <c r="I878" s="237">
        <v>11250000</v>
      </c>
      <c r="J878" s="290"/>
      <c r="K878" s="291"/>
      <c r="L878" s="291"/>
      <c r="M878" s="292">
        <f t="shared" si="53"/>
        <v>11250000</v>
      </c>
      <c r="N878" s="85">
        <v>85449538</v>
      </c>
      <c r="O878" s="85" t="s">
        <v>6914</v>
      </c>
      <c r="P878" s="85" t="s">
        <v>9349</v>
      </c>
      <c r="Q878" s="309">
        <f t="shared" si="59"/>
        <v>45128</v>
      </c>
      <c r="R878" s="309">
        <f t="shared" si="59"/>
        <v>45128</v>
      </c>
      <c r="S878" s="309">
        <f t="shared" si="57"/>
        <v>45260</v>
      </c>
      <c r="T878" s="293"/>
      <c r="U878" s="293"/>
      <c r="V878" s="293"/>
      <c r="W878" s="294"/>
      <c r="X878" s="237">
        <f>VLOOKUP(N878,[9]Pagos!$C$2:$D$353,2,FALSE)</f>
        <v>1250000</v>
      </c>
      <c r="Y878" s="295">
        <f t="shared" si="54"/>
        <v>10000000</v>
      </c>
      <c r="Z878" s="296">
        <f t="shared" si="55"/>
        <v>0.1111111111111111</v>
      </c>
      <c r="AA878" s="85">
        <v>36557666</v>
      </c>
      <c r="AB878" s="85" t="s">
        <v>6916</v>
      </c>
      <c r="AC878" s="290" t="s">
        <v>196</v>
      </c>
      <c r="AD878" s="290" t="s">
        <v>196</v>
      </c>
      <c r="AE878" s="303"/>
      <c r="AF878" s="310" t="str">
        <f>VLOOKUP(E878,[10]Hoja1!$D$3:$E$327,2,FALSE)</f>
        <v>https://community.secop.gov.co/Public/Tendering/OpportunityDetail/Index?noticeUID=CO1.NTC.4777005&amp;isFromPublicArea=True&amp;isModal=true&amp;asPopupView=true</v>
      </c>
      <c r="AG878" s="290" t="s">
        <v>192</v>
      </c>
      <c r="AH878" s="290" t="s">
        <v>192</v>
      </c>
    </row>
    <row r="879" spans="1:34" s="297" customFormat="1" ht="15" customHeight="1" x14ac:dyDescent="0.2">
      <c r="A879" s="289">
        <v>891780111</v>
      </c>
      <c r="B879" s="289" t="s">
        <v>54</v>
      </c>
      <c r="C879" s="290" t="s">
        <v>56</v>
      </c>
      <c r="D879" s="289" t="s">
        <v>60</v>
      </c>
      <c r="E879" s="290" t="s">
        <v>9350</v>
      </c>
      <c r="F879" s="289" t="s">
        <v>61</v>
      </c>
      <c r="G879" s="85" t="s">
        <v>63</v>
      </c>
      <c r="H879" s="85" t="s">
        <v>73</v>
      </c>
      <c r="I879" s="237">
        <v>11250000</v>
      </c>
      <c r="J879" s="290"/>
      <c r="K879" s="291"/>
      <c r="L879" s="291"/>
      <c r="M879" s="292">
        <f t="shared" si="53"/>
        <v>11250000</v>
      </c>
      <c r="N879" s="85">
        <v>1128149649</v>
      </c>
      <c r="O879" s="85" t="s">
        <v>8389</v>
      </c>
      <c r="P879" s="85" t="s">
        <v>9351</v>
      </c>
      <c r="Q879" s="309">
        <f t="shared" si="59"/>
        <v>45128</v>
      </c>
      <c r="R879" s="309">
        <f t="shared" si="59"/>
        <v>45128</v>
      </c>
      <c r="S879" s="309">
        <f t="shared" si="57"/>
        <v>45260</v>
      </c>
      <c r="T879" s="293"/>
      <c r="U879" s="293"/>
      <c r="V879" s="293"/>
      <c r="W879" s="294"/>
      <c r="X879" s="237">
        <f>VLOOKUP(N879,[9]Pagos!$C$2:$D$353,2,FALSE)</f>
        <v>1250000</v>
      </c>
      <c r="Y879" s="295">
        <f t="shared" si="54"/>
        <v>10000000</v>
      </c>
      <c r="Z879" s="296">
        <f t="shared" si="55"/>
        <v>0.1111111111111111</v>
      </c>
      <c r="AA879" s="85">
        <v>57441846</v>
      </c>
      <c r="AB879" s="85" t="s">
        <v>6885</v>
      </c>
      <c r="AC879" s="290" t="s">
        <v>196</v>
      </c>
      <c r="AD879" s="290" t="s">
        <v>196</v>
      </c>
      <c r="AE879" s="303"/>
      <c r="AF879" s="310" t="str">
        <f>VLOOKUP(E879,[10]Hoja1!$D$3:$E$327,2,FALSE)</f>
        <v>https://community.secop.gov.co/Public/Tendering/OpportunityDetail/Index?noticeUID=CO1.NTC.4777114&amp;isFromPublicArea=True&amp;isModal=true&amp;asPopupView=true</v>
      </c>
      <c r="AG879" s="290" t="s">
        <v>192</v>
      </c>
      <c r="AH879" s="290" t="s">
        <v>192</v>
      </c>
    </row>
    <row r="880" spans="1:34" s="297" customFormat="1" ht="15" customHeight="1" x14ac:dyDescent="0.2">
      <c r="A880" s="289">
        <v>891780111</v>
      </c>
      <c r="B880" s="289" t="s">
        <v>54</v>
      </c>
      <c r="C880" s="290" t="s">
        <v>56</v>
      </c>
      <c r="D880" s="289" t="s">
        <v>60</v>
      </c>
      <c r="E880" s="290" t="s">
        <v>9352</v>
      </c>
      <c r="F880" s="289" t="s">
        <v>61</v>
      </c>
      <c r="G880" s="85" t="s">
        <v>63</v>
      </c>
      <c r="H880" s="85" t="s">
        <v>73</v>
      </c>
      <c r="I880" s="237">
        <v>15300000</v>
      </c>
      <c r="J880" s="290"/>
      <c r="K880" s="291"/>
      <c r="L880" s="291"/>
      <c r="M880" s="292">
        <f t="shared" si="53"/>
        <v>15300000</v>
      </c>
      <c r="N880" s="85">
        <v>1083024578</v>
      </c>
      <c r="O880" s="85" t="s">
        <v>9353</v>
      </c>
      <c r="P880" s="85" t="s">
        <v>9354</v>
      </c>
      <c r="Q880" s="309">
        <f t="shared" si="59"/>
        <v>45128</v>
      </c>
      <c r="R880" s="309">
        <f t="shared" si="59"/>
        <v>45128</v>
      </c>
      <c r="S880" s="309">
        <f t="shared" si="57"/>
        <v>45260</v>
      </c>
      <c r="T880" s="293"/>
      <c r="U880" s="293"/>
      <c r="V880" s="293"/>
      <c r="W880" s="294"/>
      <c r="X880" s="237">
        <f>VLOOKUP(N880,[9]Pagos!$C$2:$D$353,2,FALSE)</f>
        <v>1700000</v>
      </c>
      <c r="Y880" s="295">
        <f t="shared" si="54"/>
        <v>13600000</v>
      </c>
      <c r="Z880" s="296">
        <f t="shared" si="55"/>
        <v>0.1111111111111111</v>
      </c>
      <c r="AA880" s="85">
        <v>12539351</v>
      </c>
      <c r="AB880" s="85" t="s">
        <v>6545</v>
      </c>
      <c r="AC880" s="290" t="s">
        <v>196</v>
      </c>
      <c r="AD880" s="290" t="s">
        <v>196</v>
      </c>
      <c r="AE880" s="303"/>
      <c r="AF880" s="310" t="str">
        <f>VLOOKUP(E880,[10]Hoja1!$D$3:$E$327,2,FALSE)</f>
        <v>https://community.secop.gov.co/Public/Tendering/OpportunityDetail/Index?noticeUID=CO1.NTC.4777030&amp;isFromPublicArea=True&amp;isModal=true&amp;asPopupView=true</v>
      </c>
      <c r="AG880" s="290" t="s">
        <v>192</v>
      </c>
      <c r="AH880" s="290" t="s">
        <v>192</v>
      </c>
    </row>
    <row r="881" spans="1:34" s="297" customFormat="1" ht="15" customHeight="1" x14ac:dyDescent="0.2">
      <c r="A881" s="289">
        <v>891780111</v>
      </c>
      <c r="B881" s="289" t="s">
        <v>54</v>
      </c>
      <c r="C881" s="290" t="s">
        <v>56</v>
      </c>
      <c r="D881" s="289" t="s">
        <v>60</v>
      </c>
      <c r="E881" s="290" t="s">
        <v>9355</v>
      </c>
      <c r="F881" s="289" t="s">
        <v>61</v>
      </c>
      <c r="G881" s="85" t="s">
        <v>63</v>
      </c>
      <c r="H881" s="85" t="s">
        <v>73</v>
      </c>
      <c r="I881" s="237">
        <v>18000000</v>
      </c>
      <c r="J881" s="290"/>
      <c r="K881" s="291"/>
      <c r="L881" s="291"/>
      <c r="M881" s="292">
        <f t="shared" si="53"/>
        <v>18000000</v>
      </c>
      <c r="N881" s="85">
        <v>1083020695</v>
      </c>
      <c r="O881" s="85" t="s">
        <v>4586</v>
      </c>
      <c r="P881" s="85" t="s">
        <v>9356</v>
      </c>
      <c r="Q881" s="309">
        <f t="shared" si="59"/>
        <v>45128</v>
      </c>
      <c r="R881" s="309">
        <f t="shared" si="59"/>
        <v>45128</v>
      </c>
      <c r="S881" s="309">
        <f t="shared" si="57"/>
        <v>45260</v>
      </c>
      <c r="T881" s="293"/>
      <c r="U881" s="293"/>
      <c r="V881" s="293"/>
      <c r="W881" s="294"/>
      <c r="X881" s="237">
        <f>VLOOKUP(N881,[9]Pagos!$C$2:$D$353,2,FALSE)</f>
        <v>2000000</v>
      </c>
      <c r="Y881" s="295">
        <f t="shared" si="54"/>
        <v>16000000</v>
      </c>
      <c r="Z881" s="296">
        <f t="shared" si="55"/>
        <v>0.1111111111111111</v>
      </c>
      <c r="AA881" s="85">
        <v>85471791</v>
      </c>
      <c r="AB881" s="85" t="s">
        <v>7172</v>
      </c>
      <c r="AC881" s="290" t="s">
        <v>196</v>
      </c>
      <c r="AD881" s="290" t="s">
        <v>196</v>
      </c>
      <c r="AE881" s="303"/>
      <c r="AF881" s="310" t="str">
        <f>VLOOKUP(E881,[10]Hoja1!$D$3:$E$327,2,FALSE)</f>
        <v>https://community.secop.gov.co/Public/Tendering/OpportunityDetail/Index?noticeUID=CO1.NTC.4776985&amp;isFromPublicArea=True&amp;isModal=true&amp;asPopupView=true</v>
      </c>
      <c r="AG881" s="290" t="s">
        <v>192</v>
      </c>
      <c r="AH881" s="290" t="s">
        <v>192</v>
      </c>
    </row>
    <row r="882" spans="1:34" s="297" customFormat="1" ht="15" customHeight="1" x14ac:dyDescent="0.2">
      <c r="A882" s="289">
        <v>891780111</v>
      </c>
      <c r="B882" s="289" t="s">
        <v>54</v>
      </c>
      <c r="C882" s="290" t="s">
        <v>56</v>
      </c>
      <c r="D882" s="289" t="s">
        <v>60</v>
      </c>
      <c r="E882" s="290" t="s">
        <v>9357</v>
      </c>
      <c r="F882" s="289" t="s">
        <v>61</v>
      </c>
      <c r="G882" s="85" t="s">
        <v>63</v>
      </c>
      <c r="H882" s="85" t="s">
        <v>73</v>
      </c>
      <c r="I882" s="237">
        <v>8550000</v>
      </c>
      <c r="J882" s="290"/>
      <c r="K882" s="291"/>
      <c r="L882" s="291"/>
      <c r="M882" s="292">
        <f t="shared" si="53"/>
        <v>8550000</v>
      </c>
      <c r="N882" s="85">
        <v>1082946321</v>
      </c>
      <c r="O882" s="85" t="s">
        <v>372</v>
      </c>
      <c r="P882" s="85" t="s">
        <v>9334</v>
      </c>
      <c r="Q882" s="309">
        <f t="shared" si="59"/>
        <v>45128</v>
      </c>
      <c r="R882" s="309">
        <f t="shared" si="59"/>
        <v>45128</v>
      </c>
      <c r="S882" s="309">
        <f t="shared" si="57"/>
        <v>45260</v>
      </c>
      <c r="T882" s="293"/>
      <c r="U882" s="293"/>
      <c r="V882" s="293"/>
      <c r="W882" s="294"/>
      <c r="X882" s="237">
        <f>VLOOKUP(N882,[9]Pagos!$C$2:$D$353,2,FALSE)</f>
        <v>950000</v>
      </c>
      <c r="Y882" s="295">
        <f t="shared" si="54"/>
        <v>7600000</v>
      </c>
      <c r="Z882" s="296">
        <f t="shared" si="55"/>
        <v>0.1111111111111111</v>
      </c>
      <c r="AA882" s="85">
        <v>57444673</v>
      </c>
      <c r="AB882" s="85" t="s">
        <v>5370</v>
      </c>
      <c r="AC882" s="290" t="s">
        <v>196</v>
      </c>
      <c r="AD882" s="290" t="s">
        <v>196</v>
      </c>
      <c r="AE882" s="303"/>
      <c r="AF882" s="310" t="str">
        <f>VLOOKUP(E882,[10]Hoja1!$D$3:$E$327,2,FALSE)</f>
        <v>https://community.secop.gov.co/Public/Tendering/OpportunityDetail/Index?noticeUID=CO1.NTC.4775932&amp;isFromPublicArea=True&amp;isModal=true&amp;asPopupView=true</v>
      </c>
      <c r="AG882" s="290" t="s">
        <v>192</v>
      </c>
      <c r="AH882" s="290" t="s">
        <v>192</v>
      </c>
    </row>
    <row r="883" spans="1:34" s="297" customFormat="1" ht="15" customHeight="1" x14ac:dyDescent="0.2">
      <c r="A883" s="289">
        <v>891780111</v>
      </c>
      <c r="B883" s="289" t="s">
        <v>54</v>
      </c>
      <c r="C883" s="290" t="s">
        <v>56</v>
      </c>
      <c r="D883" s="289" t="s">
        <v>60</v>
      </c>
      <c r="E883" s="290" t="s">
        <v>9358</v>
      </c>
      <c r="F883" s="289" t="s">
        <v>61</v>
      </c>
      <c r="G883" s="85" t="s">
        <v>63</v>
      </c>
      <c r="H883" s="85" t="s">
        <v>73</v>
      </c>
      <c r="I883" s="237">
        <v>8550000</v>
      </c>
      <c r="J883" s="290"/>
      <c r="K883" s="291"/>
      <c r="L883" s="291"/>
      <c r="M883" s="292">
        <f t="shared" si="53"/>
        <v>8550000</v>
      </c>
      <c r="N883" s="85">
        <v>57466963</v>
      </c>
      <c r="O883" s="85" t="s">
        <v>8162</v>
      </c>
      <c r="P883" s="85" t="s">
        <v>9334</v>
      </c>
      <c r="Q883" s="309">
        <f t="shared" si="59"/>
        <v>45128</v>
      </c>
      <c r="R883" s="309">
        <f t="shared" si="59"/>
        <v>45128</v>
      </c>
      <c r="S883" s="309">
        <f t="shared" si="57"/>
        <v>45260</v>
      </c>
      <c r="T883" s="293"/>
      <c r="U883" s="293"/>
      <c r="V883" s="293"/>
      <c r="W883" s="294"/>
      <c r="X883" s="237">
        <f>VLOOKUP(N883,[9]Pagos!$C$2:$D$353,2,FALSE)</f>
        <v>950000</v>
      </c>
      <c r="Y883" s="295">
        <f t="shared" si="54"/>
        <v>7600000</v>
      </c>
      <c r="Z883" s="296">
        <f t="shared" si="55"/>
        <v>0.1111111111111111</v>
      </c>
      <c r="AA883" s="85">
        <v>57444673</v>
      </c>
      <c r="AB883" s="85" t="s">
        <v>5370</v>
      </c>
      <c r="AC883" s="290" t="s">
        <v>196</v>
      </c>
      <c r="AD883" s="290" t="s">
        <v>196</v>
      </c>
      <c r="AE883" s="303"/>
      <c r="AF883" s="310" t="str">
        <f>VLOOKUP(E883,[10]Hoja1!$D$3:$E$327,2,FALSE)</f>
        <v>https://community.secop.gov.co/Public/Tendering/OpportunityDetail/Index?noticeUID=CO1.NTC.4776034&amp;isFromPublicArea=True&amp;isModal=true&amp;asPopupView=true</v>
      </c>
      <c r="AG883" s="290" t="s">
        <v>192</v>
      </c>
      <c r="AH883" s="290" t="s">
        <v>192</v>
      </c>
    </row>
    <row r="884" spans="1:34" s="297" customFormat="1" ht="15" customHeight="1" x14ac:dyDescent="0.2">
      <c r="A884" s="289">
        <v>891780111</v>
      </c>
      <c r="B884" s="289" t="s">
        <v>54</v>
      </c>
      <c r="C884" s="290" t="s">
        <v>56</v>
      </c>
      <c r="D884" s="289" t="s">
        <v>60</v>
      </c>
      <c r="E884" s="290" t="s">
        <v>9359</v>
      </c>
      <c r="F884" s="289" t="s">
        <v>61</v>
      </c>
      <c r="G884" s="85" t="s">
        <v>63</v>
      </c>
      <c r="H884" s="85" t="s">
        <v>73</v>
      </c>
      <c r="I884" s="237">
        <v>13950000</v>
      </c>
      <c r="J884" s="290"/>
      <c r="K884" s="291"/>
      <c r="L884" s="291"/>
      <c r="M884" s="292">
        <f t="shared" si="53"/>
        <v>13950000</v>
      </c>
      <c r="N884" s="85">
        <v>1082985398</v>
      </c>
      <c r="O884" s="85" t="s">
        <v>8499</v>
      </c>
      <c r="P884" s="85" t="s">
        <v>9360</v>
      </c>
      <c r="Q884" s="309">
        <f t="shared" si="59"/>
        <v>45128</v>
      </c>
      <c r="R884" s="309">
        <f t="shared" si="59"/>
        <v>45128</v>
      </c>
      <c r="S884" s="309">
        <f t="shared" si="57"/>
        <v>45260</v>
      </c>
      <c r="T884" s="293"/>
      <c r="U884" s="293"/>
      <c r="V884" s="293"/>
      <c r="W884" s="294"/>
      <c r="X884" s="237">
        <f>VLOOKUP(N884,[9]Pagos!$C$2:$D$353,2,FALSE)</f>
        <v>1550000</v>
      </c>
      <c r="Y884" s="295">
        <f t="shared" si="54"/>
        <v>12400000</v>
      </c>
      <c r="Z884" s="296">
        <f t="shared" si="55"/>
        <v>0.1111111111111111</v>
      </c>
      <c r="AA884" s="85">
        <v>72175281</v>
      </c>
      <c r="AB884" s="85" t="s">
        <v>6507</v>
      </c>
      <c r="AC884" s="290" t="s">
        <v>196</v>
      </c>
      <c r="AD884" s="290" t="s">
        <v>196</v>
      </c>
      <c r="AE884" s="303"/>
      <c r="AF884" s="310" t="str">
        <f>VLOOKUP(E884,[10]Hoja1!$D$3:$E$327,2,FALSE)</f>
        <v>https://community.secop.gov.co/Public/Tendering/OpportunityDetail/Index?noticeUID=CO1.NTC.4778116&amp;isFromPublicArea=True&amp;isModal=true&amp;asPopupView=true</v>
      </c>
      <c r="AG884" s="290" t="s">
        <v>192</v>
      </c>
      <c r="AH884" s="290" t="s">
        <v>192</v>
      </c>
    </row>
    <row r="885" spans="1:34" s="297" customFormat="1" ht="15" customHeight="1" x14ac:dyDescent="0.2">
      <c r="A885" s="289">
        <v>891780111</v>
      </c>
      <c r="B885" s="289" t="s">
        <v>54</v>
      </c>
      <c r="C885" s="290" t="s">
        <v>56</v>
      </c>
      <c r="D885" s="289" t="s">
        <v>60</v>
      </c>
      <c r="E885" s="290" t="s">
        <v>9361</v>
      </c>
      <c r="F885" s="289" t="s">
        <v>61</v>
      </c>
      <c r="G885" s="85" t="s">
        <v>63</v>
      </c>
      <c r="H885" s="85" t="s">
        <v>73</v>
      </c>
      <c r="I885" s="237">
        <v>27450000</v>
      </c>
      <c r="J885" s="290"/>
      <c r="K885" s="291"/>
      <c r="L885" s="291"/>
      <c r="M885" s="292">
        <f t="shared" si="53"/>
        <v>27450000</v>
      </c>
      <c r="N885" s="85">
        <v>85450384</v>
      </c>
      <c r="O885" s="85" t="s">
        <v>8464</v>
      </c>
      <c r="P885" s="85" t="s">
        <v>9362</v>
      </c>
      <c r="Q885" s="309">
        <f t="shared" si="59"/>
        <v>45128</v>
      </c>
      <c r="R885" s="309">
        <f t="shared" si="59"/>
        <v>45128</v>
      </c>
      <c r="S885" s="309">
        <f t="shared" si="57"/>
        <v>45260</v>
      </c>
      <c r="T885" s="293"/>
      <c r="U885" s="293"/>
      <c r="V885" s="293"/>
      <c r="W885" s="294"/>
      <c r="X885" s="237">
        <f>VLOOKUP(N885,[9]Pagos!$C$2:$D$353,2,FALSE)</f>
        <v>3050000</v>
      </c>
      <c r="Y885" s="295">
        <f t="shared" si="54"/>
        <v>24400000</v>
      </c>
      <c r="Z885" s="296">
        <f t="shared" si="55"/>
        <v>0.1111111111111111</v>
      </c>
      <c r="AA885" s="85">
        <v>85455983</v>
      </c>
      <c r="AB885" s="85" t="s">
        <v>6413</v>
      </c>
      <c r="AC885" s="290" t="s">
        <v>196</v>
      </c>
      <c r="AD885" s="290" t="s">
        <v>196</v>
      </c>
      <c r="AE885" s="303"/>
      <c r="AF885" s="310" t="str">
        <f>VLOOKUP(E885,[10]Hoja1!$D$3:$E$327,2,FALSE)</f>
        <v>https://community.secop.gov.co/Public/Tendering/OpportunityDetail/Index?noticeUID=CO1.NTC.4777977&amp;isFromPublicArea=True&amp;isModal=true&amp;asPopupView=true</v>
      </c>
      <c r="AG885" s="290" t="s">
        <v>192</v>
      </c>
      <c r="AH885" s="290" t="s">
        <v>192</v>
      </c>
    </row>
    <row r="886" spans="1:34" s="297" customFormat="1" ht="15" customHeight="1" x14ac:dyDescent="0.2">
      <c r="A886" s="289">
        <v>891780111</v>
      </c>
      <c r="B886" s="289" t="s">
        <v>54</v>
      </c>
      <c r="C886" s="290" t="s">
        <v>56</v>
      </c>
      <c r="D886" s="289" t="s">
        <v>60</v>
      </c>
      <c r="E886" s="290" t="s">
        <v>9363</v>
      </c>
      <c r="F886" s="289" t="s">
        <v>61</v>
      </c>
      <c r="G886" s="85" t="s">
        <v>63</v>
      </c>
      <c r="H886" s="85" t="s">
        <v>73</v>
      </c>
      <c r="I886" s="237">
        <v>9680000</v>
      </c>
      <c r="J886" s="290"/>
      <c r="K886" s="291"/>
      <c r="L886" s="291"/>
      <c r="M886" s="292">
        <f t="shared" si="53"/>
        <v>9680000</v>
      </c>
      <c r="N886" s="85">
        <v>1083041500</v>
      </c>
      <c r="O886" s="85" t="s">
        <v>8185</v>
      </c>
      <c r="P886" s="85" t="s">
        <v>9364</v>
      </c>
      <c r="Q886" s="309">
        <f t="shared" si="59"/>
        <v>45128</v>
      </c>
      <c r="R886" s="309">
        <f t="shared" si="59"/>
        <v>45128</v>
      </c>
      <c r="S886" s="309">
        <f t="shared" si="57"/>
        <v>45260</v>
      </c>
      <c r="T886" s="293"/>
      <c r="U886" s="293"/>
      <c r="V886" s="293"/>
      <c r="W886" s="294"/>
      <c r="X886" s="237">
        <f>VLOOKUP(N886,[9]Pagos!$C$2:$D$353,2,FALSE)</f>
        <v>880000</v>
      </c>
      <c r="Y886" s="295">
        <f t="shared" si="54"/>
        <v>8800000</v>
      </c>
      <c r="Z886" s="296">
        <f t="shared" si="55"/>
        <v>9.0909090909090912E-2</v>
      </c>
      <c r="AA886" s="85">
        <v>1082868728</v>
      </c>
      <c r="AB886" s="85" t="s">
        <v>6010</v>
      </c>
      <c r="AC886" s="290" t="s">
        <v>196</v>
      </c>
      <c r="AD886" s="290" t="s">
        <v>196</v>
      </c>
      <c r="AE886" s="303"/>
      <c r="AF886" s="310" t="str">
        <f>VLOOKUP(E886,[10]Hoja1!$D$3:$E$327,2,FALSE)</f>
        <v>https://community.secop.gov.co/Public/Tendering/OpportunityDetail/Index?noticeUID=CO1.NTC.4778330&amp;isFromPublicArea=True&amp;isModal=true&amp;asPopupView=true</v>
      </c>
      <c r="AG886" s="290" t="s">
        <v>192</v>
      </c>
      <c r="AH886" s="290" t="s">
        <v>192</v>
      </c>
    </row>
    <row r="887" spans="1:34" s="297" customFormat="1" ht="15" customHeight="1" x14ac:dyDescent="0.2">
      <c r="A887" s="289">
        <v>891780111</v>
      </c>
      <c r="B887" s="289" t="s">
        <v>54</v>
      </c>
      <c r="C887" s="290" t="s">
        <v>56</v>
      </c>
      <c r="D887" s="289" t="s">
        <v>60</v>
      </c>
      <c r="E887" s="290" t="s">
        <v>9365</v>
      </c>
      <c r="F887" s="289" t="s">
        <v>61</v>
      </c>
      <c r="G887" s="85" t="s">
        <v>63</v>
      </c>
      <c r="H887" s="85" t="s">
        <v>73</v>
      </c>
      <c r="I887" s="237">
        <v>12320000</v>
      </c>
      <c r="J887" s="290"/>
      <c r="K887" s="291"/>
      <c r="L887" s="291"/>
      <c r="M887" s="292">
        <f t="shared" si="53"/>
        <v>12320000</v>
      </c>
      <c r="N887" s="85">
        <v>1083045649</v>
      </c>
      <c r="O887" s="85" t="s">
        <v>7442</v>
      </c>
      <c r="P887" s="85" t="s">
        <v>9366</v>
      </c>
      <c r="Q887" s="309">
        <f t="shared" ref="Q887:R897" si="60">DATE(2023,7,21)</f>
        <v>45128</v>
      </c>
      <c r="R887" s="309">
        <f t="shared" si="60"/>
        <v>45128</v>
      </c>
      <c r="S887" s="309">
        <f t="shared" si="57"/>
        <v>45260</v>
      </c>
      <c r="T887" s="293"/>
      <c r="U887" s="293"/>
      <c r="V887" s="293"/>
      <c r="W887" s="294"/>
      <c r="X887" s="237">
        <f>VLOOKUP(N887,[9]Pagos!$C$2:$D$353,2,FALSE)</f>
        <v>1120000</v>
      </c>
      <c r="Y887" s="295">
        <f t="shared" si="54"/>
        <v>11200000</v>
      </c>
      <c r="Z887" s="296">
        <f t="shared" si="55"/>
        <v>9.0909090909090912E-2</v>
      </c>
      <c r="AA887" s="85">
        <v>1082868728</v>
      </c>
      <c r="AB887" s="85" t="s">
        <v>6010</v>
      </c>
      <c r="AC887" s="290" t="s">
        <v>196</v>
      </c>
      <c r="AD887" s="290" t="s">
        <v>196</v>
      </c>
      <c r="AE887" s="303"/>
      <c r="AF887" s="310" t="str">
        <f>VLOOKUP(E887,[10]Hoja1!$D$3:$E$327,2,FALSE)</f>
        <v>https://community.secop.gov.co/Public/Tendering/OpportunityDetail/Index?noticeUID=CO1.NTC.4779021&amp;isFromPublicArea=True&amp;isModal=true&amp;asPopupView=true</v>
      </c>
      <c r="AG887" s="290" t="s">
        <v>192</v>
      </c>
      <c r="AH887" s="290" t="s">
        <v>192</v>
      </c>
    </row>
    <row r="888" spans="1:34" s="297" customFormat="1" ht="15" customHeight="1" x14ac:dyDescent="0.2">
      <c r="A888" s="289">
        <v>891780111</v>
      </c>
      <c r="B888" s="289" t="s">
        <v>54</v>
      </c>
      <c r="C888" s="290" t="s">
        <v>56</v>
      </c>
      <c r="D888" s="289" t="s">
        <v>60</v>
      </c>
      <c r="E888" s="290" t="s">
        <v>9367</v>
      </c>
      <c r="F888" s="289" t="s">
        <v>61</v>
      </c>
      <c r="G888" s="85" t="s">
        <v>63</v>
      </c>
      <c r="H888" s="85" t="s">
        <v>73</v>
      </c>
      <c r="I888" s="237">
        <v>13640000</v>
      </c>
      <c r="J888" s="290"/>
      <c r="K888" s="291"/>
      <c r="L888" s="291"/>
      <c r="M888" s="292">
        <f t="shared" si="53"/>
        <v>13640000</v>
      </c>
      <c r="N888" s="85">
        <v>1082957435</v>
      </c>
      <c r="O888" s="85" t="s">
        <v>6905</v>
      </c>
      <c r="P888" s="85" t="s">
        <v>9368</v>
      </c>
      <c r="Q888" s="309">
        <f t="shared" si="60"/>
        <v>45128</v>
      </c>
      <c r="R888" s="309">
        <f t="shared" si="60"/>
        <v>45128</v>
      </c>
      <c r="S888" s="309">
        <f t="shared" si="57"/>
        <v>45260</v>
      </c>
      <c r="T888" s="293"/>
      <c r="U888" s="293"/>
      <c r="V888" s="293"/>
      <c r="W888" s="294"/>
      <c r="X888" s="237">
        <f>VLOOKUP(N888,[9]Pagos!$C$2:$D$353,2,FALSE)</f>
        <v>1240000</v>
      </c>
      <c r="Y888" s="295">
        <f t="shared" si="54"/>
        <v>12400000</v>
      </c>
      <c r="Z888" s="296">
        <f t="shared" si="55"/>
        <v>9.0909090909090912E-2</v>
      </c>
      <c r="AA888" s="85">
        <v>1082868728</v>
      </c>
      <c r="AB888" s="85" t="s">
        <v>6010</v>
      </c>
      <c r="AC888" s="290" t="s">
        <v>196</v>
      </c>
      <c r="AD888" s="290" t="s">
        <v>196</v>
      </c>
      <c r="AE888" s="303"/>
      <c r="AF888" s="310" t="str">
        <f>VLOOKUP(E888,[10]Hoja1!$D$3:$E$327,2,FALSE)</f>
        <v>https://community.secop.gov.co/Public/Tendering/OpportunityDetail/Index?noticeUID=CO1.NTC.4776250&amp;isFromPublicArea=True&amp;isModal=true&amp;asPopupView=true</v>
      </c>
      <c r="AG888" s="290" t="s">
        <v>192</v>
      </c>
      <c r="AH888" s="290" t="s">
        <v>192</v>
      </c>
    </row>
    <row r="889" spans="1:34" s="297" customFormat="1" ht="15" customHeight="1" x14ac:dyDescent="0.2">
      <c r="A889" s="289">
        <v>891780111</v>
      </c>
      <c r="B889" s="289" t="s">
        <v>54</v>
      </c>
      <c r="C889" s="290" t="s">
        <v>56</v>
      </c>
      <c r="D889" s="289" t="s">
        <v>60</v>
      </c>
      <c r="E889" s="290" t="s">
        <v>9369</v>
      </c>
      <c r="F889" s="289" t="s">
        <v>61</v>
      </c>
      <c r="G889" s="85" t="s">
        <v>63</v>
      </c>
      <c r="H889" s="85" t="s">
        <v>73</v>
      </c>
      <c r="I889" s="237">
        <v>9314000</v>
      </c>
      <c r="J889" s="290"/>
      <c r="K889" s="291"/>
      <c r="L889" s="291"/>
      <c r="M889" s="292">
        <f t="shared" si="53"/>
        <v>9314000</v>
      </c>
      <c r="N889" s="85">
        <v>1082992511</v>
      </c>
      <c r="O889" s="85" t="s">
        <v>7014</v>
      </c>
      <c r="P889" s="85" t="s">
        <v>9370</v>
      </c>
      <c r="Q889" s="309">
        <f t="shared" si="60"/>
        <v>45128</v>
      </c>
      <c r="R889" s="309">
        <f>DATE(2023,7,24)</f>
        <v>45131</v>
      </c>
      <c r="S889" s="309">
        <f t="shared" si="57"/>
        <v>45260</v>
      </c>
      <c r="T889" s="293"/>
      <c r="U889" s="293"/>
      <c r="V889" s="293"/>
      <c r="W889" s="294"/>
      <c r="X889" s="237">
        <f>VLOOKUP(N889,[9]Pagos!$C$2:$D$353,2,FALSE)</f>
        <v>514000</v>
      </c>
      <c r="Y889" s="295">
        <f t="shared" si="54"/>
        <v>8800000</v>
      </c>
      <c r="Z889" s="296">
        <f t="shared" si="55"/>
        <v>5.5185741893923126E-2</v>
      </c>
      <c r="AA889" s="85">
        <v>1082868728</v>
      </c>
      <c r="AB889" s="85" t="s">
        <v>6010</v>
      </c>
      <c r="AC889" s="290" t="s">
        <v>196</v>
      </c>
      <c r="AD889" s="290" t="s">
        <v>196</v>
      </c>
      <c r="AE889" s="303"/>
      <c r="AF889" s="310" t="str">
        <f>VLOOKUP(E889,[10]Hoja1!$D$3:$E$327,2,FALSE)</f>
        <v>https://community.secop.gov.co/Public/Tendering/OpportunityDetail/Index?noticeUID=CO1.NTC.4776271&amp;isFromPublicArea=True&amp;isModal=true&amp;asPopupView=true</v>
      </c>
      <c r="AG889" s="290" t="s">
        <v>192</v>
      </c>
      <c r="AH889" s="290" t="s">
        <v>192</v>
      </c>
    </row>
    <row r="890" spans="1:34" s="297" customFormat="1" ht="15" customHeight="1" x14ac:dyDescent="0.2">
      <c r="A890" s="289">
        <v>891780111</v>
      </c>
      <c r="B890" s="289" t="s">
        <v>54</v>
      </c>
      <c r="C890" s="290" t="s">
        <v>56</v>
      </c>
      <c r="D890" s="289" t="s">
        <v>60</v>
      </c>
      <c r="E890" s="290" t="s">
        <v>9371</v>
      </c>
      <c r="F890" s="289" t="s">
        <v>61</v>
      </c>
      <c r="G890" s="85" t="s">
        <v>63</v>
      </c>
      <c r="H890" s="85" t="s">
        <v>73</v>
      </c>
      <c r="I890" s="237">
        <v>13950000</v>
      </c>
      <c r="J890" s="290"/>
      <c r="K890" s="291"/>
      <c r="L890" s="291"/>
      <c r="M890" s="292">
        <f t="shared" si="53"/>
        <v>13950000</v>
      </c>
      <c r="N890" s="85">
        <v>57442581</v>
      </c>
      <c r="O890" s="85" t="s">
        <v>8664</v>
      </c>
      <c r="P890" s="85" t="s">
        <v>9372</v>
      </c>
      <c r="Q890" s="309">
        <f t="shared" si="60"/>
        <v>45128</v>
      </c>
      <c r="R890" s="309">
        <f t="shared" si="60"/>
        <v>45128</v>
      </c>
      <c r="S890" s="309">
        <f t="shared" si="57"/>
        <v>45260</v>
      </c>
      <c r="T890" s="293"/>
      <c r="U890" s="293"/>
      <c r="V890" s="293"/>
      <c r="W890" s="294"/>
      <c r="X890" s="237"/>
      <c r="Y890" s="295">
        <f t="shared" si="54"/>
        <v>13950000</v>
      </c>
      <c r="Z890" s="296">
        <f t="shared" si="55"/>
        <v>0</v>
      </c>
      <c r="AA890" s="85">
        <v>93400727</v>
      </c>
      <c r="AB890" s="85" t="s">
        <v>6418</v>
      </c>
      <c r="AC890" s="290" t="s">
        <v>196</v>
      </c>
      <c r="AD890" s="290" t="s">
        <v>196</v>
      </c>
      <c r="AE890" s="303"/>
      <c r="AF890" s="310" t="str">
        <f>VLOOKUP(E890,[10]Hoja1!$D$3:$E$327,2,FALSE)</f>
        <v>https://community.secop.gov.co/Public/Tendering/OpportunityDetail/Index?noticeUID=CO1.NTC.4776444&amp;isFromPublicArea=True&amp;isModal=true&amp;asPopupView=true</v>
      </c>
      <c r="AG890" s="290" t="s">
        <v>192</v>
      </c>
      <c r="AH890" s="290" t="s">
        <v>192</v>
      </c>
    </row>
    <row r="891" spans="1:34" s="297" customFormat="1" ht="15" customHeight="1" x14ac:dyDescent="0.2">
      <c r="A891" s="289">
        <v>891780111</v>
      </c>
      <c r="B891" s="289" t="s">
        <v>54</v>
      </c>
      <c r="C891" s="290" t="s">
        <v>56</v>
      </c>
      <c r="D891" s="289" t="s">
        <v>60</v>
      </c>
      <c r="E891" s="290" t="s">
        <v>9373</v>
      </c>
      <c r="F891" s="289" t="s">
        <v>61</v>
      </c>
      <c r="G891" s="85" t="s">
        <v>63</v>
      </c>
      <c r="H891" s="85" t="s">
        <v>73</v>
      </c>
      <c r="I891" s="237">
        <v>8550000</v>
      </c>
      <c r="J891" s="290"/>
      <c r="K891" s="291"/>
      <c r="L891" s="291"/>
      <c r="M891" s="292">
        <f t="shared" si="53"/>
        <v>8550000</v>
      </c>
      <c r="N891" s="85">
        <v>57435172</v>
      </c>
      <c r="O891" s="85" t="s">
        <v>6640</v>
      </c>
      <c r="P891" s="85" t="s">
        <v>9334</v>
      </c>
      <c r="Q891" s="309">
        <f t="shared" si="60"/>
        <v>45128</v>
      </c>
      <c r="R891" s="309">
        <f t="shared" si="60"/>
        <v>45128</v>
      </c>
      <c r="S891" s="309">
        <f t="shared" si="57"/>
        <v>45260</v>
      </c>
      <c r="T891" s="293"/>
      <c r="U891" s="293"/>
      <c r="V891" s="293"/>
      <c r="W891" s="294"/>
      <c r="X891" s="237">
        <f>VLOOKUP(N891,[9]Pagos!$C$2:$D$353,2,FALSE)</f>
        <v>950000</v>
      </c>
      <c r="Y891" s="295">
        <f t="shared" si="54"/>
        <v>7600000</v>
      </c>
      <c r="Z891" s="296">
        <f t="shared" si="55"/>
        <v>0.1111111111111111</v>
      </c>
      <c r="AA891" s="85">
        <v>57444673</v>
      </c>
      <c r="AB891" s="85" t="s">
        <v>5370</v>
      </c>
      <c r="AC891" s="290" t="s">
        <v>196</v>
      </c>
      <c r="AD891" s="290" t="s">
        <v>196</v>
      </c>
      <c r="AE891" s="303"/>
      <c r="AF891" s="310" t="str">
        <f>VLOOKUP(E891,[10]Hoja1!$D$3:$E$327,2,FALSE)</f>
        <v>https://community.secop.gov.co/Public/Tendering/OpportunityDetail/Index?noticeUID=CO1.NTC.4776343&amp;isFromPublicArea=True&amp;isModal=true&amp;asPopupView=true</v>
      </c>
      <c r="AG891" s="290" t="s">
        <v>192</v>
      </c>
      <c r="AH891" s="290" t="s">
        <v>192</v>
      </c>
    </row>
    <row r="892" spans="1:34" s="297" customFormat="1" ht="15" customHeight="1" x14ac:dyDescent="0.2">
      <c r="A892" s="289">
        <v>891780111</v>
      </c>
      <c r="B892" s="289" t="s">
        <v>54</v>
      </c>
      <c r="C892" s="290" t="s">
        <v>56</v>
      </c>
      <c r="D892" s="289" t="s">
        <v>60</v>
      </c>
      <c r="E892" s="290" t="s">
        <v>9374</v>
      </c>
      <c r="F892" s="289" t="s">
        <v>61</v>
      </c>
      <c r="G892" s="85" t="s">
        <v>63</v>
      </c>
      <c r="H892" s="85" t="s">
        <v>73</v>
      </c>
      <c r="I892" s="237">
        <v>8550000</v>
      </c>
      <c r="J892" s="290"/>
      <c r="K892" s="291"/>
      <c r="L892" s="291"/>
      <c r="M892" s="292">
        <f t="shared" si="53"/>
        <v>8550000</v>
      </c>
      <c r="N892" s="85">
        <v>39055352</v>
      </c>
      <c r="O892" s="85" t="s">
        <v>6879</v>
      </c>
      <c r="P892" s="85" t="s">
        <v>9334</v>
      </c>
      <c r="Q892" s="309">
        <f t="shared" si="60"/>
        <v>45128</v>
      </c>
      <c r="R892" s="309">
        <f t="shared" si="60"/>
        <v>45128</v>
      </c>
      <c r="S892" s="309">
        <f t="shared" si="57"/>
        <v>45260</v>
      </c>
      <c r="T892" s="293"/>
      <c r="U892" s="293"/>
      <c r="V892" s="293"/>
      <c r="W892" s="294"/>
      <c r="X892" s="237">
        <f>VLOOKUP(N892,[9]Pagos!$C$2:$D$353,2,FALSE)</f>
        <v>950000</v>
      </c>
      <c r="Y892" s="295">
        <f t="shared" si="54"/>
        <v>7600000</v>
      </c>
      <c r="Z892" s="296">
        <f t="shared" si="55"/>
        <v>0.1111111111111111</v>
      </c>
      <c r="AA892" s="85">
        <v>57444673</v>
      </c>
      <c r="AB892" s="85" t="s">
        <v>5370</v>
      </c>
      <c r="AC892" s="290" t="s">
        <v>196</v>
      </c>
      <c r="AD892" s="290" t="s">
        <v>196</v>
      </c>
      <c r="AE892" s="303"/>
      <c r="AF892" s="310" t="str">
        <f>VLOOKUP(E892,[10]Hoja1!$D$3:$E$327,2,FALSE)</f>
        <v>https://community.secop.gov.co/Public/Tendering/OpportunityDetail/Index?noticeUID=CO1.NTC.4776542&amp;isFromPublicArea=True&amp;isModal=true&amp;asPopupView=true</v>
      </c>
      <c r="AG892" s="290" t="s">
        <v>192</v>
      </c>
      <c r="AH892" s="290" t="s">
        <v>192</v>
      </c>
    </row>
    <row r="893" spans="1:34" s="297" customFormat="1" ht="15" customHeight="1" x14ac:dyDescent="0.2">
      <c r="A893" s="289">
        <v>891780111</v>
      </c>
      <c r="B893" s="289" t="s">
        <v>54</v>
      </c>
      <c r="C893" s="290" t="s">
        <v>56</v>
      </c>
      <c r="D893" s="289" t="s">
        <v>60</v>
      </c>
      <c r="E893" s="290" t="s">
        <v>9375</v>
      </c>
      <c r="F893" s="289" t="s">
        <v>61</v>
      </c>
      <c r="G893" s="85" t="s">
        <v>63</v>
      </c>
      <c r="H893" s="85" t="s">
        <v>73</v>
      </c>
      <c r="I893" s="237">
        <v>12600000</v>
      </c>
      <c r="J893" s="290"/>
      <c r="K893" s="291"/>
      <c r="L893" s="291"/>
      <c r="M893" s="292">
        <f t="shared" si="53"/>
        <v>12600000</v>
      </c>
      <c r="N893" s="85">
        <v>1065836973</v>
      </c>
      <c r="O893" s="85" t="s">
        <v>6812</v>
      </c>
      <c r="P893" s="85" t="s">
        <v>9376</v>
      </c>
      <c r="Q893" s="309">
        <f t="shared" si="60"/>
        <v>45128</v>
      </c>
      <c r="R893" s="309">
        <f t="shared" si="60"/>
        <v>45128</v>
      </c>
      <c r="S893" s="309">
        <f t="shared" si="57"/>
        <v>45260</v>
      </c>
      <c r="T893" s="293"/>
      <c r="U893" s="293"/>
      <c r="V893" s="293"/>
      <c r="W893" s="294"/>
      <c r="X893" s="237">
        <f>VLOOKUP(N893,[9]Pagos!$C$2:$D$353,2,FALSE)</f>
        <v>1400000</v>
      </c>
      <c r="Y893" s="295">
        <f t="shared" si="54"/>
        <v>11200000</v>
      </c>
      <c r="Z893" s="296">
        <f t="shared" si="55"/>
        <v>0.1111111111111111</v>
      </c>
      <c r="AA893" s="85">
        <v>57461216</v>
      </c>
      <c r="AB893" s="85" t="s">
        <v>6512</v>
      </c>
      <c r="AC893" s="290" t="s">
        <v>196</v>
      </c>
      <c r="AD893" s="290" t="s">
        <v>196</v>
      </c>
      <c r="AE893" s="303"/>
      <c r="AF893" s="310" t="str">
        <f>VLOOKUP(E893,[10]Hoja1!$D$3:$E$327,2,FALSE)</f>
        <v>https://community.secop.gov.co/Public/Tendering/OpportunityDetail/Index?noticeUID=CO1.NTC.4776009&amp;isFromPublicArea=True&amp;isModal=true&amp;asPopupView=true</v>
      </c>
      <c r="AG893" s="290" t="s">
        <v>192</v>
      </c>
      <c r="AH893" s="290" t="s">
        <v>192</v>
      </c>
    </row>
    <row r="894" spans="1:34" s="297" customFormat="1" ht="15" customHeight="1" x14ac:dyDescent="0.2">
      <c r="A894" s="289">
        <v>891780111</v>
      </c>
      <c r="B894" s="289" t="s">
        <v>54</v>
      </c>
      <c r="C894" s="290" t="s">
        <v>56</v>
      </c>
      <c r="D894" s="289" t="s">
        <v>60</v>
      </c>
      <c r="E894" s="290" t="s">
        <v>9377</v>
      </c>
      <c r="F894" s="289" t="s">
        <v>61</v>
      </c>
      <c r="G894" s="85" t="s">
        <v>63</v>
      </c>
      <c r="H894" s="85" t="s">
        <v>73</v>
      </c>
      <c r="I894" s="237">
        <v>13950000</v>
      </c>
      <c r="J894" s="290"/>
      <c r="K894" s="291"/>
      <c r="L894" s="291"/>
      <c r="M894" s="292">
        <f t="shared" si="53"/>
        <v>13950000</v>
      </c>
      <c r="N894" s="85">
        <v>1082934684</v>
      </c>
      <c r="O894" s="85" t="s">
        <v>8552</v>
      </c>
      <c r="P894" s="85" t="s">
        <v>9378</v>
      </c>
      <c r="Q894" s="309">
        <f t="shared" si="60"/>
        <v>45128</v>
      </c>
      <c r="R894" s="309">
        <f t="shared" si="60"/>
        <v>45128</v>
      </c>
      <c r="S894" s="309">
        <f t="shared" si="57"/>
        <v>45260</v>
      </c>
      <c r="T894" s="293"/>
      <c r="U894" s="293"/>
      <c r="V894" s="293"/>
      <c r="W894" s="294"/>
      <c r="X894" s="237">
        <f>VLOOKUP(N894,[9]Pagos!$C$2:$D$353,2,FALSE)</f>
        <v>1550000</v>
      </c>
      <c r="Y894" s="295">
        <f t="shared" si="54"/>
        <v>12400000</v>
      </c>
      <c r="Z894" s="296">
        <f t="shared" si="55"/>
        <v>0.1111111111111111</v>
      </c>
      <c r="AA894" s="85">
        <v>72175281</v>
      </c>
      <c r="AB894" s="85" t="s">
        <v>6507</v>
      </c>
      <c r="AC894" s="290" t="s">
        <v>196</v>
      </c>
      <c r="AD894" s="290" t="s">
        <v>196</v>
      </c>
      <c r="AE894" s="303"/>
      <c r="AF894" s="310" t="str">
        <f>VLOOKUP(E894,[10]Hoja1!$D$3:$E$327,2,FALSE)</f>
        <v>https://community.secop.gov.co/Public/Tendering/OpportunityDetail/Index?noticeUID=CO1.NTC.4776127&amp;isFromPublicArea=True&amp;isModal=true&amp;asPopupView=true</v>
      </c>
      <c r="AG894" s="290" t="s">
        <v>192</v>
      </c>
      <c r="AH894" s="290" t="s">
        <v>192</v>
      </c>
    </row>
    <row r="895" spans="1:34" s="297" customFormat="1" ht="15" customHeight="1" x14ac:dyDescent="0.2">
      <c r="A895" s="289">
        <v>891780111</v>
      </c>
      <c r="B895" s="289" t="s">
        <v>54</v>
      </c>
      <c r="C895" s="290" t="s">
        <v>56</v>
      </c>
      <c r="D895" s="289" t="s">
        <v>60</v>
      </c>
      <c r="E895" s="290" t="s">
        <v>9379</v>
      </c>
      <c r="F895" s="289" t="s">
        <v>61</v>
      </c>
      <c r="G895" s="85" t="s">
        <v>63</v>
      </c>
      <c r="H895" s="85" t="s">
        <v>73</v>
      </c>
      <c r="I895" s="237">
        <v>13950000</v>
      </c>
      <c r="J895" s="290"/>
      <c r="K895" s="291"/>
      <c r="L895" s="291"/>
      <c r="M895" s="292">
        <f t="shared" si="53"/>
        <v>13950000</v>
      </c>
      <c r="N895" s="85">
        <v>1082902423</v>
      </c>
      <c r="O895" s="85" t="s">
        <v>6677</v>
      </c>
      <c r="P895" s="85" t="s">
        <v>9380</v>
      </c>
      <c r="Q895" s="309">
        <f t="shared" si="60"/>
        <v>45128</v>
      </c>
      <c r="R895" s="309">
        <f t="shared" si="60"/>
        <v>45128</v>
      </c>
      <c r="S895" s="309">
        <f t="shared" si="57"/>
        <v>45260</v>
      </c>
      <c r="T895" s="293"/>
      <c r="U895" s="293"/>
      <c r="V895" s="293"/>
      <c r="W895" s="294"/>
      <c r="X895" s="237">
        <f>VLOOKUP(N895,[9]Pagos!$C$2:$D$353,2,FALSE)</f>
        <v>1550000</v>
      </c>
      <c r="Y895" s="295">
        <f t="shared" si="54"/>
        <v>12400000</v>
      </c>
      <c r="Z895" s="296">
        <f t="shared" si="55"/>
        <v>0.1111111111111111</v>
      </c>
      <c r="AA895" s="85">
        <v>57461216</v>
      </c>
      <c r="AB895" s="85" t="s">
        <v>6512</v>
      </c>
      <c r="AC895" s="290" t="s">
        <v>196</v>
      </c>
      <c r="AD895" s="290" t="s">
        <v>196</v>
      </c>
      <c r="AE895" s="303"/>
      <c r="AF895" s="310" t="str">
        <f>VLOOKUP(E895,[10]Hoja1!$D$3:$E$327,2,FALSE)</f>
        <v>https://community.secop.gov.co/Public/Tendering/OpportunityDetail/Index?noticeUID=CO1.NTC.4776171&amp;isFromPublicArea=True&amp;isModal=true&amp;asPopupView=true</v>
      </c>
      <c r="AG895" s="290" t="s">
        <v>192</v>
      </c>
      <c r="AH895" s="290" t="s">
        <v>192</v>
      </c>
    </row>
    <row r="896" spans="1:34" s="297" customFormat="1" ht="15" customHeight="1" x14ac:dyDescent="0.2">
      <c r="A896" s="289">
        <v>891780111</v>
      </c>
      <c r="B896" s="289" t="s">
        <v>54</v>
      </c>
      <c r="C896" s="290" t="s">
        <v>59</v>
      </c>
      <c r="D896" s="289" t="s">
        <v>60</v>
      </c>
      <c r="E896" s="290" t="s">
        <v>9381</v>
      </c>
      <c r="F896" s="289" t="s">
        <v>61</v>
      </c>
      <c r="G896" s="85" t="s">
        <v>63</v>
      </c>
      <c r="H896" s="85" t="s">
        <v>73</v>
      </c>
      <c r="I896" s="237">
        <v>11600000</v>
      </c>
      <c r="J896" s="290"/>
      <c r="K896" s="291"/>
      <c r="L896" s="291"/>
      <c r="M896" s="292">
        <f t="shared" si="53"/>
        <v>11600000</v>
      </c>
      <c r="N896" s="85">
        <v>57464899</v>
      </c>
      <c r="O896" s="85" t="s">
        <v>7751</v>
      </c>
      <c r="P896" s="85" t="s">
        <v>9382</v>
      </c>
      <c r="Q896" s="309">
        <f t="shared" si="60"/>
        <v>45128</v>
      </c>
      <c r="R896" s="309">
        <f>DATE(2023,7,24)</f>
        <v>45131</v>
      </c>
      <c r="S896" s="309">
        <f>DATE(2023,11,24)</f>
        <v>45254</v>
      </c>
      <c r="T896" s="293"/>
      <c r="U896" s="293"/>
      <c r="V896" s="293"/>
      <c r="W896" s="294"/>
      <c r="X896" s="237">
        <f>VLOOKUP(N896,[9]Pagos!$C$2:$D$353,2,FALSE)</f>
        <v>580000</v>
      </c>
      <c r="Y896" s="295">
        <f t="shared" si="54"/>
        <v>11020000</v>
      </c>
      <c r="Z896" s="296">
        <f t="shared" si="55"/>
        <v>0.05</v>
      </c>
      <c r="AA896" s="85">
        <v>36722626</v>
      </c>
      <c r="AB896" s="85" t="s">
        <v>7184</v>
      </c>
      <c r="AC896" s="290" t="s">
        <v>196</v>
      </c>
      <c r="AD896" s="290" t="s">
        <v>196</v>
      </c>
      <c r="AE896" s="303"/>
      <c r="AF896" s="310" t="str">
        <f>VLOOKUP(E896,[10]Hoja1!$D$3:$E$327,2,FALSE)</f>
        <v>https://community.secop.gov.co/Public/Tendering/OpportunityDetail/Index?noticeUID=CO1.NTC.4776425&amp;isFromPublicArea=True&amp;isModal=true&amp;asPopupView=true</v>
      </c>
      <c r="AG896" s="290" t="s">
        <v>192</v>
      </c>
      <c r="AH896" s="290" t="s">
        <v>192</v>
      </c>
    </row>
    <row r="897" spans="1:34" s="297" customFormat="1" ht="15" customHeight="1" x14ac:dyDescent="0.2">
      <c r="A897" s="289">
        <v>891780111</v>
      </c>
      <c r="B897" s="289" t="s">
        <v>54</v>
      </c>
      <c r="C897" s="290" t="s">
        <v>56</v>
      </c>
      <c r="D897" s="289" t="s">
        <v>60</v>
      </c>
      <c r="E897" s="290" t="s">
        <v>9383</v>
      </c>
      <c r="F897" s="289" t="s">
        <v>61</v>
      </c>
      <c r="G897" s="85" t="s">
        <v>63</v>
      </c>
      <c r="H897" s="85" t="s">
        <v>73</v>
      </c>
      <c r="I897" s="237">
        <v>12600000</v>
      </c>
      <c r="J897" s="290"/>
      <c r="K897" s="291"/>
      <c r="L897" s="291"/>
      <c r="M897" s="292">
        <f t="shared" si="53"/>
        <v>12600000</v>
      </c>
      <c r="N897" s="85">
        <v>1082992753</v>
      </c>
      <c r="O897" s="85" t="s">
        <v>2253</v>
      </c>
      <c r="P897" s="85" t="s">
        <v>9384</v>
      </c>
      <c r="Q897" s="309">
        <f t="shared" si="60"/>
        <v>45128</v>
      </c>
      <c r="R897" s="309">
        <f t="shared" si="60"/>
        <v>45128</v>
      </c>
      <c r="S897" s="309">
        <f t="shared" si="57"/>
        <v>45260</v>
      </c>
      <c r="T897" s="293"/>
      <c r="U897" s="293"/>
      <c r="V897" s="293"/>
      <c r="W897" s="294"/>
      <c r="X897" s="237">
        <f>VLOOKUP(N897,[9]Pagos!$C$2:$D$353,2,FALSE)</f>
        <v>1400000</v>
      </c>
      <c r="Y897" s="295">
        <f t="shared" si="54"/>
        <v>11200000</v>
      </c>
      <c r="Z897" s="296">
        <f t="shared" si="55"/>
        <v>0.1111111111111111</v>
      </c>
      <c r="AA897" s="85">
        <v>36718996</v>
      </c>
      <c r="AB897" s="85" t="s">
        <v>6686</v>
      </c>
      <c r="AC897" s="290" t="s">
        <v>196</v>
      </c>
      <c r="AD897" s="290" t="s">
        <v>196</v>
      </c>
      <c r="AE897" s="303"/>
      <c r="AF897" s="310" t="str">
        <f>VLOOKUP(E897,[10]Hoja1!$D$3:$E$327,2,FALSE)</f>
        <v>https://community.secop.gov.co/Public/Tendering/OpportunityDetail/Index?noticeUID=CO1.NTC.4776834&amp;isFromPublicArea=True&amp;isModal=true&amp;asPopupView=true</v>
      </c>
      <c r="AG897" s="290" t="s">
        <v>192</v>
      </c>
      <c r="AH897" s="290" t="s">
        <v>192</v>
      </c>
    </row>
    <row r="898" spans="1:34" s="297" customFormat="1" ht="15" customHeight="1" x14ac:dyDescent="0.2">
      <c r="A898" s="289">
        <v>891780111</v>
      </c>
      <c r="B898" s="289" t="s">
        <v>54</v>
      </c>
      <c r="C898" s="290" t="s">
        <v>56</v>
      </c>
      <c r="D898" s="289" t="s">
        <v>60</v>
      </c>
      <c r="E898" s="290" t="s">
        <v>9385</v>
      </c>
      <c r="F898" s="289" t="s">
        <v>61</v>
      </c>
      <c r="G898" s="85" t="s">
        <v>63</v>
      </c>
      <c r="H898" s="85" t="s">
        <v>73</v>
      </c>
      <c r="I898" s="237">
        <v>8550000</v>
      </c>
      <c r="J898" s="290"/>
      <c r="K898" s="291"/>
      <c r="L898" s="291"/>
      <c r="M898" s="292">
        <f t="shared" si="53"/>
        <v>8550000</v>
      </c>
      <c r="N898" s="85">
        <v>36729283</v>
      </c>
      <c r="O898" s="85" t="s">
        <v>8112</v>
      </c>
      <c r="P898" s="85" t="s">
        <v>9386</v>
      </c>
      <c r="Q898" s="309">
        <f>DATE(2023,7,24)</f>
        <v>45131</v>
      </c>
      <c r="R898" s="309">
        <f>DATE(2023,7,24)</f>
        <v>45131</v>
      </c>
      <c r="S898" s="309">
        <f t="shared" si="57"/>
        <v>45260</v>
      </c>
      <c r="T898" s="293"/>
      <c r="U898" s="293"/>
      <c r="V898" s="293"/>
      <c r="W898" s="294"/>
      <c r="X898" s="237">
        <f>VLOOKUP(N898,[9]Pagos!$C$2:$D$353,2,FALSE)</f>
        <v>950000</v>
      </c>
      <c r="Y898" s="295">
        <f t="shared" si="54"/>
        <v>7600000</v>
      </c>
      <c r="Z898" s="296">
        <f t="shared" si="55"/>
        <v>0.1111111111111111</v>
      </c>
      <c r="AA898" s="85">
        <v>36718996</v>
      </c>
      <c r="AB898" s="85" t="s">
        <v>6686</v>
      </c>
      <c r="AC898" s="290" t="s">
        <v>196</v>
      </c>
      <c r="AD898" s="290" t="s">
        <v>196</v>
      </c>
      <c r="AE898" s="303"/>
      <c r="AF898" s="310" t="str">
        <f>VLOOKUP(E898,[10]Hoja1!$D$3:$E$327,2,FALSE)</f>
        <v>https://community.secop.gov.co/Public/Tendering/OpportunityDetail/Index?noticeUID=CO1.NTC.4781587&amp;isFromPublicArea=True&amp;isModal=true&amp;asPopupView=true</v>
      </c>
      <c r="AG898" s="290" t="s">
        <v>192</v>
      </c>
      <c r="AH898" s="290" t="s">
        <v>192</v>
      </c>
    </row>
    <row r="899" spans="1:34" s="297" customFormat="1" ht="15" customHeight="1" x14ac:dyDescent="0.2">
      <c r="A899" s="289">
        <v>891780111</v>
      </c>
      <c r="B899" s="289" t="s">
        <v>54</v>
      </c>
      <c r="C899" s="290" t="s">
        <v>56</v>
      </c>
      <c r="D899" s="289" t="s">
        <v>60</v>
      </c>
      <c r="E899" s="290" t="s">
        <v>9387</v>
      </c>
      <c r="F899" s="289" t="s">
        <v>61</v>
      </c>
      <c r="G899" s="85" t="s">
        <v>63</v>
      </c>
      <c r="H899" s="85" t="s">
        <v>73</v>
      </c>
      <c r="I899" s="237">
        <v>12600000</v>
      </c>
      <c r="J899" s="290"/>
      <c r="K899" s="291"/>
      <c r="L899" s="291"/>
      <c r="M899" s="292">
        <f t="shared" si="53"/>
        <v>12600000</v>
      </c>
      <c r="N899" s="85">
        <v>57466453</v>
      </c>
      <c r="O899" s="85" t="s">
        <v>7783</v>
      </c>
      <c r="P899" s="85" t="s">
        <v>9388</v>
      </c>
      <c r="Q899" s="309">
        <f t="shared" ref="Q899:R931" si="61">DATE(2023,7,24)</f>
        <v>45131</v>
      </c>
      <c r="R899" s="309">
        <f t="shared" si="61"/>
        <v>45131</v>
      </c>
      <c r="S899" s="309">
        <f t="shared" si="57"/>
        <v>45260</v>
      </c>
      <c r="T899" s="293"/>
      <c r="U899" s="293"/>
      <c r="V899" s="293"/>
      <c r="W899" s="294"/>
      <c r="X899" s="237">
        <f>VLOOKUP(N899,[9]Pagos!$C$2:$D$353,2,FALSE)</f>
        <v>1400000</v>
      </c>
      <c r="Y899" s="295">
        <f t="shared" si="54"/>
        <v>11200000</v>
      </c>
      <c r="Z899" s="296">
        <f t="shared" si="55"/>
        <v>0.1111111111111111</v>
      </c>
      <c r="AA899" s="85">
        <v>36557666</v>
      </c>
      <c r="AB899" s="85" t="s">
        <v>6916</v>
      </c>
      <c r="AC899" s="290" t="s">
        <v>196</v>
      </c>
      <c r="AD899" s="290" t="s">
        <v>196</v>
      </c>
      <c r="AE899" s="303"/>
      <c r="AF899" s="310" t="str">
        <f>VLOOKUP(E899,[10]Hoja1!$D$3:$E$327,2,FALSE)</f>
        <v>https://community.secop.gov.co/Public/Tendering/OpportunityDetail/Index?noticeUID=CO1.NTC.4781610&amp;isFromPublicArea=True&amp;isModal=true&amp;asPopupView=true</v>
      </c>
      <c r="AG899" s="290" t="s">
        <v>192</v>
      </c>
      <c r="AH899" s="290" t="s">
        <v>192</v>
      </c>
    </row>
    <row r="900" spans="1:34" s="297" customFormat="1" ht="15" customHeight="1" x14ac:dyDescent="0.2">
      <c r="A900" s="289">
        <v>891780111</v>
      </c>
      <c r="B900" s="289" t="s">
        <v>54</v>
      </c>
      <c r="C900" s="290" t="s">
        <v>56</v>
      </c>
      <c r="D900" s="289" t="s">
        <v>60</v>
      </c>
      <c r="E900" s="290" t="s">
        <v>9389</v>
      </c>
      <c r="F900" s="289" t="s">
        <v>61</v>
      </c>
      <c r="G900" s="85" t="s">
        <v>63</v>
      </c>
      <c r="H900" s="85" t="s">
        <v>73</v>
      </c>
      <c r="I900" s="237">
        <v>13950000</v>
      </c>
      <c r="J900" s="290"/>
      <c r="K900" s="291"/>
      <c r="L900" s="291"/>
      <c r="M900" s="292">
        <f t="shared" si="53"/>
        <v>13950000</v>
      </c>
      <c r="N900" s="85">
        <v>3743095</v>
      </c>
      <c r="O900" s="85" t="s">
        <v>7626</v>
      </c>
      <c r="P900" s="85" t="s">
        <v>9390</v>
      </c>
      <c r="Q900" s="309">
        <f t="shared" si="61"/>
        <v>45131</v>
      </c>
      <c r="R900" s="309">
        <f t="shared" si="61"/>
        <v>45131</v>
      </c>
      <c r="S900" s="309">
        <f t="shared" si="57"/>
        <v>45260</v>
      </c>
      <c r="T900" s="293"/>
      <c r="U900" s="293"/>
      <c r="V900" s="293"/>
      <c r="W900" s="294"/>
      <c r="X900" s="237">
        <f>VLOOKUP(N900,[9]Pagos!$C$2:$D$353,2,FALSE)</f>
        <v>1550000</v>
      </c>
      <c r="Y900" s="295">
        <f t="shared" si="54"/>
        <v>12400000</v>
      </c>
      <c r="Z900" s="296">
        <f t="shared" si="55"/>
        <v>0.1111111111111111</v>
      </c>
      <c r="AA900" s="85">
        <v>85468846</v>
      </c>
      <c r="AB900" s="85" t="s">
        <v>7615</v>
      </c>
      <c r="AC900" s="290" t="s">
        <v>196</v>
      </c>
      <c r="AD900" s="290" t="s">
        <v>196</v>
      </c>
      <c r="AE900" s="303"/>
      <c r="AF900" s="310" t="str">
        <f>VLOOKUP(E900,[10]Hoja1!$D$3:$E$327,2,FALSE)</f>
        <v>https://community.secop.gov.co/Public/Tendering/OpportunityDetail/Index?noticeUID=CO1.NTC.4781666&amp;isFromPublicArea=True&amp;isModal=true&amp;asPopupView=true</v>
      </c>
      <c r="AG900" s="290" t="s">
        <v>192</v>
      </c>
      <c r="AH900" s="290" t="s">
        <v>192</v>
      </c>
    </row>
    <row r="901" spans="1:34" s="297" customFormat="1" ht="15" customHeight="1" x14ac:dyDescent="0.2">
      <c r="A901" s="289">
        <v>891780111</v>
      </c>
      <c r="B901" s="289" t="s">
        <v>54</v>
      </c>
      <c r="C901" s="290" t="s">
        <v>56</v>
      </c>
      <c r="D901" s="289" t="s">
        <v>60</v>
      </c>
      <c r="E901" s="290" t="s">
        <v>9391</v>
      </c>
      <c r="F901" s="289" t="s">
        <v>61</v>
      </c>
      <c r="G901" s="85" t="s">
        <v>63</v>
      </c>
      <c r="H901" s="85" t="s">
        <v>73</v>
      </c>
      <c r="I901" s="237">
        <v>12600000</v>
      </c>
      <c r="J901" s="290"/>
      <c r="K901" s="291"/>
      <c r="L901" s="291"/>
      <c r="M901" s="292">
        <f t="shared" ref="M901:M955" si="62">I901+K901-L901</f>
        <v>12600000</v>
      </c>
      <c r="N901" s="85">
        <v>1081928917</v>
      </c>
      <c r="O901" s="85" t="s">
        <v>7058</v>
      </c>
      <c r="P901" s="85" t="s">
        <v>9392</v>
      </c>
      <c r="Q901" s="309">
        <f t="shared" si="61"/>
        <v>45131</v>
      </c>
      <c r="R901" s="309">
        <f t="shared" si="61"/>
        <v>45131</v>
      </c>
      <c r="S901" s="309">
        <f t="shared" si="57"/>
        <v>45260</v>
      </c>
      <c r="T901" s="293"/>
      <c r="U901" s="293"/>
      <c r="V901" s="293"/>
      <c r="W901" s="294"/>
      <c r="X901" s="237">
        <f>VLOOKUP(N901,[9]Pagos!$C$2:$D$353,2,FALSE)</f>
        <v>1400000</v>
      </c>
      <c r="Y901" s="295">
        <f t="shared" ref="Y901:Y955" si="63">M901-X901</f>
        <v>11200000</v>
      </c>
      <c r="Z901" s="296">
        <f t="shared" ref="Z901:Z955" si="64">+(X901/M901)</f>
        <v>0.1111111111111111</v>
      </c>
      <c r="AA901" s="85">
        <v>36718996</v>
      </c>
      <c r="AB901" s="85" t="s">
        <v>6686</v>
      </c>
      <c r="AC901" s="290" t="s">
        <v>196</v>
      </c>
      <c r="AD901" s="290" t="s">
        <v>196</v>
      </c>
      <c r="AE901" s="303"/>
      <c r="AF901" s="310" t="str">
        <f>VLOOKUP(E901,[10]Hoja1!$D$3:$E$327,2,FALSE)</f>
        <v>https://community.secop.gov.co/Public/Tendering/OpportunityDetail/Index?noticeUID=CO1.NTC.4781783&amp;isFromPublicArea=True&amp;isModal=true&amp;asPopupView=true</v>
      </c>
      <c r="AG901" s="290" t="s">
        <v>192</v>
      </c>
      <c r="AH901" s="290" t="s">
        <v>192</v>
      </c>
    </row>
    <row r="902" spans="1:34" s="297" customFormat="1" ht="15" customHeight="1" x14ac:dyDescent="0.2">
      <c r="A902" s="289">
        <v>891780111</v>
      </c>
      <c r="B902" s="289" t="s">
        <v>54</v>
      </c>
      <c r="C902" s="290" t="s">
        <v>56</v>
      </c>
      <c r="D902" s="289" t="s">
        <v>60</v>
      </c>
      <c r="E902" s="290" t="s">
        <v>9393</v>
      </c>
      <c r="F902" s="289" t="s">
        <v>61</v>
      </c>
      <c r="G902" s="85" t="s">
        <v>63</v>
      </c>
      <c r="H902" s="85" t="s">
        <v>73</v>
      </c>
      <c r="I902" s="237">
        <v>12600000</v>
      </c>
      <c r="J902" s="290"/>
      <c r="K902" s="291"/>
      <c r="L902" s="291"/>
      <c r="M902" s="292">
        <f t="shared" si="62"/>
        <v>12600000</v>
      </c>
      <c r="N902" s="85">
        <v>1083044605</v>
      </c>
      <c r="O902" s="85" t="s">
        <v>7925</v>
      </c>
      <c r="P902" s="85" t="s">
        <v>9394</v>
      </c>
      <c r="Q902" s="309">
        <f t="shared" si="61"/>
        <v>45131</v>
      </c>
      <c r="R902" s="309">
        <f t="shared" si="61"/>
        <v>45131</v>
      </c>
      <c r="S902" s="309">
        <f t="shared" si="57"/>
        <v>45260</v>
      </c>
      <c r="T902" s="293"/>
      <c r="U902" s="293"/>
      <c r="V902" s="293"/>
      <c r="W902" s="294"/>
      <c r="X902" s="237"/>
      <c r="Y902" s="295">
        <f t="shared" si="63"/>
        <v>12600000</v>
      </c>
      <c r="Z902" s="296">
        <f t="shared" si="64"/>
        <v>0</v>
      </c>
      <c r="AA902" s="85">
        <v>36557666</v>
      </c>
      <c r="AB902" s="85" t="s">
        <v>6916</v>
      </c>
      <c r="AC902" s="290" t="s">
        <v>196</v>
      </c>
      <c r="AD902" s="290" t="s">
        <v>196</v>
      </c>
      <c r="AE902" s="303"/>
      <c r="AF902" s="310" t="str">
        <f>VLOOKUP(E902,[10]Hoja1!$D$3:$E$327,2,FALSE)</f>
        <v>https://community.secop.gov.co/Public/Tendering/OpportunityDetail/Index?noticeUID=CO1.NTC.4781849&amp;isFromPublicArea=True&amp;isModal=true&amp;asPopupView=true</v>
      </c>
      <c r="AG902" s="290" t="s">
        <v>192</v>
      </c>
      <c r="AH902" s="290" t="s">
        <v>192</v>
      </c>
    </row>
    <row r="903" spans="1:34" s="297" customFormat="1" ht="15" customHeight="1" x14ac:dyDescent="0.2">
      <c r="A903" s="289">
        <v>891780111</v>
      </c>
      <c r="B903" s="289" t="s">
        <v>54</v>
      </c>
      <c r="C903" s="290" t="s">
        <v>56</v>
      </c>
      <c r="D903" s="289" t="s">
        <v>60</v>
      </c>
      <c r="E903" s="290" t="s">
        <v>9395</v>
      </c>
      <c r="F903" s="289" t="s">
        <v>61</v>
      </c>
      <c r="G903" s="85" t="s">
        <v>63</v>
      </c>
      <c r="H903" s="85" t="s">
        <v>73</v>
      </c>
      <c r="I903" s="237">
        <v>15300000</v>
      </c>
      <c r="J903" s="290"/>
      <c r="K903" s="291"/>
      <c r="L903" s="291"/>
      <c r="M903" s="292">
        <f t="shared" si="62"/>
        <v>15300000</v>
      </c>
      <c r="N903" s="85">
        <v>85152680</v>
      </c>
      <c r="O903" s="85" t="s">
        <v>7038</v>
      </c>
      <c r="P903" s="85" t="s">
        <v>9396</v>
      </c>
      <c r="Q903" s="309">
        <f t="shared" si="61"/>
        <v>45131</v>
      </c>
      <c r="R903" s="309">
        <f t="shared" si="61"/>
        <v>45131</v>
      </c>
      <c r="S903" s="309">
        <f t="shared" si="57"/>
        <v>45260</v>
      </c>
      <c r="T903" s="293"/>
      <c r="U903" s="293"/>
      <c r="V903" s="293"/>
      <c r="W903" s="294"/>
      <c r="X903" s="237">
        <f>VLOOKUP(N903,[9]Pagos!$C$2:$D$353,2,FALSE)</f>
        <v>1700000</v>
      </c>
      <c r="Y903" s="295">
        <f t="shared" si="63"/>
        <v>13600000</v>
      </c>
      <c r="Z903" s="296">
        <f t="shared" si="64"/>
        <v>0.1111111111111111</v>
      </c>
      <c r="AA903" s="85">
        <v>57441846</v>
      </c>
      <c r="AB903" s="85" t="s">
        <v>6885</v>
      </c>
      <c r="AC903" s="290" t="s">
        <v>196</v>
      </c>
      <c r="AD903" s="290" t="s">
        <v>196</v>
      </c>
      <c r="AE903" s="303"/>
      <c r="AF903" s="310" t="str">
        <f>VLOOKUP(E903,[10]Hoja1!$D$3:$E$327,2,FALSE)</f>
        <v>https://community.secop.gov.co/Public/Tendering/OpportunityDetail/Index?noticeUID=CO1.NTC.4781990&amp;isFromPublicArea=True&amp;isModal=true&amp;asPopupView=true</v>
      </c>
      <c r="AG903" s="290" t="s">
        <v>192</v>
      </c>
      <c r="AH903" s="290" t="s">
        <v>192</v>
      </c>
    </row>
    <row r="904" spans="1:34" s="297" customFormat="1" ht="15" customHeight="1" x14ac:dyDescent="0.2">
      <c r="A904" s="289">
        <v>891780111</v>
      </c>
      <c r="B904" s="289" t="s">
        <v>54</v>
      </c>
      <c r="C904" s="290" t="s">
        <v>56</v>
      </c>
      <c r="D904" s="289" t="s">
        <v>60</v>
      </c>
      <c r="E904" s="290" t="s">
        <v>9397</v>
      </c>
      <c r="F904" s="289" t="s">
        <v>61</v>
      </c>
      <c r="G904" s="85" t="s">
        <v>63</v>
      </c>
      <c r="H904" s="85" t="s">
        <v>73</v>
      </c>
      <c r="I904" s="237">
        <v>12600000</v>
      </c>
      <c r="J904" s="290"/>
      <c r="K904" s="291"/>
      <c r="L904" s="291"/>
      <c r="M904" s="292">
        <f t="shared" si="62"/>
        <v>12600000</v>
      </c>
      <c r="N904" s="85">
        <v>39143698</v>
      </c>
      <c r="O904" s="85" t="s">
        <v>8668</v>
      </c>
      <c r="P904" s="85" t="s">
        <v>9398</v>
      </c>
      <c r="Q904" s="309">
        <f t="shared" si="61"/>
        <v>45131</v>
      </c>
      <c r="R904" s="309">
        <f t="shared" si="61"/>
        <v>45131</v>
      </c>
      <c r="S904" s="309">
        <f t="shared" si="57"/>
        <v>45260</v>
      </c>
      <c r="T904" s="293"/>
      <c r="U904" s="293"/>
      <c r="V904" s="293"/>
      <c r="W904" s="294"/>
      <c r="X904" s="237">
        <f>VLOOKUP(N904,[9]Pagos!$C$2:$D$353,2,FALSE)</f>
        <v>1400000</v>
      </c>
      <c r="Y904" s="295">
        <f t="shared" si="63"/>
        <v>11200000</v>
      </c>
      <c r="Z904" s="296">
        <f t="shared" si="64"/>
        <v>0.1111111111111111</v>
      </c>
      <c r="AA904" s="85">
        <v>36557666</v>
      </c>
      <c r="AB904" s="85" t="s">
        <v>6916</v>
      </c>
      <c r="AC904" s="290" t="s">
        <v>196</v>
      </c>
      <c r="AD904" s="290" t="s">
        <v>196</v>
      </c>
      <c r="AE904" s="303"/>
      <c r="AF904" s="310" t="str">
        <f>VLOOKUP(E904,[10]Hoja1!$D$3:$E$327,2,FALSE)</f>
        <v>https://community.secop.gov.co/Public/Tendering/OpportunityDetail/Index?noticeUID=CO1.NTC.4782501&amp;isFromPublicArea=True&amp;isModal=true&amp;asPopupView=true</v>
      </c>
      <c r="AG904" s="290" t="s">
        <v>192</v>
      </c>
      <c r="AH904" s="290" t="s">
        <v>192</v>
      </c>
    </row>
    <row r="905" spans="1:34" s="297" customFormat="1" ht="15" customHeight="1" x14ac:dyDescent="0.2">
      <c r="A905" s="289">
        <v>891780111</v>
      </c>
      <c r="B905" s="289" t="s">
        <v>54</v>
      </c>
      <c r="C905" s="290" t="s">
        <v>56</v>
      </c>
      <c r="D905" s="289" t="s">
        <v>60</v>
      </c>
      <c r="E905" s="290" t="s">
        <v>9399</v>
      </c>
      <c r="F905" s="289" t="s">
        <v>61</v>
      </c>
      <c r="G905" s="85" t="s">
        <v>63</v>
      </c>
      <c r="H905" s="85" t="s">
        <v>73</v>
      </c>
      <c r="I905" s="237">
        <v>9900000</v>
      </c>
      <c r="J905" s="290"/>
      <c r="K905" s="291"/>
      <c r="L905" s="291"/>
      <c r="M905" s="292">
        <f t="shared" si="62"/>
        <v>9900000</v>
      </c>
      <c r="N905" s="85">
        <v>36724297</v>
      </c>
      <c r="O905" s="85" t="s">
        <v>8435</v>
      </c>
      <c r="P905" s="85" t="s">
        <v>9400</v>
      </c>
      <c r="Q905" s="309">
        <f t="shared" si="61"/>
        <v>45131</v>
      </c>
      <c r="R905" s="309">
        <f t="shared" si="61"/>
        <v>45131</v>
      </c>
      <c r="S905" s="309">
        <f t="shared" si="57"/>
        <v>45260</v>
      </c>
      <c r="T905" s="293"/>
      <c r="U905" s="293"/>
      <c r="V905" s="293"/>
      <c r="W905" s="294"/>
      <c r="X905" s="237">
        <f>VLOOKUP(N905,[9]Pagos!$C$2:$D$353,2,FALSE)</f>
        <v>1100000</v>
      </c>
      <c r="Y905" s="295">
        <f t="shared" si="63"/>
        <v>8800000</v>
      </c>
      <c r="Z905" s="296">
        <f t="shared" si="64"/>
        <v>0.1111111111111111</v>
      </c>
      <c r="AA905" s="85">
        <v>57441846</v>
      </c>
      <c r="AB905" s="85" t="s">
        <v>6885</v>
      </c>
      <c r="AC905" s="290" t="s">
        <v>196</v>
      </c>
      <c r="AD905" s="290" t="s">
        <v>196</v>
      </c>
      <c r="AE905" s="303"/>
      <c r="AF905" s="310" t="str">
        <f>VLOOKUP(E905,[10]Hoja1!$D$3:$E$327,2,FALSE)</f>
        <v>https://community.secop.gov.co/Public/Tendering/OpportunityDetail/Index?noticeUID=CO1.NTC.4782349&amp;isFromPublicArea=True&amp;isModal=true&amp;asPopupView=true</v>
      </c>
      <c r="AG905" s="290" t="s">
        <v>192</v>
      </c>
      <c r="AH905" s="290" t="s">
        <v>192</v>
      </c>
    </row>
    <row r="906" spans="1:34" s="297" customFormat="1" ht="15" customHeight="1" x14ac:dyDescent="0.2">
      <c r="A906" s="289">
        <v>891780111</v>
      </c>
      <c r="B906" s="289" t="s">
        <v>54</v>
      </c>
      <c r="C906" s="290" t="s">
        <v>56</v>
      </c>
      <c r="D906" s="289" t="s">
        <v>60</v>
      </c>
      <c r="E906" s="290" t="s">
        <v>9401</v>
      </c>
      <c r="F906" s="289" t="s">
        <v>61</v>
      </c>
      <c r="G906" s="85" t="s">
        <v>63</v>
      </c>
      <c r="H906" s="85" t="s">
        <v>73</v>
      </c>
      <c r="I906" s="237">
        <v>11250000</v>
      </c>
      <c r="J906" s="290"/>
      <c r="K906" s="291"/>
      <c r="L906" s="291"/>
      <c r="M906" s="292">
        <f t="shared" si="62"/>
        <v>11250000</v>
      </c>
      <c r="N906" s="85">
        <v>1066095376</v>
      </c>
      <c r="O906" s="85" t="s">
        <v>8635</v>
      </c>
      <c r="P906" s="85" t="s">
        <v>9402</v>
      </c>
      <c r="Q906" s="309">
        <f t="shared" si="61"/>
        <v>45131</v>
      </c>
      <c r="R906" s="309">
        <f t="shared" si="61"/>
        <v>45131</v>
      </c>
      <c r="S906" s="309">
        <f t="shared" si="57"/>
        <v>45260</v>
      </c>
      <c r="T906" s="293"/>
      <c r="U906" s="293"/>
      <c r="V906" s="293"/>
      <c r="W906" s="294"/>
      <c r="X906" s="237"/>
      <c r="Y906" s="295">
        <f t="shared" si="63"/>
        <v>11250000</v>
      </c>
      <c r="Z906" s="296">
        <f t="shared" si="64"/>
        <v>0</v>
      </c>
      <c r="AA906" s="85">
        <v>36557666</v>
      </c>
      <c r="AB906" s="85" t="s">
        <v>6916</v>
      </c>
      <c r="AC906" s="290" t="s">
        <v>196</v>
      </c>
      <c r="AD906" s="290" t="s">
        <v>196</v>
      </c>
      <c r="AE906" s="303"/>
      <c r="AF906" s="310" t="str">
        <f>VLOOKUP(E906,[10]Hoja1!$D$3:$E$327,2,FALSE)</f>
        <v>https://community.secop.gov.co/Public/Tendering/OpportunityDetail/Index?noticeUID=CO1.NTC.4782613&amp;isFromPublicArea=True&amp;isModal=true&amp;asPopupView=true</v>
      </c>
      <c r="AG906" s="290" t="s">
        <v>192</v>
      </c>
      <c r="AH906" s="290" t="s">
        <v>192</v>
      </c>
    </row>
    <row r="907" spans="1:34" s="297" customFormat="1" ht="15" customHeight="1" x14ac:dyDescent="0.2">
      <c r="A907" s="289">
        <v>891780111</v>
      </c>
      <c r="B907" s="289" t="s">
        <v>54</v>
      </c>
      <c r="C907" s="290" t="s">
        <v>56</v>
      </c>
      <c r="D907" s="289" t="s">
        <v>60</v>
      </c>
      <c r="E907" s="290" t="s">
        <v>9403</v>
      </c>
      <c r="F907" s="289" t="s">
        <v>61</v>
      </c>
      <c r="G907" s="85" t="s">
        <v>63</v>
      </c>
      <c r="H907" s="85" t="s">
        <v>73</v>
      </c>
      <c r="I907" s="237">
        <v>9900000</v>
      </c>
      <c r="J907" s="290"/>
      <c r="K907" s="291"/>
      <c r="L907" s="291"/>
      <c r="M907" s="292">
        <f t="shared" si="62"/>
        <v>9900000</v>
      </c>
      <c r="N907" s="85">
        <v>1083554638</v>
      </c>
      <c r="O907" s="85" t="s">
        <v>7613</v>
      </c>
      <c r="P907" s="85" t="s">
        <v>9404</v>
      </c>
      <c r="Q907" s="309">
        <f t="shared" si="61"/>
        <v>45131</v>
      </c>
      <c r="R907" s="309">
        <f t="shared" si="61"/>
        <v>45131</v>
      </c>
      <c r="S907" s="309">
        <f t="shared" si="57"/>
        <v>45260</v>
      </c>
      <c r="T907" s="293"/>
      <c r="U907" s="293"/>
      <c r="V907" s="293"/>
      <c r="W907" s="294"/>
      <c r="X907" s="237">
        <f>VLOOKUP(N907,[9]Pagos!$C$2:$D$353,2,FALSE)</f>
        <v>1100000</v>
      </c>
      <c r="Y907" s="295">
        <f t="shared" si="63"/>
        <v>8800000</v>
      </c>
      <c r="Z907" s="296">
        <f t="shared" si="64"/>
        <v>0.1111111111111111</v>
      </c>
      <c r="AA907" s="85">
        <v>85468846</v>
      </c>
      <c r="AB907" s="85" t="s">
        <v>7615</v>
      </c>
      <c r="AC907" s="290" t="s">
        <v>196</v>
      </c>
      <c r="AD907" s="290" t="s">
        <v>196</v>
      </c>
      <c r="AE907" s="303"/>
      <c r="AF907" s="310" t="str">
        <f>VLOOKUP(E907,[10]Hoja1!$D$3:$E$327,2,FALSE)</f>
        <v>https://community.secop.gov.co/Public/Tendering/OpportunityDetail/Index?noticeUID=CO1.NTC.4782622&amp;isFromPublicArea=True&amp;isModal=true&amp;asPopupView=true</v>
      </c>
      <c r="AG907" s="290" t="s">
        <v>192</v>
      </c>
      <c r="AH907" s="290" t="s">
        <v>192</v>
      </c>
    </row>
    <row r="908" spans="1:34" s="297" customFormat="1" ht="15" customHeight="1" x14ac:dyDescent="0.2">
      <c r="A908" s="289">
        <v>891780111</v>
      </c>
      <c r="B908" s="289" t="s">
        <v>54</v>
      </c>
      <c r="C908" s="290" t="s">
        <v>56</v>
      </c>
      <c r="D908" s="289" t="s">
        <v>60</v>
      </c>
      <c r="E908" s="290" t="s">
        <v>9405</v>
      </c>
      <c r="F908" s="289" t="s">
        <v>61</v>
      </c>
      <c r="G908" s="85" t="s">
        <v>63</v>
      </c>
      <c r="H908" s="85" t="s">
        <v>73</v>
      </c>
      <c r="I908" s="237">
        <v>12600000</v>
      </c>
      <c r="J908" s="290"/>
      <c r="K908" s="291"/>
      <c r="L908" s="291"/>
      <c r="M908" s="292">
        <f t="shared" si="62"/>
        <v>12600000</v>
      </c>
      <c r="N908" s="85">
        <v>1083008431</v>
      </c>
      <c r="O908" s="85" t="s">
        <v>7814</v>
      </c>
      <c r="P908" s="85" t="s">
        <v>9406</v>
      </c>
      <c r="Q908" s="309">
        <f t="shared" si="61"/>
        <v>45131</v>
      </c>
      <c r="R908" s="309">
        <f t="shared" si="61"/>
        <v>45131</v>
      </c>
      <c r="S908" s="309">
        <f t="shared" si="57"/>
        <v>45260</v>
      </c>
      <c r="T908" s="293"/>
      <c r="U908" s="293"/>
      <c r="V908" s="293"/>
      <c r="W908" s="294"/>
      <c r="X908" s="237">
        <f>VLOOKUP(N908,[9]Pagos!$C$2:$D$353,2,FALSE)</f>
        <v>1400000</v>
      </c>
      <c r="Y908" s="295">
        <f t="shared" si="63"/>
        <v>11200000</v>
      </c>
      <c r="Z908" s="296">
        <f t="shared" si="64"/>
        <v>0.1111111111111111</v>
      </c>
      <c r="AA908" s="85">
        <v>36557666</v>
      </c>
      <c r="AB908" s="85" t="s">
        <v>6916</v>
      </c>
      <c r="AC908" s="290" t="s">
        <v>196</v>
      </c>
      <c r="AD908" s="290" t="s">
        <v>196</v>
      </c>
      <c r="AE908" s="303"/>
      <c r="AF908" s="310" t="str">
        <f>VLOOKUP(E908,[10]Hoja1!$D$3:$E$327,2,FALSE)</f>
        <v>https://community.secop.gov.co/Public/Tendering/OpportunityDetail/Index?noticeUID=CO1.NTC.4782627&amp;isFromPublicArea=True&amp;isModal=true&amp;asPopupView=true</v>
      </c>
      <c r="AG908" s="290" t="s">
        <v>192</v>
      </c>
      <c r="AH908" s="290" t="s">
        <v>192</v>
      </c>
    </row>
    <row r="909" spans="1:34" s="297" customFormat="1" ht="15" customHeight="1" x14ac:dyDescent="0.2">
      <c r="A909" s="289">
        <v>891780111</v>
      </c>
      <c r="B909" s="289" t="s">
        <v>54</v>
      </c>
      <c r="C909" s="290" t="s">
        <v>56</v>
      </c>
      <c r="D909" s="289" t="s">
        <v>60</v>
      </c>
      <c r="E909" s="290" t="s">
        <v>9407</v>
      </c>
      <c r="F909" s="289" t="s">
        <v>61</v>
      </c>
      <c r="G909" s="85" t="s">
        <v>63</v>
      </c>
      <c r="H909" s="85" t="s">
        <v>73</v>
      </c>
      <c r="I909" s="237">
        <v>11250000</v>
      </c>
      <c r="J909" s="290"/>
      <c r="K909" s="291"/>
      <c r="L909" s="291"/>
      <c r="M909" s="292">
        <f t="shared" si="62"/>
        <v>11250000</v>
      </c>
      <c r="N909" s="85">
        <v>49758019</v>
      </c>
      <c r="O909" s="85" t="s">
        <v>8431</v>
      </c>
      <c r="P909" s="85" t="s">
        <v>9408</v>
      </c>
      <c r="Q909" s="309">
        <f t="shared" si="61"/>
        <v>45131</v>
      </c>
      <c r="R909" s="309">
        <f t="shared" si="61"/>
        <v>45131</v>
      </c>
      <c r="S909" s="309">
        <f t="shared" si="57"/>
        <v>45260</v>
      </c>
      <c r="T909" s="293"/>
      <c r="U909" s="293"/>
      <c r="V909" s="293"/>
      <c r="W909" s="294"/>
      <c r="X909" s="237">
        <f>VLOOKUP(N909,[9]Pagos!$C$2:$D$353,2,FALSE)</f>
        <v>1250000</v>
      </c>
      <c r="Y909" s="295">
        <f t="shared" si="63"/>
        <v>10000000</v>
      </c>
      <c r="Z909" s="296">
        <f t="shared" si="64"/>
        <v>0.1111111111111111</v>
      </c>
      <c r="AA909" s="85">
        <v>57441846</v>
      </c>
      <c r="AB909" s="85" t="s">
        <v>6885</v>
      </c>
      <c r="AC909" s="290" t="s">
        <v>196</v>
      </c>
      <c r="AD909" s="290" t="s">
        <v>196</v>
      </c>
      <c r="AE909" s="303"/>
      <c r="AF909" s="310" t="str">
        <f>VLOOKUP(E909,[10]Hoja1!$D$3:$E$327,2,FALSE)</f>
        <v>https://community.secop.gov.co/Public/Tendering/OpportunityDetail/Index?noticeUID=CO1.NTC.4782773&amp;isFromPublicArea=True&amp;isModal=true&amp;asPopupView=true</v>
      </c>
      <c r="AG909" s="290" t="s">
        <v>192</v>
      </c>
      <c r="AH909" s="290" t="s">
        <v>192</v>
      </c>
    </row>
    <row r="910" spans="1:34" s="297" customFormat="1" ht="15" customHeight="1" x14ac:dyDescent="0.2">
      <c r="A910" s="289">
        <v>891780111</v>
      </c>
      <c r="B910" s="289" t="s">
        <v>54</v>
      </c>
      <c r="C910" s="290" t="s">
        <v>56</v>
      </c>
      <c r="D910" s="289" t="s">
        <v>60</v>
      </c>
      <c r="E910" s="290" t="s">
        <v>9409</v>
      </c>
      <c r="F910" s="289" t="s">
        <v>61</v>
      </c>
      <c r="G910" s="85" t="s">
        <v>63</v>
      </c>
      <c r="H910" s="85" t="s">
        <v>73</v>
      </c>
      <c r="I910" s="237">
        <v>13950000</v>
      </c>
      <c r="J910" s="290"/>
      <c r="K910" s="291"/>
      <c r="L910" s="291"/>
      <c r="M910" s="292">
        <f t="shared" si="62"/>
        <v>13950000</v>
      </c>
      <c r="N910" s="85">
        <v>1004188433</v>
      </c>
      <c r="O910" s="85" t="s">
        <v>6556</v>
      </c>
      <c r="P910" s="85" t="s">
        <v>9410</v>
      </c>
      <c r="Q910" s="309">
        <f t="shared" si="61"/>
        <v>45131</v>
      </c>
      <c r="R910" s="309">
        <f t="shared" si="61"/>
        <v>45131</v>
      </c>
      <c r="S910" s="309">
        <f t="shared" si="57"/>
        <v>45260</v>
      </c>
      <c r="T910" s="293"/>
      <c r="U910" s="293"/>
      <c r="V910" s="293"/>
      <c r="W910" s="294"/>
      <c r="X910" s="237">
        <f>VLOOKUP(N910,[9]Pagos!$C$2:$D$353,2,FALSE)</f>
        <v>1550000</v>
      </c>
      <c r="Y910" s="295">
        <f t="shared" si="63"/>
        <v>12400000</v>
      </c>
      <c r="Z910" s="296">
        <f t="shared" si="64"/>
        <v>0.1111111111111111</v>
      </c>
      <c r="AA910" s="85">
        <v>85471791</v>
      </c>
      <c r="AB910" s="85" t="s">
        <v>7172</v>
      </c>
      <c r="AC910" s="290" t="s">
        <v>196</v>
      </c>
      <c r="AD910" s="290" t="s">
        <v>196</v>
      </c>
      <c r="AE910" s="303"/>
      <c r="AF910" s="310" t="str">
        <f>VLOOKUP(E910,[10]Hoja1!$D$3:$E$327,2,FALSE)</f>
        <v>https://community.secop.gov.co/Public/Tendering/OpportunityDetail/Index?noticeUID=CO1.NTC.4782590&amp;isFromPublicArea=True&amp;isModal=true&amp;asPopupView=true</v>
      </c>
      <c r="AG910" s="290" t="s">
        <v>192</v>
      </c>
      <c r="AH910" s="290" t="s">
        <v>192</v>
      </c>
    </row>
    <row r="911" spans="1:34" s="297" customFormat="1" ht="15" customHeight="1" x14ac:dyDescent="0.2">
      <c r="A911" s="289">
        <v>891780111</v>
      </c>
      <c r="B911" s="289" t="s">
        <v>54</v>
      </c>
      <c r="C911" s="290" t="s">
        <v>56</v>
      </c>
      <c r="D911" s="289" t="s">
        <v>60</v>
      </c>
      <c r="E911" s="290" t="s">
        <v>9411</v>
      </c>
      <c r="F911" s="289" t="s">
        <v>61</v>
      </c>
      <c r="G911" s="85" t="s">
        <v>63</v>
      </c>
      <c r="H911" s="85" t="s">
        <v>73</v>
      </c>
      <c r="I911" s="237">
        <v>15300000</v>
      </c>
      <c r="J911" s="290"/>
      <c r="K911" s="291"/>
      <c r="L911" s="291"/>
      <c r="M911" s="292">
        <f t="shared" si="62"/>
        <v>15300000</v>
      </c>
      <c r="N911" s="85">
        <v>22854984</v>
      </c>
      <c r="O911" s="85" t="s">
        <v>7557</v>
      </c>
      <c r="P911" s="85" t="s">
        <v>9412</v>
      </c>
      <c r="Q911" s="309">
        <f t="shared" si="61"/>
        <v>45131</v>
      </c>
      <c r="R911" s="309">
        <f t="shared" si="61"/>
        <v>45131</v>
      </c>
      <c r="S911" s="309">
        <f t="shared" si="57"/>
        <v>45260</v>
      </c>
      <c r="T911" s="293"/>
      <c r="U911" s="293"/>
      <c r="V911" s="293"/>
      <c r="W911" s="294"/>
      <c r="X911" s="237">
        <f>VLOOKUP(N911,[9]Pagos!$C$2:$D$353,2,FALSE)</f>
        <v>1700000</v>
      </c>
      <c r="Y911" s="295">
        <f t="shared" si="63"/>
        <v>13600000</v>
      </c>
      <c r="Z911" s="296">
        <f t="shared" si="64"/>
        <v>0.1111111111111111</v>
      </c>
      <c r="AA911" s="85">
        <v>12621405</v>
      </c>
      <c r="AB911" s="85" t="s">
        <v>8695</v>
      </c>
      <c r="AC911" s="290" t="s">
        <v>196</v>
      </c>
      <c r="AD911" s="290" t="s">
        <v>196</v>
      </c>
      <c r="AE911" s="303"/>
      <c r="AF911" s="310" t="str">
        <f>VLOOKUP(E911,[10]Hoja1!$D$3:$E$327,2,FALSE)</f>
        <v>https://community.secop.gov.co/Public/Tendering/OpportunityDetail/Index?noticeUID=CO1.NTC.4783011&amp;isFromPublicArea=True&amp;isModal=true&amp;asPopupView=true</v>
      </c>
      <c r="AG911" s="290" t="s">
        <v>192</v>
      </c>
      <c r="AH911" s="290" t="s">
        <v>192</v>
      </c>
    </row>
    <row r="912" spans="1:34" s="297" customFormat="1" ht="15" customHeight="1" x14ac:dyDescent="0.2">
      <c r="A912" s="289">
        <v>891780111</v>
      </c>
      <c r="B912" s="289" t="s">
        <v>54</v>
      </c>
      <c r="C912" s="290" t="s">
        <v>56</v>
      </c>
      <c r="D912" s="289" t="s">
        <v>60</v>
      </c>
      <c r="E912" s="290" t="s">
        <v>9413</v>
      </c>
      <c r="F912" s="289" t="s">
        <v>61</v>
      </c>
      <c r="G912" s="85" t="s">
        <v>63</v>
      </c>
      <c r="H912" s="85" t="s">
        <v>73</v>
      </c>
      <c r="I912" s="237">
        <v>11250000</v>
      </c>
      <c r="J912" s="290"/>
      <c r="K912" s="291"/>
      <c r="L912" s="291"/>
      <c r="M912" s="292">
        <f t="shared" si="62"/>
        <v>11250000</v>
      </c>
      <c r="N912" s="85">
        <v>1082915040</v>
      </c>
      <c r="O912" s="85" t="s">
        <v>7394</v>
      </c>
      <c r="P912" s="85" t="s">
        <v>9414</v>
      </c>
      <c r="Q912" s="309">
        <f t="shared" si="61"/>
        <v>45131</v>
      </c>
      <c r="R912" s="309">
        <f t="shared" si="61"/>
        <v>45131</v>
      </c>
      <c r="S912" s="309">
        <f t="shared" ref="S912:S955" si="65">DATE(2023,11,30)</f>
        <v>45260</v>
      </c>
      <c r="T912" s="293"/>
      <c r="U912" s="293"/>
      <c r="V912" s="293"/>
      <c r="W912" s="294"/>
      <c r="X912" s="237">
        <f>VLOOKUP(N912,[9]Pagos!$C$2:$D$353,2,FALSE)</f>
        <v>1250000</v>
      </c>
      <c r="Y912" s="295">
        <f t="shared" si="63"/>
        <v>10000000</v>
      </c>
      <c r="Z912" s="296">
        <f t="shared" si="64"/>
        <v>0.1111111111111111</v>
      </c>
      <c r="AA912" s="85">
        <v>41947381</v>
      </c>
      <c r="AB912" s="85" t="s">
        <v>6440</v>
      </c>
      <c r="AC912" s="290" t="s">
        <v>196</v>
      </c>
      <c r="AD912" s="290" t="s">
        <v>196</v>
      </c>
      <c r="AE912" s="303"/>
      <c r="AF912" s="310" t="str">
        <f>VLOOKUP(E912,[10]Hoja1!$D$3:$E$327,2,FALSE)</f>
        <v>https://community.secop.gov.co/Public/Tendering/OpportunityDetail/Index?noticeUID=CO1.NTC.4783104&amp;isFromPublicArea=True&amp;isModal=true&amp;asPopupView=true</v>
      </c>
      <c r="AG912" s="290" t="s">
        <v>192</v>
      </c>
      <c r="AH912" s="290" t="s">
        <v>192</v>
      </c>
    </row>
    <row r="913" spans="1:34" s="297" customFormat="1" ht="15" customHeight="1" x14ac:dyDescent="0.2">
      <c r="A913" s="289">
        <v>891780111</v>
      </c>
      <c r="B913" s="289" t="s">
        <v>54</v>
      </c>
      <c r="C913" s="290" t="s">
        <v>56</v>
      </c>
      <c r="D913" s="289" t="s">
        <v>60</v>
      </c>
      <c r="E913" s="290" t="s">
        <v>9415</v>
      </c>
      <c r="F913" s="289" t="s">
        <v>61</v>
      </c>
      <c r="G913" s="85" t="s">
        <v>63</v>
      </c>
      <c r="H913" s="85" t="s">
        <v>73</v>
      </c>
      <c r="I913" s="237">
        <v>9900000</v>
      </c>
      <c r="J913" s="290"/>
      <c r="K913" s="291"/>
      <c r="L913" s="291"/>
      <c r="M913" s="292">
        <f t="shared" si="62"/>
        <v>9900000</v>
      </c>
      <c r="N913" s="85">
        <v>1082902525</v>
      </c>
      <c r="O913" s="85" t="s">
        <v>7886</v>
      </c>
      <c r="P913" s="85" t="s">
        <v>9416</v>
      </c>
      <c r="Q913" s="309">
        <f t="shared" si="61"/>
        <v>45131</v>
      </c>
      <c r="R913" s="309">
        <f t="shared" si="61"/>
        <v>45131</v>
      </c>
      <c r="S913" s="309">
        <f t="shared" si="65"/>
        <v>45260</v>
      </c>
      <c r="T913" s="293"/>
      <c r="U913" s="293"/>
      <c r="V913" s="293"/>
      <c r="W913" s="294"/>
      <c r="X913" s="237">
        <f>VLOOKUP(N913,[9]Pagos!$C$2:$D$353,2,FALSE)</f>
        <v>1100000</v>
      </c>
      <c r="Y913" s="295">
        <f t="shared" si="63"/>
        <v>8800000</v>
      </c>
      <c r="Z913" s="296">
        <f t="shared" si="64"/>
        <v>0.1111111111111111</v>
      </c>
      <c r="AA913" s="85">
        <v>36557666</v>
      </c>
      <c r="AB913" s="85" t="s">
        <v>6916</v>
      </c>
      <c r="AC913" s="290" t="s">
        <v>196</v>
      </c>
      <c r="AD913" s="290" t="s">
        <v>196</v>
      </c>
      <c r="AE913" s="303"/>
      <c r="AF913" s="310" t="str">
        <f>VLOOKUP(E913,[10]Hoja1!$D$3:$E$327,2,FALSE)</f>
        <v>https://community.secop.gov.co/Public/Tendering/OpportunityDetail/Index?noticeUID=CO1.NTC.4781554&amp;isFromPublicArea=True&amp;isModal=true&amp;asPopupView=true</v>
      </c>
      <c r="AG913" s="290" t="s">
        <v>192</v>
      </c>
      <c r="AH913" s="290" t="s">
        <v>192</v>
      </c>
    </row>
    <row r="914" spans="1:34" s="297" customFormat="1" ht="15" customHeight="1" x14ac:dyDescent="0.2">
      <c r="A914" s="289">
        <v>891780111</v>
      </c>
      <c r="B914" s="289" t="s">
        <v>54</v>
      </c>
      <c r="C914" s="290" t="s">
        <v>56</v>
      </c>
      <c r="D914" s="289" t="s">
        <v>60</v>
      </c>
      <c r="E914" s="290" t="s">
        <v>9417</v>
      </c>
      <c r="F914" s="289" t="s">
        <v>61</v>
      </c>
      <c r="G914" s="85" t="s">
        <v>63</v>
      </c>
      <c r="H914" s="85" t="s">
        <v>73</v>
      </c>
      <c r="I914" s="237">
        <v>12600000</v>
      </c>
      <c r="J914" s="290"/>
      <c r="K914" s="291"/>
      <c r="L914" s="291"/>
      <c r="M914" s="292">
        <f t="shared" si="62"/>
        <v>12600000</v>
      </c>
      <c r="N914" s="85">
        <v>12541041</v>
      </c>
      <c r="O914" s="85" t="s">
        <v>7848</v>
      </c>
      <c r="P914" s="85" t="s">
        <v>9390</v>
      </c>
      <c r="Q914" s="309">
        <f t="shared" si="61"/>
        <v>45131</v>
      </c>
      <c r="R914" s="309">
        <f t="shared" si="61"/>
        <v>45131</v>
      </c>
      <c r="S914" s="309">
        <f t="shared" si="65"/>
        <v>45260</v>
      </c>
      <c r="T914" s="293"/>
      <c r="U914" s="293"/>
      <c r="V914" s="293"/>
      <c r="W914" s="294"/>
      <c r="X914" s="237">
        <f>VLOOKUP(N914,[9]Pagos!$C$2:$D$353,2,FALSE)</f>
        <v>1400000</v>
      </c>
      <c r="Y914" s="295">
        <f t="shared" si="63"/>
        <v>11200000</v>
      </c>
      <c r="Z914" s="296">
        <f t="shared" si="64"/>
        <v>0.1111111111111111</v>
      </c>
      <c r="AA914" s="85">
        <v>85468846</v>
      </c>
      <c r="AB914" s="85" t="s">
        <v>7615</v>
      </c>
      <c r="AC914" s="290" t="s">
        <v>196</v>
      </c>
      <c r="AD914" s="290" t="s">
        <v>196</v>
      </c>
      <c r="AE914" s="303"/>
      <c r="AF914" s="310" t="str">
        <f>VLOOKUP(E914,[10]Hoja1!$D$3:$E$327,2,FALSE)</f>
        <v>https://community.secop.gov.co/Public/Tendering/OpportunityDetail/Index?noticeUID=CO1.NTC.4780916&amp;isFromPublicArea=True&amp;isModal=true&amp;asPopupView=true</v>
      </c>
      <c r="AG914" s="290" t="s">
        <v>192</v>
      </c>
      <c r="AH914" s="290" t="s">
        <v>192</v>
      </c>
    </row>
    <row r="915" spans="1:34" s="297" customFormat="1" ht="15" customHeight="1" x14ac:dyDescent="0.2">
      <c r="A915" s="289">
        <v>891780111</v>
      </c>
      <c r="B915" s="289" t="s">
        <v>54</v>
      </c>
      <c r="C915" s="290" t="s">
        <v>56</v>
      </c>
      <c r="D915" s="289" t="s">
        <v>60</v>
      </c>
      <c r="E915" s="290" t="s">
        <v>9418</v>
      </c>
      <c r="F915" s="289" t="s">
        <v>61</v>
      </c>
      <c r="G915" s="85" t="s">
        <v>63</v>
      </c>
      <c r="H915" s="85" t="s">
        <v>73</v>
      </c>
      <c r="I915" s="237">
        <v>12600000</v>
      </c>
      <c r="J915" s="290"/>
      <c r="K915" s="291"/>
      <c r="L915" s="291"/>
      <c r="M915" s="292">
        <f t="shared" si="62"/>
        <v>12600000</v>
      </c>
      <c r="N915" s="85">
        <v>7601673</v>
      </c>
      <c r="O915" s="85" t="s">
        <v>7622</v>
      </c>
      <c r="P915" s="85" t="s">
        <v>9390</v>
      </c>
      <c r="Q915" s="309">
        <f t="shared" si="61"/>
        <v>45131</v>
      </c>
      <c r="R915" s="309">
        <f t="shared" si="61"/>
        <v>45131</v>
      </c>
      <c r="S915" s="309">
        <f t="shared" si="65"/>
        <v>45260</v>
      </c>
      <c r="T915" s="293"/>
      <c r="U915" s="293"/>
      <c r="V915" s="293"/>
      <c r="W915" s="294"/>
      <c r="X915" s="237">
        <f>VLOOKUP(N915,[9]Pagos!$C$2:$D$353,2,FALSE)</f>
        <v>1400000</v>
      </c>
      <c r="Y915" s="295">
        <f t="shared" si="63"/>
        <v>11200000</v>
      </c>
      <c r="Z915" s="296">
        <f t="shared" si="64"/>
        <v>0.1111111111111111</v>
      </c>
      <c r="AA915" s="85">
        <v>85468846</v>
      </c>
      <c r="AB915" s="85" t="s">
        <v>7615</v>
      </c>
      <c r="AC915" s="290" t="s">
        <v>196</v>
      </c>
      <c r="AD915" s="290" t="s">
        <v>196</v>
      </c>
      <c r="AE915" s="303"/>
      <c r="AF915" s="310" t="str">
        <f>VLOOKUP(E915,[10]Hoja1!$D$3:$E$327,2,FALSE)</f>
        <v>https://community.secop.gov.co/Public/Tendering/OpportunityDetail/Index?noticeUID=CO1.NTC.4781582&amp;isFromPublicArea=True&amp;isModal=true&amp;asPopupView=true</v>
      </c>
      <c r="AG915" s="290" t="s">
        <v>192</v>
      </c>
      <c r="AH915" s="290" t="s">
        <v>192</v>
      </c>
    </row>
    <row r="916" spans="1:34" s="297" customFormat="1" ht="15" customHeight="1" x14ac:dyDescent="0.2">
      <c r="A916" s="289">
        <v>891780111</v>
      </c>
      <c r="B916" s="289" t="s">
        <v>54</v>
      </c>
      <c r="C916" s="290" t="s">
        <v>56</v>
      </c>
      <c r="D916" s="289" t="s">
        <v>60</v>
      </c>
      <c r="E916" s="290" t="s">
        <v>9419</v>
      </c>
      <c r="F916" s="289" t="s">
        <v>61</v>
      </c>
      <c r="G916" s="85" t="s">
        <v>63</v>
      </c>
      <c r="H916" s="85" t="s">
        <v>73</v>
      </c>
      <c r="I916" s="237">
        <v>25200000</v>
      </c>
      <c r="J916" s="290"/>
      <c r="K916" s="291"/>
      <c r="L916" s="291"/>
      <c r="M916" s="292">
        <f t="shared" si="62"/>
        <v>25200000</v>
      </c>
      <c r="N916" s="85">
        <v>26670062</v>
      </c>
      <c r="O916" s="85" t="s">
        <v>8639</v>
      </c>
      <c r="P916" s="85" t="s">
        <v>9420</v>
      </c>
      <c r="Q916" s="309">
        <f t="shared" si="61"/>
        <v>45131</v>
      </c>
      <c r="R916" s="309">
        <f t="shared" si="61"/>
        <v>45131</v>
      </c>
      <c r="S916" s="309">
        <f t="shared" si="65"/>
        <v>45260</v>
      </c>
      <c r="T916" s="293"/>
      <c r="U916" s="293"/>
      <c r="V916" s="293"/>
      <c r="W916" s="294"/>
      <c r="X916" s="237">
        <f>VLOOKUP(N916,[9]Pagos!$C$2:$D$353,2,FALSE)</f>
        <v>2800000</v>
      </c>
      <c r="Y916" s="295">
        <f t="shared" si="63"/>
        <v>22400000</v>
      </c>
      <c r="Z916" s="296">
        <f t="shared" si="64"/>
        <v>0.1111111111111111</v>
      </c>
      <c r="AA916" s="85">
        <v>84452087</v>
      </c>
      <c r="AB916" s="85" t="s">
        <v>6601</v>
      </c>
      <c r="AC916" s="290" t="s">
        <v>196</v>
      </c>
      <c r="AD916" s="290" t="s">
        <v>196</v>
      </c>
      <c r="AE916" s="303"/>
      <c r="AF916" s="310" t="str">
        <f>VLOOKUP(E916,[10]Hoja1!$D$3:$E$327,2,FALSE)</f>
        <v>https://community.secop.gov.co/Public/Tendering/OpportunityDetail/Index?noticeUID=CO1.NTC.4781909&amp;isFromPublicArea=True&amp;isModal=true&amp;asPopupView=true</v>
      </c>
      <c r="AG916" s="290" t="s">
        <v>192</v>
      </c>
      <c r="AH916" s="290" t="s">
        <v>192</v>
      </c>
    </row>
    <row r="917" spans="1:34" s="297" customFormat="1" ht="15" customHeight="1" x14ac:dyDescent="0.2">
      <c r="A917" s="289">
        <v>891780111</v>
      </c>
      <c r="B917" s="289" t="s">
        <v>54</v>
      </c>
      <c r="C917" s="290" t="s">
        <v>56</v>
      </c>
      <c r="D917" s="289" t="s">
        <v>60</v>
      </c>
      <c r="E917" s="290" t="s">
        <v>9421</v>
      </c>
      <c r="F917" s="289" t="s">
        <v>61</v>
      </c>
      <c r="G917" s="85" t="s">
        <v>63</v>
      </c>
      <c r="H917" s="85" t="s">
        <v>73</v>
      </c>
      <c r="I917" s="237">
        <v>12320000</v>
      </c>
      <c r="J917" s="290"/>
      <c r="K917" s="291"/>
      <c r="L917" s="291"/>
      <c r="M917" s="292">
        <f t="shared" si="62"/>
        <v>12320000</v>
      </c>
      <c r="N917" s="85">
        <v>1082999140</v>
      </c>
      <c r="O917" s="85" t="s">
        <v>8698</v>
      </c>
      <c r="P917" s="85" t="s">
        <v>9422</v>
      </c>
      <c r="Q917" s="309">
        <f t="shared" si="61"/>
        <v>45131</v>
      </c>
      <c r="R917" s="309">
        <f t="shared" si="61"/>
        <v>45131</v>
      </c>
      <c r="S917" s="309">
        <f t="shared" si="65"/>
        <v>45260</v>
      </c>
      <c r="T917" s="293"/>
      <c r="U917" s="293"/>
      <c r="V917" s="293"/>
      <c r="W917" s="294"/>
      <c r="X917" s="237">
        <f>VLOOKUP(N917,[9]Pagos!$C$2:$D$353,2,FALSE)</f>
        <v>1120000</v>
      </c>
      <c r="Y917" s="295">
        <f t="shared" si="63"/>
        <v>11200000</v>
      </c>
      <c r="Z917" s="296">
        <f t="shared" si="64"/>
        <v>9.0909090909090912E-2</v>
      </c>
      <c r="AA917" s="85">
        <v>15443332</v>
      </c>
      <c r="AB917" s="85" t="s">
        <v>5907</v>
      </c>
      <c r="AC917" s="290" t="s">
        <v>196</v>
      </c>
      <c r="AD917" s="290" t="s">
        <v>196</v>
      </c>
      <c r="AE917" s="303"/>
      <c r="AF917" s="310" t="str">
        <f>VLOOKUP(E917,[10]Hoja1!$D$3:$E$327,2,FALSE)</f>
        <v>https://community.secop.gov.co/Public/Tendering/OpportunityDetail/Index?noticeUID=CO1.NTC.4781865&amp;isFromPublicArea=True&amp;isModal=true&amp;asPopupView=true</v>
      </c>
      <c r="AG917" s="290" t="s">
        <v>192</v>
      </c>
      <c r="AH917" s="290" t="s">
        <v>192</v>
      </c>
    </row>
    <row r="918" spans="1:34" s="297" customFormat="1" ht="15" customHeight="1" x14ac:dyDescent="0.2">
      <c r="A918" s="289">
        <v>891780111</v>
      </c>
      <c r="B918" s="289" t="s">
        <v>54</v>
      </c>
      <c r="C918" s="290" t="s">
        <v>56</v>
      </c>
      <c r="D918" s="289" t="s">
        <v>60</v>
      </c>
      <c r="E918" s="290" t="s">
        <v>9423</v>
      </c>
      <c r="F918" s="289" t="s">
        <v>61</v>
      </c>
      <c r="G918" s="85" t="s">
        <v>63</v>
      </c>
      <c r="H918" s="85" t="s">
        <v>73</v>
      </c>
      <c r="I918" s="237">
        <v>12600000</v>
      </c>
      <c r="J918" s="290"/>
      <c r="K918" s="291"/>
      <c r="L918" s="291"/>
      <c r="M918" s="292">
        <f t="shared" si="62"/>
        <v>12600000</v>
      </c>
      <c r="N918" s="85">
        <v>1082949085</v>
      </c>
      <c r="O918" s="85" t="s">
        <v>8536</v>
      </c>
      <c r="P918" s="85" t="s">
        <v>9424</v>
      </c>
      <c r="Q918" s="309">
        <f t="shared" si="61"/>
        <v>45131</v>
      </c>
      <c r="R918" s="309">
        <f t="shared" si="61"/>
        <v>45131</v>
      </c>
      <c r="S918" s="309">
        <f t="shared" si="65"/>
        <v>45260</v>
      </c>
      <c r="T918" s="293"/>
      <c r="U918" s="293"/>
      <c r="V918" s="293"/>
      <c r="W918" s="294"/>
      <c r="X918" s="237">
        <f>VLOOKUP(N918,[9]Pagos!$C$2:$D$353,2,FALSE)</f>
        <v>1400000</v>
      </c>
      <c r="Y918" s="295">
        <f t="shared" si="63"/>
        <v>11200000</v>
      </c>
      <c r="Z918" s="296">
        <f t="shared" si="64"/>
        <v>0.1111111111111111</v>
      </c>
      <c r="AA918" s="85">
        <v>72175281</v>
      </c>
      <c r="AB918" s="85" t="s">
        <v>6507</v>
      </c>
      <c r="AC918" s="290" t="s">
        <v>196</v>
      </c>
      <c r="AD918" s="290" t="s">
        <v>196</v>
      </c>
      <c r="AE918" s="303"/>
      <c r="AF918" s="310" t="str">
        <f>VLOOKUP(E918,[10]Hoja1!$D$3:$E$327,2,FALSE)</f>
        <v>https://community.secop.gov.co/Public/Tendering/OpportunityDetail/Index?noticeUID=CO1.NTC.4780710&amp;isFromPublicArea=True&amp;isModal=true&amp;asPopupView=true</v>
      </c>
      <c r="AG918" s="290" t="s">
        <v>192</v>
      </c>
      <c r="AH918" s="290" t="s">
        <v>192</v>
      </c>
    </row>
    <row r="919" spans="1:34" s="297" customFormat="1" ht="15" customHeight="1" x14ac:dyDescent="0.2">
      <c r="A919" s="289">
        <v>891780111</v>
      </c>
      <c r="B919" s="289" t="s">
        <v>54</v>
      </c>
      <c r="C919" s="290" t="s">
        <v>56</v>
      </c>
      <c r="D919" s="289" t="s">
        <v>60</v>
      </c>
      <c r="E919" s="290" t="s">
        <v>9425</v>
      </c>
      <c r="F919" s="289" t="s">
        <v>61</v>
      </c>
      <c r="G919" s="85" t="s">
        <v>63</v>
      </c>
      <c r="H919" s="85" t="s">
        <v>73</v>
      </c>
      <c r="I919" s="237">
        <v>12600000</v>
      </c>
      <c r="J919" s="290"/>
      <c r="K919" s="291"/>
      <c r="L919" s="291"/>
      <c r="M919" s="292">
        <f t="shared" si="62"/>
        <v>12600000</v>
      </c>
      <c r="N919" s="85">
        <v>1083039210</v>
      </c>
      <c r="O919" s="85" t="s">
        <v>9426</v>
      </c>
      <c r="P919" s="85" t="s">
        <v>9427</v>
      </c>
      <c r="Q919" s="309">
        <f t="shared" si="61"/>
        <v>45131</v>
      </c>
      <c r="R919" s="309">
        <f t="shared" si="61"/>
        <v>45131</v>
      </c>
      <c r="S919" s="309">
        <f t="shared" si="65"/>
        <v>45260</v>
      </c>
      <c r="T919" s="293"/>
      <c r="U919" s="293"/>
      <c r="V919" s="293"/>
      <c r="W919" s="294"/>
      <c r="X919" s="237">
        <f>VLOOKUP(N919,[9]Pagos!$C$2:$D$353,2,FALSE)</f>
        <v>1400000</v>
      </c>
      <c r="Y919" s="295">
        <f t="shared" si="63"/>
        <v>11200000</v>
      </c>
      <c r="Z919" s="296">
        <f t="shared" si="64"/>
        <v>0.1111111111111111</v>
      </c>
      <c r="AA919" s="85">
        <v>72175281</v>
      </c>
      <c r="AB919" s="85" t="s">
        <v>6507</v>
      </c>
      <c r="AC919" s="290" t="s">
        <v>196</v>
      </c>
      <c r="AD919" s="290" t="s">
        <v>196</v>
      </c>
      <c r="AE919" s="303"/>
      <c r="AF919" s="310" t="str">
        <f>VLOOKUP(E919,[10]Hoja1!$D$3:$E$327,2,FALSE)</f>
        <v>https://community.secop.gov.co/Public/Tendering/OpportunityDetail/Index?noticeUID=CO1.NTC.4781319&amp;isFromPublicArea=True&amp;isModal=true&amp;asPopupView=true</v>
      </c>
      <c r="AG919" s="290" t="s">
        <v>192</v>
      </c>
      <c r="AH919" s="290" t="s">
        <v>192</v>
      </c>
    </row>
    <row r="920" spans="1:34" s="297" customFormat="1" ht="15" customHeight="1" x14ac:dyDescent="0.2">
      <c r="A920" s="289">
        <v>891780111</v>
      </c>
      <c r="B920" s="289" t="s">
        <v>54</v>
      </c>
      <c r="C920" s="290" t="s">
        <v>56</v>
      </c>
      <c r="D920" s="289" t="s">
        <v>60</v>
      </c>
      <c r="E920" s="290" t="s">
        <v>9428</v>
      </c>
      <c r="F920" s="289" t="s">
        <v>61</v>
      </c>
      <c r="G920" s="85" t="s">
        <v>63</v>
      </c>
      <c r="H920" s="85" t="s">
        <v>73</v>
      </c>
      <c r="I920" s="237">
        <v>12600000</v>
      </c>
      <c r="J920" s="290"/>
      <c r="K920" s="291"/>
      <c r="L920" s="291"/>
      <c r="M920" s="292">
        <f t="shared" si="62"/>
        <v>12600000</v>
      </c>
      <c r="N920" s="85">
        <v>1095701829</v>
      </c>
      <c r="O920" s="85" t="s">
        <v>8287</v>
      </c>
      <c r="P920" s="85" t="s">
        <v>9429</v>
      </c>
      <c r="Q920" s="309">
        <f t="shared" si="61"/>
        <v>45131</v>
      </c>
      <c r="R920" s="309">
        <f t="shared" si="61"/>
        <v>45131</v>
      </c>
      <c r="S920" s="309">
        <f t="shared" si="65"/>
        <v>45260</v>
      </c>
      <c r="T920" s="293"/>
      <c r="U920" s="293"/>
      <c r="V920" s="293"/>
      <c r="W920" s="294"/>
      <c r="X920" s="237">
        <f>VLOOKUP(N920,[9]Pagos!$C$2:$D$353,2,FALSE)</f>
        <v>1400000</v>
      </c>
      <c r="Y920" s="295">
        <f t="shared" si="63"/>
        <v>11200000</v>
      </c>
      <c r="Z920" s="296">
        <f t="shared" si="64"/>
        <v>0.1111111111111111</v>
      </c>
      <c r="AA920" s="85">
        <v>36557666</v>
      </c>
      <c r="AB920" s="85" t="s">
        <v>6916</v>
      </c>
      <c r="AC920" s="290" t="s">
        <v>196</v>
      </c>
      <c r="AD920" s="290" t="s">
        <v>196</v>
      </c>
      <c r="AE920" s="303"/>
      <c r="AF920" s="310" t="str">
        <f>VLOOKUP(E920,[10]Hoja1!$D$3:$E$327,2,FALSE)</f>
        <v>https://community.secop.gov.co/Public/Tendering/OpportunityDetail/Index?noticeUID=CO1.NTC.4781619&amp;isFromPublicArea=True&amp;isModal=true&amp;asPopupView=true</v>
      </c>
      <c r="AG920" s="290" t="s">
        <v>192</v>
      </c>
      <c r="AH920" s="290" t="s">
        <v>192</v>
      </c>
    </row>
    <row r="921" spans="1:34" s="297" customFormat="1" ht="15" customHeight="1" x14ac:dyDescent="0.2">
      <c r="A921" s="289">
        <v>891780111</v>
      </c>
      <c r="B921" s="289" t="s">
        <v>54</v>
      </c>
      <c r="C921" s="290" t="s">
        <v>56</v>
      </c>
      <c r="D921" s="289" t="s">
        <v>60</v>
      </c>
      <c r="E921" s="290" t="s">
        <v>9430</v>
      </c>
      <c r="F921" s="289" t="s">
        <v>61</v>
      </c>
      <c r="G921" s="85" t="s">
        <v>63</v>
      </c>
      <c r="H921" s="85" t="s">
        <v>73</v>
      </c>
      <c r="I921" s="237">
        <v>11250000</v>
      </c>
      <c r="J921" s="290"/>
      <c r="K921" s="291"/>
      <c r="L921" s="291"/>
      <c r="M921" s="292">
        <f t="shared" si="62"/>
        <v>11250000</v>
      </c>
      <c r="N921" s="85">
        <v>85462989</v>
      </c>
      <c r="O921" s="85" t="s">
        <v>6656</v>
      </c>
      <c r="P921" s="85" t="s">
        <v>9431</v>
      </c>
      <c r="Q921" s="309">
        <f t="shared" si="61"/>
        <v>45131</v>
      </c>
      <c r="R921" s="309">
        <f t="shared" si="61"/>
        <v>45131</v>
      </c>
      <c r="S921" s="309">
        <f t="shared" si="65"/>
        <v>45260</v>
      </c>
      <c r="T921" s="293"/>
      <c r="U921" s="293"/>
      <c r="V921" s="293"/>
      <c r="W921" s="294"/>
      <c r="X921" s="237">
        <f>VLOOKUP(N921,[9]Pagos!$C$2:$D$353,2,FALSE)</f>
        <v>1250000</v>
      </c>
      <c r="Y921" s="295">
        <f t="shared" si="63"/>
        <v>10000000</v>
      </c>
      <c r="Z921" s="296">
        <f t="shared" si="64"/>
        <v>0.1111111111111111</v>
      </c>
      <c r="AA921" s="85">
        <v>36665858</v>
      </c>
      <c r="AB921" s="85" t="s">
        <v>9432</v>
      </c>
      <c r="AC921" s="290" t="s">
        <v>196</v>
      </c>
      <c r="AD921" s="290" t="s">
        <v>196</v>
      </c>
      <c r="AE921" s="303"/>
      <c r="AF921" s="310" t="str">
        <f>VLOOKUP(E921,[10]Hoja1!$D$3:$E$327,2,FALSE)</f>
        <v>https://community.secop.gov.co/Public/Tendering/OpportunityDetail/Index?noticeUID=CO1.NTC.4781657&amp;isFromPublicArea=True&amp;isModal=true&amp;asPopupView=true</v>
      </c>
      <c r="AG921" s="290" t="s">
        <v>192</v>
      </c>
      <c r="AH921" s="290" t="s">
        <v>192</v>
      </c>
    </row>
    <row r="922" spans="1:34" s="297" customFormat="1" ht="15" customHeight="1" x14ac:dyDescent="0.2">
      <c r="A922" s="289">
        <v>891780111</v>
      </c>
      <c r="B922" s="289" t="s">
        <v>54</v>
      </c>
      <c r="C922" s="290" t="s">
        <v>56</v>
      </c>
      <c r="D922" s="289" t="s">
        <v>60</v>
      </c>
      <c r="E922" s="290" t="s">
        <v>9433</v>
      </c>
      <c r="F922" s="289" t="s">
        <v>61</v>
      </c>
      <c r="G922" s="85" t="s">
        <v>63</v>
      </c>
      <c r="H922" s="85" t="s">
        <v>73</v>
      </c>
      <c r="I922" s="237">
        <v>24750000</v>
      </c>
      <c r="J922" s="290"/>
      <c r="K922" s="291"/>
      <c r="L922" s="291"/>
      <c r="M922" s="292">
        <f t="shared" si="62"/>
        <v>24750000</v>
      </c>
      <c r="N922" s="85">
        <v>1018413783</v>
      </c>
      <c r="O922" s="85" t="s">
        <v>6519</v>
      </c>
      <c r="P922" s="85" t="s">
        <v>9434</v>
      </c>
      <c r="Q922" s="309">
        <f t="shared" si="61"/>
        <v>45131</v>
      </c>
      <c r="R922" s="309">
        <f t="shared" si="61"/>
        <v>45131</v>
      </c>
      <c r="S922" s="309">
        <f t="shared" si="65"/>
        <v>45260</v>
      </c>
      <c r="T922" s="293"/>
      <c r="U922" s="293"/>
      <c r="V922" s="293"/>
      <c r="W922" s="294"/>
      <c r="X922" s="237">
        <f>VLOOKUP(N922,[9]Pagos!$C$2:$D$353,2,FALSE)</f>
        <v>2750000</v>
      </c>
      <c r="Y922" s="295">
        <f t="shared" si="63"/>
        <v>22000000</v>
      </c>
      <c r="Z922" s="296">
        <f t="shared" si="64"/>
        <v>0.1111111111111111</v>
      </c>
      <c r="AA922" s="85">
        <v>57461216</v>
      </c>
      <c r="AB922" s="85" t="s">
        <v>6512</v>
      </c>
      <c r="AC922" s="290" t="s">
        <v>196</v>
      </c>
      <c r="AD922" s="290" t="s">
        <v>196</v>
      </c>
      <c r="AE922" s="303"/>
      <c r="AF922" s="310" t="str">
        <f>VLOOKUP(E922,[10]Hoja1!$D$3:$E$327,2,FALSE)</f>
        <v>https://community.secop.gov.co/Public/Tendering/OpportunityDetail/Index?noticeUID=CO1.NTC.4782105&amp;isFromPublicArea=True&amp;isModal=true&amp;asPopupView=true</v>
      </c>
      <c r="AG922" s="290" t="s">
        <v>192</v>
      </c>
      <c r="AH922" s="290" t="s">
        <v>192</v>
      </c>
    </row>
    <row r="923" spans="1:34" s="297" customFormat="1" ht="15" customHeight="1" x14ac:dyDescent="0.2">
      <c r="A923" s="289">
        <v>891780111</v>
      </c>
      <c r="B923" s="289" t="s">
        <v>54</v>
      </c>
      <c r="C923" s="290" t="s">
        <v>56</v>
      </c>
      <c r="D923" s="289" t="s">
        <v>60</v>
      </c>
      <c r="E923" s="290" t="s">
        <v>9435</v>
      </c>
      <c r="F923" s="289" t="s">
        <v>61</v>
      </c>
      <c r="G923" s="85" t="s">
        <v>63</v>
      </c>
      <c r="H923" s="85" t="s">
        <v>73</v>
      </c>
      <c r="I923" s="237">
        <v>12600000</v>
      </c>
      <c r="J923" s="290"/>
      <c r="K923" s="291"/>
      <c r="L923" s="291"/>
      <c r="M923" s="292">
        <f t="shared" si="62"/>
        <v>12600000</v>
      </c>
      <c r="N923" s="85">
        <v>1082961721</v>
      </c>
      <c r="O923" s="85" t="s">
        <v>8322</v>
      </c>
      <c r="P923" s="85" t="s">
        <v>9436</v>
      </c>
      <c r="Q923" s="309">
        <f t="shared" si="61"/>
        <v>45131</v>
      </c>
      <c r="R923" s="309">
        <f t="shared" si="61"/>
        <v>45131</v>
      </c>
      <c r="S923" s="309">
        <f t="shared" si="65"/>
        <v>45260</v>
      </c>
      <c r="T923" s="293"/>
      <c r="U923" s="293"/>
      <c r="V923" s="293"/>
      <c r="W923" s="294"/>
      <c r="X923" s="237">
        <f>VLOOKUP(N923,[9]Pagos!$C$2:$D$353,2,FALSE)</f>
        <v>1400000</v>
      </c>
      <c r="Y923" s="295">
        <f t="shared" si="63"/>
        <v>11200000</v>
      </c>
      <c r="Z923" s="296">
        <f t="shared" si="64"/>
        <v>0.1111111111111111</v>
      </c>
      <c r="AA923" s="85">
        <v>36557666</v>
      </c>
      <c r="AB923" s="85" t="s">
        <v>6916</v>
      </c>
      <c r="AC923" s="290" t="s">
        <v>196</v>
      </c>
      <c r="AD923" s="290" t="s">
        <v>196</v>
      </c>
      <c r="AE923" s="303"/>
      <c r="AF923" s="310" t="str">
        <f>VLOOKUP(E923,[10]Hoja1!$D$3:$E$327,2,FALSE)</f>
        <v>https://community.secop.gov.co/Public/Tendering/OpportunityDetail/Index?noticeUID=CO1.NTC.4782232&amp;isFromPublicArea=True&amp;isModal=true&amp;asPopupView=true</v>
      </c>
      <c r="AG923" s="290" t="s">
        <v>192</v>
      </c>
      <c r="AH923" s="290" t="s">
        <v>192</v>
      </c>
    </row>
    <row r="924" spans="1:34" s="297" customFormat="1" ht="15" customHeight="1" x14ac:dyDescent="0.2">
      <c r="A924" s="289">
        <v>891780111</v>
      </c>
      <c r="B924" s="289" t="s">
        <v>54</v>
      </c>
      <c r="C924" s="290" t="s">
        <v>56</v>
      </c>
      <c r="D924" s="289" t="s">
        <v>60</v>
      </c>
      <c r="E924" s="290" t="s">
        <v>9437</v>
      </c>
      <c r="F924" s="289" t="s">
        <v>61</v>
      </c>
      <c r="G924" s="85" t="s">
        <v>63</v>
      </c>
      <c r="H924" s="85" t="s">
        <v>73</v>
      </c>
      <c r="I924" s="237">
        <v>9314000</v>
      </c>
      <c r="J924" s="290"/>
      <c r="K924" s="291"/>
      <c r="L924" s="291"/>
      <c r="M924" s="292">
        <f t="shared" si="62"/>
        <v>9314000</v>
      </c>
      <c r="N924" s="85">
        <v>1082842812</v>
      </c>
      <c r="O924" s="85" t="s">
        <v>8220</v>
      </c>
      <c r="P924" s="85" t="s">
        <v>9438</v>
      </c>
      <c r="Q924" s="309">
        <f t="shared" si="61"/>
        <v>45131</v>
      </c>
      <c r="R924" s="309">
        <f t="shared" si="61"/>
        <v>45131</v>
      </c>
      <c r="S924" s="309">
        <f t="shared" si="65"/>
        <v>45260</v>
      </c>
      <c r="T924" s="293"/>
      <c r="U924" s="293"/>
      <c r="V924" s="293"/>
      <c r="W924" s="294"/>
      <c r="X924" s="237">
        <f>VLOOKUP(N924,[9]Pagos!$C$2:$D$353,2,FALSE)</f>
        <v>514000</v>
      </c>
      <c r="Y924" s="295">
        <f t="shared" si="63"/>
        <v>8800000</v>
      </c>
      <c r="Z924" s="296">
        <f t="shared" si="64"/>
        <v>5.5185741893923126E-2</v>
      </c>
      <c r="AA924" s="85">
        <v>1082868728</v>
      </c>
      <c r="AB924" s="85" t="s">
        <v>6010</v>
      </c>
      <c r="AC924" s="290" t="s">
        <v>196</v>
      </c>
      <c r="AD924" s="290" t="s">
        <v>196</v>
      </c>
      <c r="AE924" s="303"/>
      <c r="AF924" s="310" t="str">
        <f>VLOOKUP(E924,[10]Hoja1!$D$3:$E$327,2,FALSE)</f>
        <v>https://community.secop.gov.co/Public/Tendering/OpportunityDetail/Index?noticeUID=CO1.NTC.4783020&amp;isFromPublicArea=True&amp;isModal=true&amp;asPopupView=true</v>
      </c>
      <c r="AG924" s="290" t="s">
        <v>192</v>
      </c>
      <c r="AH924" s="290" t="s">
        <v>192</v>
      </c>
    </row>
    <row r="925" spans="1:34" s="297" customFormat="1" ht="15" customHeight="1" x14ac:dyDescent="0.2">
      <c r="A925" s="289">
        <v>891780111</v>
      </c>
      <c r="B925" s="289" t="s">
        <v>54</v>
      </c>
      <c r="C925" s="290" t="s">
        <v>56</v>
      </c>
      <c r="D925" s="289" t="s">
        <v>60</v>
      </c>
      <c r="E925" s="290" t="s">
        <v>9439</v>
      </c>
      <c r="F925" s="289" t="s">
        <v>61</v>
      </c>
      <c r="G925" s="85" t="s">
        <v>63</v>
      </c>
      <c r="H925" s="85" t="s">
        <v>73</v>
      </c>
      <c r="I925" s="237">
        <v>9900000</v>
      </c>
      <c r="J925" s="290"/>
      <c r="K925" s="291"/>
      <c r="L925" s="291"/>
      <c r="M925" s="292">
        <f t="shared" si="62"/>
        <v>9900000</v>
      </c>
      <c r="N925" s="85">
        <v>1083005105</v>
      </c>
      <c r="O925" s="85" t="s">
        <v>7826</v>
      </c>
      <c r="P925" s="85" t="s">
        <v>9440</v>
      </c>
      <c r="Q925" s="309">
        <f t="shared" si="61"/>
        <v>45131</v>
      </c>
      <c r="R925" s="309">
        <f t="shared" si="61"/>
        <v>45131</v>
      </c>
      <c r="S925" s="309">
        <f t="shared" si="65"/>
        <v>45260</v>
      </c>
      <c r="T925" s="293"/>
      <c r="U925" s="293"/>
      <c r="V925" s="293"/>
      <c r="W925" s="294"/>
      <c r="X925" s="237"/>
      <c r="Y925" s="295">
        <f t="shared" si="63"/>
        <v>9900000</v>
      </c>
      <c r="Z925" s="296">
        <f t="shared" si="64"/>
        <v>0</v>
      </c>
      <c r="AA925" s="85">
        <v>36557666</v>
      </c>
      <c r="AB925" s="85" t="s">
        <v>6916</v>
      </c>
      <c r="AC925" s="290" t="s">
        <v>196</v>
      </c>
      <c r="AD925" s="290" t="s">
        <v>196</v>
      </c>
      <c r="AE925" s="303"/>
      <c r="AF925" s="310" t="str">
        <f>VLOOKUP(E925,[10]Hoja1!$D$3:$E$327,2,FALSE)</f>
        <v>https://community.secop.gov.co/Public/Tendering/OpportunityDetail/Index?noticeUID=CO1.NTC.4783209&amp;isFromPublicArea=True&amp;isModal=true&amp;asPopupView=true</v>
      </c>
      <c r="AG925" s="290" t="s">
        <v>192</v>
      </c>
      <c r="AH925" s="290" t="s">
        <v>192</v>
      </c>
    </row>
    <row r="926" spans="1:34" s="297" customFormat="1" ht="15" customHeight="1" x14ac:dyDescent="0.2">
      <c r="A926" s="289">
        <v>891780111</v>
      </c>
      <c r="B926" s="289" t="s">
        <v>54</v>
      </c>
      <c r="C926" s="290" t="s">
        <v>56</v>
      </c>
      <c r="D926" s="289" t="s">
        <v>60</v>
      </c>
      <c r="E926" s="290" t="s">
        <v>9441</v>
      </c>
      <c r="F926" s="289" t="s">
        <v>61</v>
      </c>
      <c r="G926" s="85" t="s">
        <v>63</v>
      </c>
      <c r="H926" s="85" t="s">
        <v>73</v>
      </c>
      <c r="I926" s="237">
        <v>9314000</v>
      </c>
      <c r="J926" s="290"/>
      <c r="K926" s="291"/>
      <c r="L926" s="291"/>
      <c r="M926" s="292">
        <f t="shared" si="62"/>
        <v>9314000</v>
      </c>
      <c r="N926" s="85">
        <v>1083016337</v>
      </c>
      <c r="O926" s="85" t="s">
        <v>8181</v>
      </c>
      <c r="P926" s="85" t="s">
        <v>9442</v>
      </c>
      <c r="Q926" s="309">
        <f t="shared" si="61"/>
        <v>45131</v>
      </c>
      <c r="R926" s="309">
        <f t="shared" si="61"/>
        <v>45131</v>
      </c>
      <c r="S926" s="309">
        <f t="shared" si="65"/>
        <v>45260</v>
      </c>
      <c r="T926" s="293"/>
      <c r="U926" s="293"/>
      <c r="V926" s="293"/>
      <c r="W926" s="294"/>
      <c r="X926" s="237"/>
      <c r="Y926" s="295">
        <f t="shared" si="63"/>
        <v>9314000</v>
      </c>
      <c r="Z926" s="296">
        <f t="shared" si="64"/>
        <v>0</v>
      </c>
      <c r="AA926" s="85">
        <v>1082868728</v>
      </c>
      <c r="AB926" s="85" t="s">
        <v>6010</v>
      </c>
      <c r="AC926" s="290" t="s">
        <v>196</v>
      </c>
      <c r="AD926" s="290" t="s">
        <v>196</v>
      </c>
      <c r="AE926" s="303"/>
      <c r="AF926" s="310" t="str">
        <f>VLOOKUP(E926,[10]Hoja1!$D$3:$E$327,2,FALSE)</f>
        <v>https://community.secop.gov.co/Public/Tendering/OpportunityDetail/Index?noticeUID=CO1.NTC.4783023&amp;isFromPublicArea=True&amp;isModal=true&amp;asPopupView=true</v>
      </c>
      <c r="AG926" s="290" t="s">
        <v>192</v>
      </c>
      <c r="AH926" s="290" t="s">
        <v>192</v>
      </c>
    </row>
    <row r="927" spans="1:34" s="297" customFormat="1" ht="15" customHeight="1" x14ac:dyDescent="0.2">
      <c r="A927" s="289">
        <v>891780111</v>
      </c>
      <c r="B927" s="289" t="s">
        <v>54</v>
      </c>
      <c r="C927" s="290" t="s">
        <v>56</v>
      </c>
      <c r="D927" s="289" t="s">
        <v>60</v>
      </c>
      <c r="E927" s="290" t="s">
        <v>9443</v>
      </c>
      <c r="F927" s="289" t="s">
        <v>61</v>
      </c>
      <c r="G927" s="85" t="s">
        <v>63</v>
      </c>
      <c r="H927" s="85" t="s">
        <v>73</v>
      </c>
      <c r="I927" s="237">
        <v>9314000</v>
      </c>
      <c r="J927" s="290"/>
      <c r="K927" s="291"/>
      <c r="L927" s="291"/>
      <c r="M927" s="292">
        <f t="shared" si="62"/>
        <v>9314000</v>
      </c>
      <c r="N927" s="85">
        <v>84459987</v>
      </c>
      <c r="O927" s="85" t="s">
        <v>8177</v>
      </c>
      <c r="P927" s="85" t="s">
        <v>9444</v>
      </c>
      <c r="Q927" s="309">
        <f t="shared" si="61"/>
        <v>45131</v>
      </c>
      <c r="R927" s="309">
        <f t="shared" si="61"/>
        <v>45131</v>
      </c>
      <c r="S927" s="309">
        <f t="shared" si="65"/>
        <v>45260</v>
      </c>
      <c r="T927" s="293"/>
      <c r="U927" s="293"/>
      <c r="V927" s="293"/>
      <c r="W927" s="294"/>
      <c r="X927" s="237"/>
      <c r="Y927" s="295">
        <f t="shared" si="63"/>
        <v>9314000</v>
      </c>
      <c r="Z927" s="296">
        <f t="shared" si="64"/>
        <v>0</v>
      </c>
      <c r="AA927" s="85">
        <v>1082868728</v>
      </c>
      <c r="AB927" s="85" t="s">
        <v>6010</v>
      </c>
      <c r="AC927" s="290" t="s">
        <v>196</v>
      </c>
      <c r="AD927" s="290" t="s">
        <v>196</v>
      </c>
      <c r="AE927" s="303"/>
      <c r="AF927" s="310" t="str">
        <f>VLOOKUP(E927,[10]Hoja1!$D$3:$E$327,2,FALSE)</f>
        <v>https://community.secop.gov.co/Public/Tendering/OpportunityDetail/Index?noticeUID=CO1.NTC.4782653&amp;isFromPublicArea=True&amp;isModal=true&amp;asPopupView=true</v>
      </c>
      <c r="AG927" s="290" t="s">
        <v>192</v>
      </c>
      <c r="AH927" s="290" t="s">
        <v>192</v>
      </c>
    </row>
    <row r="928" spans="1:34" s="297" customFormat="1" ht="15" customHeight="1" x14ac:dyDescent="0.2">
      <c r="A928" s="289">
        <v>891780111</v>
      </c>
      <c r="B928" s="289" t="s">
        <v>54</v>
      </c>
      <c r="C928" s="290" t="s">
        <v>56</v>
      </c>
      <c r="D928" s="289" t="s">
        <v>60</v>
      </c>
      <c r="E928" s="290" t="s">
        <v>9445</v>
      </c>
      <c r="F928" s="289" t="s">
        <v>61</v>
      </c>
      <c r="G928" s="85" t="s">
        <v>63</v>
      </c>
      <c r="H928" s="85" t="s">
        <v>73</v>
      </c>
      <c r="I928" s="237">
        <v>13950000</v>
      </c>
      <c r="J928" s="290"/>
      <c r="K928" s="291"/>
      <c r="L928" s="291"/>
      <c r="M928" s="292">
        <f t="shared" si="62"/>
        <v>13950000</v>
      </c>
      <c r="N928" s="85">
        <v>1216966715</v>
      </c>
      <c r="O928" s="85" t="s">
        <v>7247</v>
      </c>
      <c r="P928" s="85" t="s">
        <v>9446</v>
      </c>
      <c r="Q928" s="309">
        <f t="shared" si="61"/>
        <v>45131</v>
      </c>
      <c r="R928" s="309">
        <f t="shared" si="61"/>
        <v>45131</v>
      </c>
      <c r="S928" s="309">
        <f t="shared" si="65"/>
        <v>45260</v>
      </c>
      <c r="T928" s="293"/>
      <c r="U928" s="293"/>
      <c r="V928" s="293"/>
      <c r="W928" s="294"/>
      <c r="X928" s="237">
        <f>VLOOKUP(N928,[9]Pagos!$C$2:$D$353,2,FALSE)</f>
        <v>1550000</v>
      </c>
      <c r="Y928" s="295">
        <f t="shared" si="63"/>
        <v>12400000</v>
      </c>
      <c r="Z928" s="296">
        <f t="shared" si="64"/>
        <v>0.1111111111111111</v>
      </c>
      <c r="AA928" s="85">
        <v>1082889541</v>
      </c>
      <c r="AB928" s="85" t="s">
        <v>5388</v>
      </c>
      <c r="AC928" s="290" t="s">
        <v>196</v>
      </c>
      <c r="AD928" s="290" t="s">
        <v>196</v>
      </c>
      <c r="AE928" s="303"/>
      <c r="AF928" s="310" t="str">
        <f>VLOOKUP(E928,[10]Hoja1!$D$3:$E$327,2,FALSE)</f>
        <v>https://community.secop.gov.co/Public/Tendering/OpportunityDetail/Index?noticeUID=CO1.NTC.4783028&amp;isFromPublicArea=True&amp;isModal=true&amp;asPopupView=true</v>
      </c>
      <c r="AG928" s="290" t="s">
        <v>192</v>
      </c>
      <c r="AH928" s="290" t="s">
        <v>192</v>
      </c>
    </row>
    <row r="929" spans="1:34" s="297" customFormat="1" ht="15" customHeight="1" x14ac:dyDescent="0.2">
      <c r="A929" s="289">
        <v>891780111</v>
      </c>
      <c r="B929" s="289" t="s">
        <v>54</v>
      </c>
      <c r="C929" s="290" t="s">
        <v>56</v>
      </c>
      <c r="D929" s="289" t="s">
        <v>60</v>
      </c>
      <c r="E929" s="290" t="s">
        <v>9447</v>
      </c>
      <c r="F929" s="289" t="s">
        <v>61</v>
      </c>
      <c r="G929" s="85" t="s">
        <v>63</v>
      </c>
      <c r="H929" s="85" t="s">
        <v>73</v>
      </c>
      <c r="I929" s="237">
        <v>15300000</v>
      </c>
      <c r="J929" s="290"/>
      <c r="K929" s="291"/>
      <c r="L929" s="291"/>
      <c r="M929" s="292">
        <f t="shared" si="62"/>
        <v>15300000</v>
      </c>
      <c r="N929" s="85">
        <v>1082951480</v>
      </c>
      <c r="O929" s="85" t="s">
        <v>7405</v>
      </c>
      <c r="P929" s="85" t="s">
        <v>9448</v>
      </c>
      <c r="Q929" s="309">
        <f t="shared" si="61"/>
        <v>45131</v>
      </c>
      <c r="R929" s="309">
        <f t="shared" si="61"/>
        <v>45131</v>
      </c>
      <c r="S929" s="309">
        <f t="shared" si="65"/>
        <v>45260</v>
      </c>
      <c r="T929" s="293"/>
      <c r="U929" s="293"/>
      <c r="V929" s="293"/>
      <c r="W929" s="294"/>
      <c r="X929" s="237">
        <f>VLOOKUP(N929,[9]Pagos!$C$2:$D$353,2,FALSE)</f>
        <v>1700000</v>
      </c>
      <c r="Y929" s="295">
        <f t="shared" si="63"/>
        <v>13600000</v>
      </c>
      <c r="Z929" s="296">
        <f t="shared" si="64"/>
        <v>0.1111111111111111</v>
      </c>
      <c r="AA929" s="85"/>
      <c r="AB929" s="85" t="s">
        <v>9449</v>
      </c>
      <c r="AC929" s="290" t="s">
        <v>196</v>
      </c>
      <c r="AD929" s="290" t="s">
        <v>196</v>
      </c>
      <c r="AE929" s="303"/>
      <c r="AF929" s="310" t="str">
        <f>VLOOKUP(E929,[10]Hoja1!$D$3:$E$327,2,FALSE)</f>
        <v>https://community.secop.gov.co/Public/Tendering/OpportunityDetail/Index?noticeUID=CO1.NTC.4783035&amp;isFromPublicArea=True&amp;isModal=true&amp;asPopupView=true</v>
      </c>
      <c r="AG929" s="290" t="s">
        <v>192</v>
      </c>
      <c r="AH929" s="290" t="s">
        <v>192</v>
      </c>
    </row>
    <row r="930" spans="1:34" s="297" customFormat="1" ht="15" customHeight="1" x14ac:dyDescent="0.2">
      <c r="A930" s="289">
        <v>891780111</v>
      </c>
      <c r="B930" s="289" t="s">
        <v>54</v>
      </c>
      <c r="C930" s="290" t="s">
        <v>56</v>
      </c>
      <c r="D930" s="289" t="s">
        <v>60</v>
      </c>
      <c r="E930" s="290" t="s">
        <v>9450</v>
      </c>
      <c r="F930" s="289" t="s">
        <v>61</v>
      </c>
      <c r="G930" s="85" t="s">
        <v>63</v>
      </c>
      <c r="H930" s="85" t="s">
        <v>73</v>
      </c>
      <c r="I930" s="237">
        <v>13640000</v>
      </c>
      <c r="J930" s="290"/>
      <c r="K930" s="291"/>
      <c r="L930" s="291"/>
      <c r="M930" s="292">
        <f t="shared" si="62"/>
        <v>13640000</v>
      </c>
      <c r="N930" s="85">
        <v>1004278346</v>
      </c>
      <c r="O930" s="85" t="s">
        <v>7141</v>
      </c>
      <c r="P930" s="85" t="s">
        <v>9451</v>
      </c>
      <c r="Q930" s="309">
        <f t="shared" si="61"/>
        <v>45131</v>
      </c>
      <c r="R930" s="309">
        <f t="shared" si="61"/>
        <v>45131</v>
      </c>
      <c r="S930" s="309">
        <f t="shared" si="65"/>
        <v>45260</v>
      </c>
      <c r="T930" s="293"/>
      <c r="U930" s="293"/>
      <c r="V930" s="293"/>
      <c r="W930" s="294"/>
      <c r="X930" s="237">
        <f>VLOOKUP(N930,[9]Pagos!$C$2:$D$353,2,FALSE)</f>
        <v>1240000</v>
      </c>
      <c r="Y930" s="295">
        <f t="shared" si="63"/>
        <v>12400000</v>
      </c>
      <c r="Z930" s="296">
        <f t="shared" si="64"/>
        <v>9.0909090909090912E-2</v>
      </c>
      <c r="AA930" s="85">
        <v>1082868728</v>
      </c>
      <c r="AB930" s="85" t="s">
        <v>6010</v>
      </c>
      <c r="AC930" s="290" t="s">
        <v>196</v>
      </c>
      <c r="AD930" s="290" t="s">
        <v>196</v>
      </c>
      <c r="AE930" s="303"/>
      <c r="AF930" s="310" t="str">
        <f>VLOOKUP(E930,[10]Hoja1!$D$3:$E$327,2,FALSE)</f>
        <v>https://community.secop.gov.co/Public/Tendering/OpportunityDetail/Index?noticeUID=CO1.NTC.4783037&amp;isFromPublicArea=True&amp;isModal=true&amp;asPopupView=true</v>
      </c>
      <c r="AG930" s="290" t="s">
        <v>192</v>
      </c>
      <c r="AH930" s="290" t="s">
        <v>192</v>
      </c>
    </row>
    <row r="931" spans="1:34" s="297" customFormat="1" ht="15" customHeight="1" x14ac:dyDescent="0.2">
      <c r="A931" s="289">
        <v>891780111</v>
      </c>
      <c r="B931" s="289" t="s">
        <v>54</v>
      </c>
      <c r="C931" s="290" t="s">
        <v>56</v>
      </c>
      <c r="D931" s="289" t="s">
        <v>60</v>
      </c>
      <c r="E931" s="290" t="s">
        <v>9452</v>
      </c>
      <c r="F931" s="289" t="s">
        <v>61</v>
      </c>
      <c r="G931" s="85" t="s">
        <v>63</v>
      </c>
      <c r="H931" s="85" t="s">
        <v>73</v>
      </c>
      <c r="I931" s="237">
        <v>11250000</v>
      </c>
      <c r="J931" s="290"/>
      <c r="K931" s="291"/>
      <c r="L931" s="291"/>
      <c r="M931" s="292">
        <f t="shared" si="62"/>
        <v>11250000</v>
      </c>
      <c r="N931" s="85">
        <v>57462117</v>
      </c>
      <c r="O931" s="85" t="s">
        <v>7050</v>
      </c>
      <c r="P931" s="85" t="s">
        <v>9453</v>
      </c>
      <c r="Q931" s="309">
        <f t="shared" si="61"/>
        <v>45131</v>
      </c>
      <c r="R931" s="309">
        <f t="shared" si="61"/>
        <v>45131</v>
      </c>
      <c r="S931" s="309">
        <f t="shared" si="65"/>
        <v>45260</v>
      </c>
      <c r="T931" s="293"/>
      <c r="U931" s="293"/>
      <c r="V931" s="293"/>
      <c r="W931" s="294"/>
      <c r="X931" s="237">
        <f>VLOOKUP(N931,[9]Pagos!$C$2:$D$353,2,FALSE)</f>
        <v>1250000</v>
      </c>
      <c r="Y931" s="295">
        <f t="shared" si="63"/>
        <v>10000000</v>
      </c>
      <c r="Z931" s="296">
        <f t="shared" si="64"/>
        <v>0.1111111111111111</v>
      </c>
      <c r="AA931" s="85">
        <v>26668285</v>
      </c>
      <c r="AB931" s="85" t="s">
        <v>5038</v>
      </c>
      <c r="AC931" s="290" t="s">
        <v>196</v>
      </c>
      <c r="AD931" s="290" t="s">
        <v>196</v>
      </c>
      <c r="AE931" s="303"/>
      <c r="AF931" s="310" t="str">
        <f>VLOOKUP(E931,[10]Hoja1!$D$3:$E$327,2,FALSE)</f>
        <v>https://community.secop.gov.co/Public/Tendering/OpportunityDetail/Index?noticeUID=CO1.NTC.4783222&amp;isFromPublicArea=True&amp;isModal=true&amp;asPopupView=true</v>
      </c>
      <c r="AG931" s="290" t="s">
        <v>192</v>
      </c>
      <c r="AH931" s="290" t="s">
        <v>192</v>
      </c>
    </row>
    <row r="932" spans="1:34" s="297" customFormat="1" ht="15" customHeight="1" x14ac:dyDescent="0.2">
      <c r="A932" s="289">
        <v>891780111</v>
      </c>
      <c r="B932" s="289" t="s">
        <v>54</v>
      </c>
      <c r="C932" s="290" t="s">
        <v>56</v>
      </c>
      <c r="D932" s="289" t="s">
        <v>60</v>
      </c>
      <c r="E932" s="290" t="s">
        <v>9454</v>
      </c>
      <c r="F932" s="289" t="s">
        <v>61</v>
      </c>
      <c r="G932" s="85" t="s">
        <v>63</v>
      </c>
      <c r="H932" s="85" t="s">
        <v>73</v>
      </c>
      <c r="I932" s="237">
        <v>8550000</v>
      </c>
      <c r="J932" s="290"/>
      <c r="K932" s="291"/>
      <c r="L932" s="291"/>
      <c r="M932" s="292">
        <f t="shared" si="62"/>
        <v>8550000</v>
      </c>
      <c r="N932" s="85">
        <v>1083028723</v>
      </c>
      <c r="O932" s="85" t="s">
        <v>8424</v>
      </c>
      <c r="P932" s="85" t="s">
        <v>9334</v>
      </c>
      <c r="Q932" s="309">
        <f>DATE(2023,7,25)</f>
        <v>45132</v>
      </c>
      <c r="R932" s="309">
        <f>DATE(2023,7,25)</f>
        <v>45132</v>
      </c>
      <c r="S932" s="309">
        <f t="shared" si="65"/>
        <v>45260</v>
      </c>
      <c r="T932" s="293"/>
      <c r="U932" s="293"/>
      <c r="V932" s="293"/>
      <c r="W932" s="294"/>
      <c r="X932" s="237">
        <f>VLOOKUP(N932,[9]Pagos!$C$2:$D$353,2,FALSE)</f>
        <v>950000</v>
      </c>
      <c r="Y932" s="295">
        <f t="shared" si="63"/>
        <v>7600000</v>
      </c>
      <c r="Z932" s="296">
        <f t="shared" si="64"/>
        <v>0.1111111111111111</v>
      </c>
      <c r="AA932" s="85">
        <v>57444673</v>
      </c>
      <c r="AB932" s="85" t="s">
        <v>5370</v>
      </c>
      <c r="AC932" s="290" t="s">
        <v>196</v>
      </c>
      <c r="AD932" s="290" t="s">
        <v>196</v>
      </c>
      <c r="AE932" s="303"/>
      <c r="AF932" s="310" t="str">
        <f>VLOOKUP(E932,[10]Hoja1!$D$3:$E$327,2,FALSE)</f>
        <v>https://community.secop.gov.co/Public/Tendering/OpportunityDetail/Index?noticeUID=CO1.NTC.4783713&amp;isFromPublicArea=True&amp;isModal=true&amp;asPopupView=true</v>
      </c>
      <c r="AG932" s="290" t="s">
        <v>192</v>
      </c>
      <c r="AH932" s="290" t="s">
        <v>192</v>
      </c>
    </row>
    <row r="933" spans="1:34" s="297" customFormat="1" ht="15" customHeight="1" x14ac:dyDescent="0.2">
      <c r="A933" s="289">
        <v>891780111</v>
      </c>
      <c r="B933" s="289" t="s">
        <v>54</v>
      </c>
      <c r="C933" s="290" t="s">
        <v>56</v>
      </c>
      <c r="D933" s="289" t="s">
        <v>60</v>
      </c>
      <c r="E933" s="290" t="s">
        <v>9455</v>
      </c>
      <c r="F933" s="289" t="s">
        <v>61</v>
      </c>
      <c r="G933" s="85" t="s">
        <v>63</v>
      </c>
      <c r="H933" s="85" t="s">
        <v>73</v>
      </c>
      <c r="I933" s="237">
        <v>9900000</v>
      </c>
      <c r="J933" s="290"/>
      <c r="K933" s="291"/>
      <c r="L933" s="291"/>
      <c r="M933" s="292">
        <f t="shared" si="62"/>
        <v>9900000</v>
      </c>
      <c r="N933" s="85">
        <v>1082968870</v>
      </c>
      <c r="O933" s="85" t="s">
        <v>8606</v>
      </c>
      <c r="P933" s="85" t="s">
        <v>9456</v>
      </c>
      <c r="Q933" s="309">
        <f t="shared" ref="Q933:R948" si="66">DATE(2023,7,25)</f>
        <v>45132</v>
      </c>
      <c r="R933" s="309">
        <f t="shared" si="66"/>
        <v>45132</v>
      </c>
      <c r="S933" s="309">
        <f t="shared" si="65"/>
        <v>45260</v>
      </c>
      <c r="T933" s="293"/>
      <c r="U933" s="293"/>
      <c r="V933" s="293"/>
      <c r="W933" s="294"/>
      <c r="X933" s="237"/>
      <c r="Y933" s="295">
        <f t="shared" si="63"/>
        <v>9900000</v>
      </c>
      <c r="Z933" s="296">
        <f t="shared" si="64"/>
        <v>0</v>
      </c>
      <c r="AA933" s="85">
        <v>57426272</v>
      </c>
      <c r="AB933" s="85" t="s">
        <v>8608</v>
      </c>
      <c r="AC933" s="290" t="s">
        <v>196</v>
      </c>
      <c r="AD933" s="290" t="s">
        <v>196</v>
      </c>
      <c r="AE933" s="303"/>
      <c r="AF933" s="310" t="str">
        <f>VLOOKUP(E933,[10]Hoja1!$D$3:$E$327,2,FALSE)</f>
        <v>https://community.secop.gov.co/Public/Tendering/OpportunityDetail/Index?noticeUID=CO1.NTC.4783987&amp;isFromPublicArea=True&amp;isModal=true&amp;asPopupView=true</v>
      </c>
      <c r="AG933" s="290" t="s">
        <v>192</v>
      </c>
      <c r="AH933" s="290" t="s">
        <v>192</v>
      </c>
    </row>
    <row r="934" spans="1:34" s="297" customFormat="1" ht="15" customHeight="1" x14ac:dyDescent="0.2">
      <c r="A934" s="289">
        <v>891780111</v>
      </c>
      <c r="B934" s="289" t="s">
        <v>54</v>
      </c>
      <c r="C934" s="290" t="s">
        <v>56</v>
      </c>
      <c r="D934" s="289" t="s">
        <v>60</v>
      </c>
      <c r="E934" s="290" t="s">
        <v>9457</v>
      </c>
      <c r="F934" s="289" t="s">
        <v>61</v>
      </c>
      <c r="G934" s="85" t="s">
        <v>63</v>
      </c>
      <c r="H934" s="85" t="s">
        <v>73</v>
      </c>
      <c r="I934" s="237">
        <v>13950000</v>
      </c>
      <c r="J934" s="290"/>
      <c r="K934" s="291"/>
      <c r="L934" s="291"/>
      <c r="M934" s="292">
        <f t="shared" si="62"/>
        <v>13950000</v>
      </c>
      <c r="N934" s="85">
        <v>1082925821</v>
      </c>
      <c r="O934" s="85" t="s">
        <v>8528</v>
      </c>
      <c r="P934" s="85" t="s">
        <v>9458</v>
      </c>
      <c r="Q934" s="309">
        <f t="shared" si="66"/>
        <v>45132</v>
      </c>
      <c r="R934" s="309">
        <f t="shared" si="66"/>
        <v>45132</v>
      </c>
      <c r="S934" s="309">
        <f t="shared" si="65"/>
        <v>45260</v>
      </c>
      <c r="T934" s="293"/>
      <c r="U934" s="293"/>
      <c r="V934" s="293"/>
      <c r="W934" s="294"/>
      <c r="X934" s="237">
        <f>VLOOKUP(N934,[9]Pagos!$C$2:$D$353,2,FALSE)</f>
        <v>1550000</v>
      </c>
      <c r="Y934" s="295">
        <f t="shared" si="63"/>
        <v>12400000</v>
      </c>
      <c r="Z934" s="296">
        <f t="shared" si="64"/>
        <v>0.1111111111111111</v>
      </c>
      <c r="AA934" s="85">
        <v>72175281</v>
      </c>
      <c r="AB934" s="85" t="s">
        <v>6507</v>
      </c>
      <c r="AC934" s="290" t="s">
        <v>196</v>
      </c>
      <c r="AD934" s="290" t="s">
        <v>196</v>
      </c>
      <c r="AE934" s="303"/>
      <c r="AF934" s="310" t="str">
        <f>VLOOKUP(E934,[10]Hoja1!$D$3:$E$327,2,FALSE)</f>
        <v>https://community.secop.gov.co/Public/Tendering/OpportunityDetail/Index?noticeUID=CO1.NTC.4783617&amp;isFromPublicArea=True&amp;isModal=true&amp;asPopupView=true</v>
      </c>
      <c r="AG934" s="290" t="s">
        <v>192</v>
      </c>
      <c r="AH934" s="290" t="s">
        <v>192</v>
      </c>
    </row>
    <row r="935" spans="1:34" s="297" customFormat="1" ht="15" customHeight="1" x14ac:dyDescent="0.2">
      <c r="A935" s="289">
        <v>891780111</v>
      </c>
      <c r="B935" s="289" t="s">
        <v>54</v>
      </c>
      <c r="C935" s="290" t="s">
        <v>56</v>
      </c>
      <c r="D935" s="289" t="s">
        <v>60</v>
      </c>
      <c r="E935" s="290" t="s">
        <v>9459</v>
      </c>
      <c r="F935" s="289" t="s">
        <v>61</v>
      </c>
      <c r="G935" s="85" t="s">
        <v>63</v>
      </c>
      <c r="H935" s="85" t="s">
        <v>73</v>
      </c>
      <c r="I935" s="237">
        <v>9900000</v>
      </c>
      <c r="J935" s="290"/>
      <c r="K935" s="291"/>
      <c r="L935" s="291"/>
      <c r="M935" s="292">
        <f t="shared" si="62"/>
        <v>9900000</v>
      </c>
      <c r="N935" s="85">
        <v>1082840247</v>
      </c>
      <c r="O935" s="85" t="s">
        <v>7369</v>
      </c>
      <c r="P935" s="85" t="s">
        <v>9460</v>
      </c>
      <c r="Q935" s="309">
        <f t="shared" si="66"/>
        <v>45132</v>
      </c>
      <c r="R935" s="309">
        <f t="shared" si="66"/>
        <v>45132</v>
      </c>
      <c r="S935" s="309">
        <f t="shared" si="65"/>
        <v>45260</v>
      </c>
      <c r="T935" s="293"/>
      <c r="U935" s="293"/>
      <c r="V935" s="293"/>
      <c r="W935" s="294"/>
      <c r="X935" s="237">
        <f>VLOOKUP(N935,[9]Pagos!$C$2:$D$353,2,FALSE)</f>
        <v>1100000</v>
      </c>
      <c r="Y935" s="295">
        <f t="shared" si="63"/>
        <v>8800000</v>
      </c>
      <c r="Z935" s="296">
        <f t="shared" si="64"/>
        <v>0.1111111111111111</v>
      </c>
      <c r="AA935" s="85">
        <v>1082889541</v>
      </c>
      <c r="AB935" s="85" t="s">
        <v>5388</v>
      </c>
      <c r="AC935" s="290" t="s">
        <v>196</v>
      </c>
      <c r="AD935" s="290" t="s">
        <v>196</v>
      </c>
      <c r="AE935" s="303"/>
      <c r="AF935" s="310" t="str">
        <f>VLOOKUP(E935,[10]Hoja1!$D$3:$E$327,2,FALSE)</f>
        <v>https://community.secop.gov.co/Public/Tendering/OpportunityDetail/Index?noticeUID=CO1.NTC.4783537&amp;isFromPublicArea=True&amp;isModal=true&amp;asPopupView=true</v>
      </c>
      <c r="AG935" s="290" t="s">
        <v>192</v>
      </c>
      <c r="AH935" s="290" t="s">
        <v>192</v>
      </c>
    </row>
    <row r="936" spans="1:34" s="297" customFormat="1" ht="15" customHeight="1" x14ac:dyDescent="0.2">
      <c r="A936" s="289">
        <v>891780111</v>
      </c>
      <c r="B936" s="289" t="s">
        <v>54</v>
      </c>
      <c r="C936" s="290" t="s">
        <v>56</v>
      </c>
      <c r="D936" s="289" t="s">
        <v>60</v>
      </c>
      <c r="E936" s="290" t="s">
        <v>9461</v>
      </c>
      <c r="F936" s="289" t="s">
        <v>61</v>
      </c>
      <c r="G936" s="85" t="s">
        <v>63</v>
      </c>
      <c r="H936" s="85" t="s">
        <v>73</v>
      </c>
      <c r="I936" s="237">
        <v>9900000</v>
      </c>
      <c r="J936" s="290"/>
      <c r="K936" s="291"/>
      <c r="L936" s="291"/>
      <c r="M936" s="292">
        <f t="shared" si="62"/>
        <v>9900000</v>
      </c>
      <c r="N936" s="85">
        <v>36667921</v>
      </c>
      <c r="O936" s="85" t="s">
        <v>7601</v>
      </c>
      <c r="P936" s="85" t="s">
        <v>9462</v>
      </c>
      <c r="Q936" s="309">
        <f t="shared" si="66"/>
        <v>45132</v>
      </c>
      <c r="R936" s="309">
        <f t="shared" si="66"/>
        <v>45132</v>
      </c>
      <c r="S936" s="309">
        <f t="shared" si="65"/>
        <v>45260</v>
      </c>
      <c r="T936" s="293"/>
      <c r="U936" s="293"/>
      <c r="V936" s="293"/>
      <c r="W936" s="294"/>
      <c r="X936" s="237">
        <f>VLOOKUP(N936,[9]Pagos!$C$2:$D$353,2,FALSE)</f>
        <v>1100000</v>
      </c>
      <c r="Y936" s="295">
        <f t="shared" si="63"/>
        <v>8800000</v>
      </c>
      <c r="Z936" s="296">
        <f t="shared" si="64"/>
        <v>0.1111111111111111</v>
      </c>
      <c r="AA936" s="85">
        <v>36557666</v>
      </c>
      <c r="AB936" s="85" t="s">
        <v>6916</v>
      </c>
      <c r="AC936" s="290" t="s">
        <v>196</v>
      </c>
      <c r="AD936" s="290" t="s">
        <v>196</v>
      </c>
      <c r="AE936" s="303"/>
      <c r="AF936" s="310" t="str">
        <f>VLOOKUP(E936,[10]Hoja1!$D$3:$E$327,2,FALSE)</f>
        <v>https://community.secop.gov.co/Public/Tendering/OpportunityDetail/Index?noticeUID=CO1.NTC.4783733&amp;isFromPublicArea=True&amp;isModal=true&amp;asPopupView=true</v>
      </c>
      <c r="AG936" s="290" t="s">
        <v>192</v>
      </c>
      <c r="AH936" s="290" t="s">
        <v>192</v>
      </c>
    </row>
    <row r="937" spans="1:34" s="297" customFormat="1" ht="15" customHeight="1" x14ac:dyDescent="0.2">
      <c r="A937" s="289">
        <v>891780111</v>
      </c>
      <c r="B937" s="289" t="s">
        <v>54</v>
      </c>
      <c r="C937" s="290" t="s">
        <v>56</v>
      </c>
      <c r="D937" s="289" t="s">
        <v>60</v>
      </c>
      <c r="E937" s="290" t="s">
        <v>9463</v>
      </c>
      <c r="F937" s="289" t="s">
        <v>61</v>
      </c>
      <c r="G937" s="85" t="s">
        <v>63</v>
      </c>
      <c r="H937" s="85" t="s">
        <v>73</v>
      </c>
      <c r="I937" s="237">
        <v>8550000</v>
      </c>
      <c r="J937" s="290"/>
      <c r="K937" s="291"/>
      <c r="L937" s="291"/>
      <c r="M937" s="292">
        <f t="shared" si="62"/>
        <v>8550000</v>
      </c>
      <c r="N937" s="85">
        <v>36726629</v>
      </c>
      <c r="O937" s="85" t="s">
        <v>8381</v>
      </c>
      <c r="P937" s="85" t="s">
        <v>9464</v>
      </c>
      <c r="Q937" s="309">
        <f t="shared" si="66"/>
        <v>45132</v>
      </c>
      <c r="R937" s="309">
        <f t="shared" si="66"/>
        <v>45132</v>
      </c>
      <c r="S937" s="309">
        <f t="shared" si="65"/>
        <v>45260</v>
      </c>
      <c r="T937" s="293"/>
      <c r="U937" s="293"/>
      <c r="V937" s="293"/>
      <c r="W937" s="294"/>
      <c r="X937" s="237">
        <f>VLOOKUP(N937,[9]Pagos!$C$2:$D$353,2,FALSE)</f>
        <v>950000</v>
      </c>
      <c r="Y937" s="295">
        <f t="shared" si="63"/>
        <v>7600000</v>
      </c>
      <c r="Z937" s="296">
        <f t="shared" si="64"/>
        <v>0.1111111111111111</v>
      </c>
      <c r="AA937" s="85">
        <v>57441846</v>
      </c>
      <c r="AB937" s="85" t="s">
        <v>6885</v>
      </c>
      <c r="AC937" s="290" t="s">
        <v>196</v>
      </c>
      <c r="AD937" s="290" t="s">
        <v>196</v>
      </c>
      <c r="AE937" s="303"/>
      <c r="AF937" s="310" t="str">
        <f>VLOOKUP(E937,[10]Hoja1!$D$3:$E$327,2,FALSE)</f>
        <v>https://community.secop.gov.co/Public/Tendering/OpportunityDetail/Index?noticeUID=CO1.NTC.4785002&amp;isFromPublicArea=True&amp;isModal=true&amp;asPopupView=true</v>
      </c>
      <c r="AG937" s="290" t="s">
        <v>192</v>
      </c>
      <c r="AH937" s="290" t="s">
        <v>192</v>
      </c>
    </row>
    <row r="938" spans="1:34" s="297" customFormat="1" ht="15" customHeight="1" x14ac:dyDescent="0.2">
      <c r="A938" s="289">
        <v>891780111</v>
      </c>
      <c r="B938" s="289" t="s">
        <v>54</v>
      </c>
      <c r="C938" s="290" t="s">
        <v>56</v>
      </c>
      <c r="D938" s="289" t="s">
        <v>60</v>
      </c>
      <c r="E938" s="290" t="s">
        <v>9465</v>
      </c>
      <c r="F938" s="289" t="s">
        <v>61</v>
      </c>
      <c r="G938" s="85" t="s">
        <v>63</v>
      </c>
      <c r="H938" s="85" t="s">
        <v>73</v>
      </c>
      <c r="I938" s="237">
        <v>12600000</v>
      </c>
      <c r="J938" s="290"/>
      <c r="K938" s="291"/>
      <c r="L938" s="291"/>
      <c r="M938" s="292">
        <f t="shared" si="62"/>
        <v>12600000</v>
      </c>
      <c r="N938" s="85">
        <v>1082904561</v>
      </c>
      <c r="O938" s="85" t="s">
        <v>7315</v>
      </c>
      <c r="P938" s="85" t="s">
        <v>9466</v>
      </c>
      <c r="Q938" s="309">
        <f t="shared" si="66"/>
        <v>45132</v>
      </c>
      <c r="R938" s="309">
        <f t="shared" si="66"/>
        <v>45132</v>
      </c>
      <c r="S938" s="309">
        <f t="shared" si="65"/>
        <v>45260</v>
      </c>
      <c r="T938" s="293"/>
      <c r="U938" s="293"/>
      <c r="V938" s="293"/>
      <c r="W938" s="294"/>
      <c r="X938" s="237">
        <f>VLOOKUP(N938,[9]Pagos!$C$2:$D$353,2,FALSE)</f>
        <v>1400000</v>
      </c>
      <c r="Y938" s="295">
        <f t="shared" si="63"/>
        <v>11200000</v>
      </c>
      <c r="Z938" s="296">
        <f t="shared" si="64"/>
        <v>0.1111111111111111</v>
      </c>
      <c r="AA938" s="85">
        <v>72255882</v>
      </c>
      <c r="AB938" s="85" t="s">
        <v>7317</v>
      </c>
      <c r="AC938" s="290" t="s">
        <v>196</v>
      </c>
      <c r="AD938" s="290" t="s">
        <v>196</v>
      </c>
      <c r="AE938" s="303"/>
      <c r="AF938" s="310" t="str">
        <f>VLOOKUP(E938,[10]Hoja1!$D$3:$E$327,2,FALSE)</f>
        <v>https://community.secop.gov.co/Public/Tendering/OpportunityDetail/Index?noticeUID=CO1.NTC.4784868&amp;isFromPublicArea=True&amp;isModal=true&amp;asPopupView=true</v>
      </c>
      <c r="AG938" s="290" t="s">
        <v>192</v>
      </c>
      <c r="AH938" s="290" t="s">
        <v>192</v>
      </c>
    </row>
    <row r="939" spans="1:34" s="297" customFormat="1" ht="15" customHeight="1" x14ac:dyDescent="0.2">
      <c r="A939" s="289">
        <v>891780111</v>
      </c>
      <c r="B939" s="289" t="s">
        <v>54</v>
      </c>
      <c r="C939" s="290" t="s">
        <v>56</v>
      </c>
      <c r="D939" s="289" t="s">
        <v>60</v>
      </c>
      <c r="E939" s="290" t="s">
        <v>9467</v>
      </c>
      <c r="F939" s="289" t="s">
        <v>61</v>
      </c>
      <c r="G939" s="85" t="s">
        <v>63</v>
      </c>
      <c r="H939" s="85" t="s">
        <v>73</v>
      </c>
      <c r="I939" s="237">
        <v>15300000</v>
      </c>
      <c r="J939" s="290"/>
      <c r="K939" s="291"/>
      <c r="L939" s="291"/>
      <c r="M939" s="292">
        <f t="shared" si="62"/>
        <v>15300000</v>
      </c>
      <c r="N939" s="85">
        <v>1082934147</v>
      </c>
      <c r="O939" s="85" t="s">
        <v>8427</v>
      </c>
      <c r="P939" s="85" t="s">
        <v>9468</v>
      </c>
      <c r="Q939" s="309">
        <f t="shared" si="66"/>
        <v>45132</v>
      </c>
      <c r="R939" s="309">
        <f t="shared" si="66"/>
        <v>45132</v>
      </c>
      <c r="S939" s="309">
        <f t="shared" si="65"/>
        <v>45260</v>
      </c>
      <c r="T939" s="293"/>
      <c r="U939" s="293"/>
      <c r="V939" s="293"/>
      <c r="W939" s="294"/>
      <c r="X939" s="237">
        <f>VLOOKUP(N939,[9]Pagos!$C$2:$D$353,2,FALSE)</f>
        <v>1700000</v>
      </c>
      <c r="Y939" s="295">
        <f t="shared" si="63"/>
        <v>13600000</v>
      </c>
      <c r="Z939" s="296">
        <f t="shared" si="64"/>
        <v>0.1111111111111111</v>
      </c>
      <c r="AA939" s="85">
        <v>12560219</v>
      </c>
      <c r="AB939" s="85" t="s">
        <v>516</v>
      </c>
      <c r="AC939" s="290" t="s">
        <v>196</v>
      </c>
      <c r="AD939" s="290" t="s">
        <v>196</v>
      </c>
      <c r="AE939" s="303"/>
      <c r="AF939" s="310" t="str">
        <f>VLOOKUP(E939,[10]Hoja1!$D$3:$E$327,2,FALSE)</f>
        <v>https://community.secop.gov.co/Public/Tendering/OpportunityDetail/Index?noticeUID=CO1.NTC.4785043&amp;isFromPublicArea=True&amp;isModal=true&amp;asPopupView=true</v>
      </c>
      <c r="AG939" s="290" t="s">
        <v>192</v>
      </c>
      <c r="AH939" s="290" t="s">
        <v>192</v>
      </c>
    </row>
    <row r="940" spans="1:34" s="297" customFormat="1" ht="15" customHeight="1" x14ac:dyDescent="0.2">
      <c r="A940" s="289">
        <v>891780111</v>
      </c>
      <c r="B940" s="289" t="s">
        <v>54</v>
      </c>
      <c r="C940" s="290" t="s">
        <v>56</v>
      </c>
      <c r="D940" s="289" t="s">
        <v>60</v>
      </c>
      <c r="E940" s="290" t="s">
        <v>9469</v>
      </c>
      <c r="F940" s="289" t="s">
        <v>61</v>
      </c>
      <c r="G940" s="85" t="s">
        <v>63</v>
      </c>
      <c r="H940" s="85" t="s">
        <v>73</v>
      </c>
      <c r="I940" s="237">
        <v>10917000</v>
      </c>
      <c r="J940" s="290"/>
      <c r="K940" s="291"/>
      <c r="L940" s="291"/>
      <c r="M940" s="292">
        <f t="shared" si="62"/>
        <v>10917000</v>
      </c>
      <c r="N940" s="85">
        <v>84451148</v>
      </c>
      <c r="O940" s="85" t="s">
        <v>6793</v>
      </c>
      <c r="P940" s="85" t="s">
        <v>9470</v>
      </c>
      <c r="Q940" s="309">
        <f t="shared" si="66"/>
        <v>45132</v>
      </c>
      <c r="R940" s="309">
        <f t="shared" si="66"/>
        <v>45132</v>
      </c>
      <c r="S940" s="309">
        <f t="shared" si="65"/>
        <v>45260</v>
      </c>
      <c r="T940" s="293"/>
      <c r="U940" s="293"/>
      <c r="V940" s="293"/>
      <c r="W940" s="294"/>
      <c r="X940" s="237">
        <f>VLOOKUP(N940,[9]Pagos!$C$2:$D$353,2,FALSE)</f>
        <v>917000</v>
      </c>
      <c r="Y940" s="295">
        <f t="shared" si="63"/>
        <v>10000000</v>
      </c>
      <c r="Z940" s="296">
        <f t="shared" si="64"/>
        <v>8.3997435192818534E-2</v>
      </c>
      <c r="AA940" s="85">
        <v>85465146</v>
      </c>
      <c r="AB940" s="85" t="s">
        <v>6628</v>
      </c>
      <c r="AC940" s="290" t="s">
        <v>196</v>
      </c>
      <c r="AD940" s="290" t="s">
        <v>196</v>
      </c>
      <c r="AE940" s="303"/>
      <c r="AF940" s="310" t="str">
        <f>VLOOKUP(E940,[10]Hoja1!$D$3:$E$327,2,FALSE)</f>
        <v>https://community.secop.gov.co/Public/Tendering/OpportunityDetail/Index?noticeUID=CO1.NTC.4784882&amp;isFromPublicArea=True&amp;isModal=true&amp;asPopupView=true</v>
      </c>
      <c r="AG940" s="290" t="s">
        <v>192</v>
      </c>
      <c r="AH940" s="290" t="s">
        <v>192</v>
      </c>
    </row>
    <row r="941" spans="1:34" s="297" customFormat="1" ht="15" customHeight="1" x14ac:dyDescent="0.2">
      <c r="A941" s="289">
        <v>891780111</v>
      </c>
      <c r="B941" s="289" t="s">
        <v>54</v>
      </c>
      <c r="C941" s="290" t="s">
        <v>56</v>
      </c>
      <c r="D941" s="289" t="s">
        <v>60</v>
      </c>
      <c r="E941" s="290" t="s">
        <v>9471</v>
      </c>
      <c r="F941" s="289" t="s">
        <v>61</v>
      </c>
      <c r="G941" s="85" t="s">
        <v>63</v>
      </c>
      <c r="H941" s="85" t="s">
        <v>73</v>
      </c>
      <c r="I941" s="237">
        <v>9607000</v>
      </c>
      <c r="J941" s="290"/>
      <c r="K941" s="291"/>
      <c r="L941" s="291"/>
      <c r="M941" s="292">
        <f t="shared" si="62"/>
        <v>9607000</v>
      </c>
      <c r="N941" s="85">
        <v>1084727795</v>
      </c>
      <c r="O941" s="85" t="s">
        <v>7259</v>
      </c>
      <c r="P941" s="85" t="s">
        <v>9472</v>
      </c>
      <c r="Q941" s="309">
        <f t="shared" si="66"/>
        <v>45132</v>
      </c>
      <c r="R941" s="309">
        <f t="shared" si="66"/>
        <v>45132</v>
      </c>
      <c r="S941" s="309">
        <f t="shared" si="65"/>
        <v>45260</v>
      </c>
      <c r="T941" s="293"/>
      <c r="U941" s="293"/>
      <c r="V941" s="293"/>
      <c r="W941" s="294"/>
      <c r="X941" s="237"/>
      <c r="Y941" s="295">
        <f t="shared" si="63"/>
        <v>9607000</v>
      </c>
      <c r="Z941" s="296">
        <f t="shared" si="64"/>
        <v>0</v>
      </c>
      <c r="AA941" s="85">
        <v>85465146</v>
      </c>
      <c r="AB941" s="85" t="s">
        <v>6628</v>
      </c>
      <c r="AC941" s="290" t="s">
        <v>196</v>
      </c>
      <c r="AD941" s="290" t="s">
        <v>196</v>
      </c>
      <c r="AE941" s="303"/>
      <c r="AF941" s="310" t="str">
        <f>VLOOKUP(E941,[10]Hoja1!$D$3:$E$327,2,FALSE)</f>
        <v>https://community.secop.gov.co/Public/Tendering/OpportunityDetail/Index?noticeUID=CO1.NTC.4785133&amp;isFromPublicArea=True&amp;isModal=true&amp;asPopupView=true</v>
      </c>
      <c r="AG941" s="290" t="s">
        <v>192</v>
      </c>
      <c r="AH941" s="290" t="s">
        <v>192</v>
      </c>
    </row>
    <row r="942" spans="1:34" s="297" customFormat="1" ht="15" customHeight="1" x14ac:dyDescent="0.2">
      <c r="A942" s="289">
        <v>891780111</v>
      </c>
      <c r="B942" s="289" t="s">
        <v>54</v>
      </c>
      <c r="C942" s="290" t="s">
        <v>56</v>
      </c>
      <c r="D942" s="289" t="s">
        <v>60</v>
      </c>
      <c r="E942" s="290" t="s">
        <v>9473</v>
      </c>
      <c r="F942" s="289" t="s">
        <v>61</v>
      </c>
      <c r="G942" s="85" t="s">
        <v>63</v>
      </c>
      <c r="H942" s="85" t="s">
        <v>73</v>
      </c>
      <c r="I942" s="237">
        <v>15750000</v>
      </c>
      <c r="J942" s="290"/>
      <c r="K942" s="291"/>
      <c r="L942" s="291"/>
      <c r="M942" s="292">
        <f t="shared" si="62"/>
        <v>15750000</v>
      </c>
      <c r="N942" s="85">
        <v>1082977003</v>
      </c>
      <c r="O942" s="85" t="s">
        <v>7386</v>
      </c>
      <c r="P942" s="85" t="s">
        <v>9474</v>
      </c>
      <c r="Q942" s="309">
        <f t="shared" si="66"/>
        <v>45132</v>
      </c>
      <c r="R942" s="309">
        <f t="shared" si="66"/>
        <v>45132</v>
      </c>
      <c r="S942" s="309">
        <f t="shared" si="65"/>
        <v>45260</v>
      </c>
      <c r="T942" s="293"/>
      <c r="U942" s="293"/>
      <c r="V942" s="293"/>
      <c r="W942" s="294"/>
      <c r="X942" s="237">
        <f>VLOOKUP(N942,[9]Pagos!$C$2:$D$353,2,FALSE)</f>
        <v>1750000</v>
      </c>
      <c r="Y942" s="295">
        <f t="shared" si="63"/>
        <v>14000000</v>
      </c>
      <c r="Z942" s="296">
        <f t="shared" si="64"/>
        <v>0.1111111111111111</v>
      </c>
      <c r="AA942" s="85">
        <v>12539351</v>
      </c>
      <c r="AB942" s="85" t="s">
        <v>6545</v>
      </c>
      <c r="AC942" s="290" t="s">
        <v>196</v>
      </c>
      <c r="AD942" s="290" t="s">
        <v>196</v>
      </c>
      <c r="AE942" s="303"/>
      <c r="AF942" s="310" t="str">
        <f>VLOOKUP(E942,[10]Hoja1!$D$3:$E$327,2,FALSE)</f>
        <v>https://community.secop.gov.co/Public/Tendering/OpportunityDetail/Index?noticeUID=CO1.NTC.4783749&amp;isFromPublicArea=True&amp;isModal=true&amp;asPopupView=true</v>
      </c>
      <c r="AG942" s="290" t="s">
        <v>192</v>
      </c>
      <c r="AH942" s="290" t="s">
        <v>192</v>
      </c>
    </row>
    <row r="943" spans="1:34" s="297" customFormat="1" ht="15" customHeight="1" x14ac:dyDescent="0.2">
      <c r="A943" s="289">
        <v>891780111</v>
      </c>
      <c r="B943" s="289" t="s">
        <v>54</v>
      </c>
      <c r="C943" s="290" t="s">
        <v>59</v>
      </c>
      <c r="D943" s="289" t="s">
        <v>60</v>
      </c>
      <c r="E943" s="290" t="s">
        <v>9475</v>
      </c>
      <c r="F943" s="289" t="s">
        <v>61</v>
      </c>
      <c r="G943" s="85" t="s">
        <v>63</v>
      </c>
      <c r="H943" s="85" t="s">
        <v>73</v>
      </c>
      <c r="I943" s="237">
        <v>14500000</v>
      </c>
      <c r="J943" s="290"/>
      <c r="K943" s="291"/>
      <c r="L943" s="291"/>
      <c r="M943" s="292">
        <f t="shared" si="62"/>
        <v>14500000</v>
      </c>
      <c r="N943" s="85">
        <v>1082981011</v>
      </c>
      <c r="O943" s="85" t="s">
        <v>7747</v>
      </c>
      <c r="P943" s="85" t="s">
        <v>9476</v>
      </c>
      <c r="Q943" s="309">
        <f t="shared" si="66"/>
        <v>45132</v>
      </c>
      <c r="R943" s="309">
        <f t="shared" si="66"/>
        <v>45132</v>
      </c>
      <c r="S943" s="309">
        <f>DATE(2023,12,18)</f>
        <v>45278</v>
      </c>
      <c r="T943" s="293"/>
      <c r="U943" s="293"/>
      <c r="V943" s="293"/>
      <c r="W943" s="294"/>
      <c r="X943" s="237">
        <f>VLOOKUP(N943,[9]Pagos!$C$2:$D$353,2,FALSE)</f>
        <v>1160000</v>
      </c>
      <c r="Y943" s="295">
        <f t="shared" si="63"/>
        <v>13340000</v>
      </c>
      <c r="Z943" s="296">
        <f t="shared" si="64"/>
        <v>0.08</v>
      </c>
      <c r="AA943" s="85">
        <v>36722626</v>
      </c>
      <c r="AB943" s="85" t="s">
        <v>7184</v>
      </c>
      <c r="AC943" s="290" t="s">
        <v>196</v>
      </c>
      <c r="AD943" s="290" t="s">
        <v>196</v>
      </c>
      <c r="AE943" s="303"/>
      <c r="AF943" s="310" t="str">
        <f>VLOOKUP(E943,[10]Hoja1!$D$3:$E$327,2,FALSE)</f>
        <v>https://community.secop.gov.co/Public/Tendering/OpportunityDetail/Index?noticeUID=CO1.NTC.4787019&amp;isFromPublicArea=True&amp;isModal=true&amp;asPopupView=true</v>
      </c>
      <c r="AG943" s="290" t="s">
        <v>192</v>
      </c>
      <c r="AH943" s="290" t="s">
        <v>192</v>
      </c>
    </row>
    <row r="944" spans="1:34" s="297" customFormat="1" ht="15" customHeight="1" x14ac:dyDescent="0.2">
      <c r="A944" s="289">
        <v>891780111</v>
      </c>
      <c r="B944" s="289" t="s">
        <v>54</v>
      </c>
      <c r="C944" s="290" t="s">
        <v>56</v>
      </c>
      <c r="D944" s="289" t="s">
        <v>60</v>
      </c>
      <c r="E944" s="290" t="s">
        <v>9477</v>
      </c>
      <c r="F944" s="289" t="s">
        <v>61</v>
      </c>
      <c r="G944" s="85" t="s">
        <v>63</v>
      </c>
      <c r="H944" s="85" t="s">
        <v>73</v>
      </c>
      <c r="I944" s="237">
        <v>12600000</v>
      </c>
      <c r="J944" s="290"/>
      <c r="K944" s="291"/>
      <c r="L944" s="291"/>
      <c r="M944" s="292">
        <f t="shared" si="62"/>
        <v>12600000</v>
      </c>
      <c r="N944" s="85">
        <v>1122812358</v>
      </c>
      <c r="O944" s="85" t="s">
        <v>7287</v>
      </c>
      <c r="P944" s="85" t="s">
        <v>9478</v>
      </c>
      <c r="Q944" s="309">
        <f t="shared" si="66"/>
        <v>45132</v>
      </c>
      <c r="R944" s="309">
        <f t="shared" si="66"/>
        <v>45132</v>
      </c>
      <c r="S944" s="309">
        <f t="shared" si="65"/>
        <v>45260</v>
      </c>
      <c r="T944" s="293"/>
      <c r="U944" s="293"/>
      <c r="V944" s="293"/>
      <c r="W944" s="294"/>
      <c r="X944" s="237">
        <f>VLOOKUP(N944,[9]Pagos!$C$2:$D$353,2,FALSE)</f>
        <v>1400000</v>
      </c>
      <c r="Y944" s="295">
        <f t="shared" si="63"/>
        <v>11200000</v>
      </c>
      <c r="Z944" s="296">
        <f t="shared" si="64"/>
        <v>0.1111111111111111</v>
      </c>
      <c r="AA944" s="85">
        <v>32770239</v>
      </c>
      <c r="AB944" s="85" t="s">
        <v>2135</v>
      </c>
      <c r="AC944" s="290" t="s">
        <v>196</v>
      </c>
      <c r="AD944" s="290" t="s">
        <v>196</v>
      </c>
      <c r="AE944" s="303"/>
      <c r="AF944" s="310" t="str">
        <f>VLOOKUP(E944,[10]Hoja1!$D$3:$E$327,2,FALSE)</f>
        <v>https://community.secop.gov.co/Public/Tendering/OpportunityDetail/Index?noticeUID=CO1.NTC.4783699&amp;isFromPublicArea=True&amp;isModal=true&amp;asPopupView=true</v>
      </c>
      <c r="AG944" s="290" t="s">
        <v>192</v>
      </c>
      <c r="AH944" s="290" t="s">
        <v>192</v>
      </c>
    </row>
    <row r="945" spans="1:34" s="297" customFormat="1" ht="15" customHeight="1" x14ac:dyDescent="0.2">
      <c r="A945" s="289">
        <v>891780111</v>
      </c>
      <c r="B945" s="289" t="s">
        <v>54</v>
      </c>
      <c r="C945" s="290" t="s">
        <v>56</v>
      </c>
      <c r="D945" s="289" t="s">
        <v>60</v>
      </c>
      <c r="E945" s="290" t="s">
        <v>9479</v>
      </c>
      <c r="F945" s="289" t="s">
        <v>61</v>
      </c>
      <c r="G945" s="85" t="s">
        <v>63</v>
      </c>
      <c r="H945" s="85" t="s">
        <v>73</v>
      </c>
      <c r="I945" s="237">
        <v>31950000</v>
      </c>
      <c r="J945" s="290"/>
      <c r="K945" s="291"/>
      <c r="L945" s="291"/>
      <c r="M945" s="292">
        <f t="shared" si="62"/>
        <v>31950000</v>
      </c>
      <c r="N945" s="85">
        <v>79488380</v>
      </c>
      <c r="O945" s="85" t="s">
        <v>7398</v>
      </c>
      <c r="P945" s="85" t="s">
        <v>9480</v>
      </c>
      <c r="Q945" s="309">
        <f t="shared" si="66"/>
        <v>45132</v>
      </c>
      <c r="R945" s="309">
        <f t="shared" si="66"/>
        <v>45132</v>
      </c>
      <c r="S945" s="309">
        <f t="shared" si="65"/>
        <v>45260</v>
      </c>
      <c r="T945" s="293"/>
      <c r="U945" s="293"/>
      <c r="V945" s="293"/>
      <c r="W945" s="294"/>
      <c r="X945" s="237">
        <f>VLOOKUP(N945,[9]Pagos!$C$2:$D$353,2,FALSE)</f>
        <v>3550000</v>
      </c>
      <c r="Y945" s="295">
        <f t="shared" si="63"/>
        <v>28400000</v>
      </c>
      <c r="Z945" s="296">
        <f t="shared" si="64"/>
        <v>0.1111111111111111</v>
      </c>
      <c r="AA945" s="85">
        <v>85455983</v>
      </c>
      <c r="AB945" s="85" t="s">
        <v>6413</v>
      </c>
      <c r="AC945" s="290" t="s">
        <v>196</v>
      </c>
      <c r="AD945" s="290" t="s">
        <v>196</v>
      </c>
      <c r="AE945" s="303"/>
      <c r="AF945" s="310" t="str">
        <f>VLOOKUP(E945,[10]Hoja1!$D$3:$E$327,2,FALSE)</f>
        <v>https://community.secop.gov.co/Public/Tendering/OpportunityDetail/Index?noticeUID=CO1.NTC.4784279&amp;isFromPublicArea=True&amp;isModal=true&amp;asPopupView=true</v>
      </c>
      <c r="AG945" s="290" t="s">
        <v>192</v>
      </c>
      <c r="AH945" s="290" t="s">
        <v>192</v>
      </c>
    </row>
    <row r="946" spans="1:34" s="297" customFormat="1" ht="15" customHeight="1" x14ac:dyDescent="0.2">
      <c r="A946" s="289">
        <v>891780111</v>
      </c>
      <c r="B946" s="289" t="s">
        <v>54</v>
      </c>
      <c r="C946" s="290" t="s">
        <v>56</v>
      </c>
      <c r="D946" s="289" t="s">
        <v>60</v>
      </c>
      <c r="E946" s="290" t="s">
        <v>9481</v>
      </c>
      <c r="F946" s="289" t="s">
        <v>61</v>
      </c>
      <c r="G946" s="85" t="s">
        <v>63</v>
      </c>
      <c r="H946" s="85" t="s">
        <v>73</v>
      </c>
      <c r="I946" s="237">
        <v>24750000</v>
      </c>
      <c r="J946" s="290"/>
      <c r="K946" s="291"/>
      <c r="L946" s="291"/>
      <c r="M946" s="292">
        <f t="shared" si="62"/>
        <v>24750000</v>
      </c>
      <c r="N946" s="85">
        <v>85474637</v>
      </c>
      <c r="O946" s="85" t="s">
        <v>8562</v>
      </c>
      <c r="P946" s="85" t="s">
        <v>9482</v>
      </c>
      <c r="Q946" s="309">
        <f t="shared" si="66"/>
        <v>45132</v>
      </c>
      <c r="R946" s="309">
        <f t="shared" si="66"/>
        <v>45132</v>
      </c>
      <c r="S946" s="309">
        <f t="shared" si="65"/>
        <v>45260</v>
      </c>
      <c r="T946" s="293"/>
      <c r="U946" s="293"/>
      <c r="V946" s="293"/>
      <c r="W946" s="294"/>
      <c r="X946" s="237"/>
      <c r="Y946" s="295">
        <f t="shared" si="63"/>
        <v>24750000</v>
      </c>
      <c r="Z946" s="296">
        <f t="shared" si="64"/>
        <v>0</v>
      </c>
      <c r="AA946" s="85">
        <v>85455983</v>
      </c>
      <c r="AB946" s="85" t="s">
        <v>6413</v>
      </c>
      <c r="AC946" s="290" t="s">
        <v>196</v>
      </c>
      <c r="AD946" s="290" t="s">
        <v>196</v>
      </c>
      <c r="AE946" s="303"/>
      <c r="AF946" s="310" t="str">
        <f>VLOOKUP(E946,[10]Hoja1!$D$3:$E$327,2,FALSE)</f>
        <v>https://community.secop.gov.co/Public/Tendering/OpportunityDetail/Index?noticeUID=CO1.NTC.4784737&amp;isFromPublicArea=True&amp;isModal=true&amp;asPopupView=true</v>
      </c>
      <c r="AG946" s="290" t="s">
        <v>192</v>
      </c>
      <c r="AH946" s="290" t="s">
        <v>192</v>
      </c>
    </row>
    <row r="947" spans="1:34" s="297" customFormat="1" ht="15" customHeight="1" x14ac:dyDescent="0.2">
      <c r="A947" s="289">
        <v>891780111</v>
      </c>
      <c r="B947" s="289" t="s">
        <v>54</v>
      </c>
      <c r="C947" s="290" t="s">
        <v>56</v>
      </c>
      <c r="D947" s="289" t="s">
        <v>60</v>
      </c>
      <c r="E947" s="290" t="s">
        <v>9483</v>
      </c>
      <c r="F947" s="289" t="s">
        <v>61</v>
      </c>
      <c r="G947" s="85" t="s">
        <v>63</v>
      </c>
      <c r="H947" s="85" t="s">
        <v>73</v>
      </c>
      <c r="I947" s="237">
        <v>13950000</v>
      </c>
      <c r="J947" s="290"/>
      <c r="K947" s="291"/>
      <c r="L947" s="291"/>
      <c r="M947" s="292">
        <f t="shared" si="62"/>
        <v>13950000</v>
      </c>
      <c r="N947" s="85">
        <v>1082892888</v>
      </c>
      <c r="O947" s="85" t="s">
        <v>8119</v>
      </c>
      <c r="P947" s="85" t="s">
        <v>9484</v>
      </c>
      <c r="Q947" s="309">
        <f t="shared" si="66"/>
        <v>45132</v>
      </c>
      <c r="R947" s="309">
        <f t="shared" si="66"/>
        <v>45132</v>
      </c>
      <c r="S947" s="309">
        <f t="shared" si="65"/>
        <v>45260</v>
      </c>
      <c r="T947" s="293"/>
      <c r="U947" s="293"/>
      <c r="V947" s="293"/>
      <c r="W947" s="294"/>
      <c r="X947" s="237">
        <f>VLOOKUP(N947,[9]Pagos!$C$2:$D$353,2,FALSE)</f>
        <v>1550000</v>
      </c>
      <c r="Y947" s="295">
        <f t="shared" si="63"/>
        <v>12400000</v>
      </c>
      <c r="Z947" s="296">
        <f t="shared" si="64"/>
        <v>0.1111111111111111</v>
      </c>
      <c r="AA947" s="85"/>
      <c r="AB947" s="85" t="s">
        <v>9081</v>
      </c>
      <c r="AC947" s="290" t="s">
        <v>196</v>
      </c>
      <c r="AD947" s="290" t="s">
        <v>196</v>
      </c>
      <c r="AE947" s="303"/>
      <c r="AF947" s="310" t="str">
        <f>VLOOKUP(E947,[10]Hoja1!$D$3:$E$327,2,FALSE)</f>
        <v>https://community.secop.gov.co/Public/Tendering/OpportunityDetail/Index?noticeUID=CO1.NTC.4784695&amp;isFromPublicArea=True&amp;isModal=true&amp;asPopupView=true</v>
      </c>
      <c r="AG947" s="290" t="s">
        <v>192</v>
      </c>
      <c r="AH947" s="290" t="s">
        <v>192</v>
      </c>
    </row>
    <row r="948" spans="1:34" s="297" customFormat="1" ht="15" customHeight="1" x14ac:dyDescent="0.2">
      <c r="A948" s="289">
        <v>891780111</v>
      </c>
      <c r="B948" s="289" t="s">
        <v>54</v>
      </c>
      <c r="C948" s="290" t="s">
        <v>56</v>
      </c>
      <c r="D948" s="289" t="s">
        <v>60</v>
      </c>
      <c r="E948" s="290" t="s">
        <v>9485</v>
      </c>
      <c r="F948" s="289" t="s">
        <v>61</v>
      </c>
      <c r="G948" s="85" t="s">
        <v>63</v>
      </c>
      <c r="H948" s="85" t="s">
        <v>73</v>
      </c>
      <c r="I948" s="237">
        <v>8550000</v>
      </c>
      <c r="J948" s="290"/>
      <c r="K948" s="291"/>
      <c r="L948" s="291"/>
      <c r="M948" s="292">
        <f t="shared" si="62"/>
        <v>8550000</v>
      </c>
      <c r="N948" s="85">
        <v>1083038270</v>
      </c>
      <c r="O948" s="85" t="s">
        <v>7022</v>
      </c>
      <c r="P948" s="85" t="s">
        <v>9486</v>
      </c>
      <c r="Q948" s="309">
        <f t="shared" si="66"/>
        <v>45132</v>
      </c>
      <c r="R948" s="309">
        <f t="shared" si="66"/>
        <v>45132</v>
      </c>
      <c r="S948" s="309">
        <f t="shared" si="65"/>
        <v>45260</v>
      </c>
      <c r="T948" s="293"/>
      <c r="U948" s="293"/>
      <c r="V948" s="293"/>
      <c r="W948" s="294"/>
      <c r="X948" s="237">
        <f>VLOOKUP(N948,[9]Pagos!$C$2:$D$353,2,FALSE)</f>
        <v>950000</v>
      </c>
      <c r="Y948" s="295">
        <f t="shared" si="63"/>
        <v>7600000</v>
      </c>
      <c r="Z948" s="296">
        <f t="shared" si="64"/>
        <v>0.1111111111111111</v>
      </c>
      <c r="AA948" s="85">
        <v>36665858</v>
      </c>
      <c r="AB948" s="85" t="s">
        <v>9432</v>
      </c>
      <c r="AC948" s="290" t="s">
        <v>196</v>
      </c>
      <c r="AD948" s="290" t="s">
        <v>196</v>
      </c>
      <c r="AE948" s="303"/>
      <c r="AF948" s="310" t="str">
        <f>VLOOKUP(E948,[10]Hoja1!$D$3:$E$327,2,FALSE)</f>
        <v>https://community.secop.gov.co/Public/Tendering/OpportunityDetail/Index?noticeUID=CO1.NTC.4785563&amp;isFromPublicArea=True&amp;isModal=true&amp;asPopupView=true</v>
      </c>
      <c r="AG948" s="290" t="s">
        <v>192</v>
      </c>
      <c r="AH948" s="290" t="s">
        <v>192</v>
      </c>
    </row>
    <row r="949" spans="1:34" s="297" customFormat="1" ht="15" customHeight="1" x14ac:dyDescent="0.2">
      <c r="A949" s="289">
        <v>891780111</v>
      </c>
      <c r="B949" s="289" t="s">
        <v>54</v>
      </c>
      <c r="C949" s="290" t="s">
        <v>56</v>
      </c>
      <c r="D949" s="289" t="s">
        <v>60</v>
      </c>
      <c r="E949" s="290" t="s">
        <v>9487</v>
      </c>
      <c r="F949" s="289" t="s">
        <v>61</v>
      </c>
      <c r="G949" s="85" t="s">
        <v>63</v>
      </c>
      <c r="H949" s="85" t="s">
        <v>73</v>
      </c>
      <c r="I949" s="237">
        <v>13950000</v>
      </c>
      <c r="J949" s="290"/>
      <c r="K949" s="291"/>
      <c r="L949" s="291"/>
      <c r="M949" s="292">
        <f t="shared" si="62"/>
        <v>13950000</v>
      </c>
      <c r="N949" s="85">
        <v>57463967</v>
      </c>
      <c r="O949" s="85" t="s">
        <v>7381</v>
      </c>
      <c r="P949" s="85" t="s">
        <v>9488</v>
      </c>
      <c r="Q949" s="309">
        <f t="shared" ref="Q949:R954" si="67">DATE(2023,7,25)</f>
        <v>45132</v>
      </c>
      <c r="R949" s="309">
        <f t="shared" si="67"/>
        <v>45132</v>
      </c>
      <c r="S949" s="309">
        <f t="shared" si="65"/>
        <v>45260</v>
      </c>
      <c r="T949" s="293"/>
      <c r="U949" s="293"/>
      <c r="V949" s="293"/>
      <c r="W949" s="294"/>
      <c r="X949" s="237">
        <f>VLOOKUP(N949,[9]Pagos!$C$2:$D$353,2,FALSE)</f>
        <v>1550000</v>
      </c>
      <c r="Y949" s="295">
        <f t="shared" si="63"/>
        <v>12400000</v>
      </c>
      <c r="Z949" s="296">
        <f t="shared" si="64"/>
        <v>0.1111111111111111</v>
      </c>
      <c r="AA949" s="85">
        <v>7601831</v>
      </c>
      <c r="AB949" s="85" t="s">
        <v>7383</v>
      </c>
      <c r="AC949" s="290" t="s">
        <v>196</v>
      </c>
      <c r="AD949" s="290" t="s">
        <v>196</v>
      </c>
      <c r="AE949" s="303"/>
      <c r="AF949" s="310" t="str">
        <f>VLOOKUP(E949,[10]Hoja1!$D$3:$E$327,2,FALSE)</f>
        <v>https://community.secop.gov.co/Public/Tendering/OpportunityDetail/Index?noticeUID=CO1.NTC.4785399&amp;isFromPublicArea=True&amp;isModal=true&amp;asPopupView=true</v>
      </c>
      <c r="AG949" s="290" t="s">
        <v>192</v>
      </c>
      <c r="AH949" s="290" t="s">
        <v>192</v>
      </c>
    </row>
    <row r="950" spans="1:34" s="297" customFormat="1" ht="15" customHeight="1" x14ac:dyDescent="0.2">
      <c r="A950" s="289">
        <v>891780111</v>
      </c>
      <c r="B950" s="289" t="s">
        <v>54</v>
      </c>
      <c r="C950" s="290" t="s">
        <v>56</v>
      </c>
      <c r="D950" s="289" t="s">
        <v>60</v>
      </c>
      <c r="E950" s="290" t="s">
        <v>9489</v>
      </c>
      <c r="F950" s="289" t="s">
        <v>61</v>
      </c>
      <c r="G950" s="85" t="s">
        <v>63</v>
      </c>
      <c r="H950" s="85" t="s">
        <v>73</v>
      </c>
      <c r="I950" s="237">
        <v>8550000</v>
      </c>
      <c r="J950" s="290"/>
      <c r="K950" s="291"/>
      <c r="L950" s="291"/>
      <c r="M950" s="292">
        <f t="shared" si="62"/>
        <v>8550000</v>
      </c>
      <c r="N950" s="85">
        <v>19517646</v>
      </c>
      <c r="O950" s="85" t="s">
        <v>7299</v>
      </c>
      <c r="P950" s="85" t="s">
        <v>9490</v>
      </c>
      <c r="Q950" s="309">
        <f t="shared" si="67"/>
        <v>45132</v>
      </c>
      <c r="R950" s="309">
        <f t="shared" si="67"/>
        <v>45132</v>
      </c>
      <c r="S950" s="309">
        <f t="shared" si="65"/>
        <v>45260</v>
      </c>
      <c r="T950" s="293"/>
      <c r="U950" s="293"/>
      <c r="V950" s="293"/>
      <c r="W950" s="294"/>
      <c r="X950" s="237">
        <f>VLOOKUP(N950,[9]Pagos!$C$2:$D$353,2,FALSE)</f>
        <v>950000</v>
      </c>
      <c r="Y950" s="295">
        <f t="shared" si="63"/>
        <v>7600000</v>
      </c>
      <c r="Z950" s="296">
        <f t="shared" si="64"/>
        <v>0.1111111111111111</v>
      </c>
      <c r="AA950" s="85">
        <v>85152695</v>
      </c>
      <c r="AB950" s="85" t="s">
        <v>8965</v>
      </c>
      <c r="AC950" s="290" t="s">
        <v>196</v>
      </c>
      <c r="AD950" s="290" t="s">
        <v>196</v>
      </c>
      <c r="AE950" s="303"/>
      <c r="AF950" s="310" t="str">
        <f>VLOOKUP(E950,[10]Hoja1!$D$3:$E$327,2,FALSE)</f>
        <v>https://community.secop.gov.co/Public/Tendering/OpportunityDetail/Index?noticeUID=CO1.NTC.4785672&amp;isFromPublicArea=True&amp;isModal=true&amp;asPopupView=true</v>
      </c>
      <c r="AG950" s="290" t="s">
        <v>192</v>
      </c>
      <c r="AH950" s="290" t="s">
        <v>192</v>
      </c>
    </row>
    <row r="951" spans="1:34" s="297" customFormat="1" ht="15" customHeight="1" x14ac:dyDescent="0.2">
      <c r="A951" s="289">
        <v>891780111</v>
      </c>
      <c r="B951" s="289" t="s">
        <v>54</v>
      </c>
      <c r="C951" s="290" t="s">
        <v>56</v>
      </c>
      <c r="D951" s="289" t="s">
        <v>60</v>
      </c>
      <c r="E951" s="290" t="s">
        <v>9491</v>
      </c>
      <c r="F951" s="289" t="s">
        <v>61</v>
      </c>
      <c r="G951" s="85" t="s">
        <v>63</v>
      </c>
      <c r="H951" s="85" t="s">
        <v>73</v>
      </c>
      <c r="I951" s="237">
        <v>9900000</v>
      </c>
      <c r="J951" s="290"/>
      <c r="K951" s="291"/>
      <c r="L951" s="291"/>
      <c r="M951" s="292">
        <f t="shared" si="62"/>
        <v>9900000</v>
      </c>
      <c r="N951" s="85">
        <v>1007642968</v>
      </c>
      <c r="O951" s="85" t="s">
        <v>7759</v>
      </c>
      <c r="P951" s="85" t="s">
        <v>9492</v>
      </c>
      <c r="Q951" s="309">
        <f t="shared" si="67"/>
        <v>45132</v>
      </c>
      <c r="R951" s="309">
        <f t="shared" si="67"/>
        <v>45132</v>
      </c>
      <c r="S951" s="309">
        <f t="shared" si="65"/>
        <v>45260</v>
      </c>
      <c r="T951" s="293"/>
      <c r="U951" s="293"/>
      <c r="V951" s="293"/>
      <c r="W951" s="294"/>
      <c r="X951" s="237">
        <f>VLOOKUP(N951,[9]Pagos!$C$2:$D$353,2,FALSE)</f>
        <v>1100000</v>
      </c>
      <c r="Y951" s="295">
        <f t="shared" si="63"/>
        <v>8800000</v>
      </c>
      <c r="Z951" s="296">
        <f t="shared" si="64"/>
        <v>0.1111111111111111</v>
      </c>
      <c r="AA951" s="85">
        <v>36557666</v>
      </c>
      <c r="AB951" s="85" t="s">
        <v>6916</v>
      </c>
      <c r="AC951" s="290" t="s">
        <v>196</v>
      </c>
      <c r="AD951" s="290" t="s">
        <v>196</v>
      </c>
      <c r="AE951" s="303"/>
      <c r="AF951" s="310" t="str">
        <f>VLOOKUP(E951,[10]Hoja1!$D$3:$E$327,2,FALSE)</f>
        <v>https://community.secop.gov.co/Public/Tendering/OpportunityDetail/Index?noticeUID=CO1.NTC.4786147&amp;isFromPublicArea=True&amp;isModal=true&amp;asPopupView=true</v>
      </c>
      <c r="AG951" s="290" t="s">
        <v>192</v>
      </c>
      <c r="AH951" s="290" t="s">
        <v>192</v>
      </c>
    </row>
    <row r="952" spans="1:34" s="297" customFormat="1" ht="15" customHeight="1" x14ac:dyDescent="0.2">
      <c r="A952" s="289">
        <v>891780111</v>
      </c>
      <c r="B952" s="289" t="s">
        <v>54</v>
      </c>
      <c r="C952" s="290" t="s">
        <v>56</v>
      </c>
      <c r="D952" s="289" t="s">
        <v>60</v>
      </c>
      <c r="E952" s="290" t="s">
        <v>9493</v>
      </c>
      <c r="F952" s="289" t="s">
        <v>61</v>
      </c>
      <c r="G952" s="85" t="s">
        <v>63</v>
      </c>
      <c r="H952" s="85" t="s">
        <v>73</v>
      </c>
      <c r="I952" s="237">
        <v>11250000</v>
      </c>
      <c r="J952" s="290"/>
      <c r="K952" s="291"/>
      <c r="L952" s="291"/>
      <c r="M952" s="292">
        <f t="shared" si="62"/>
        <v>11250000</v>
      </c>
      <c r="N952" s="85">
        <v>57303000</v>
      </c>
      <c r="O952" s="85" t="s">
        <v>7763</v>
      </c>
      <c r="P952" s="85" t="s">
        <v>9494</v>
      </c>
      <c r="Q952" s="309">
        <f t="shared" si="67"/>
        <v>45132</v>
      </c>
      <c r="R952" s="309">
        <f t="shared" si="67"/>
        <v>45132</v>
      </c>
      <c r="S952" s="309">
        <f t="shared" si="65"/>
        <v>45260</v>
      </c>
      <c r="T952" s="293"/>
      <c r="U952" s="293"/>
      <c r="V952" s="293"/>
      <c r="W952" s="294"/>
      <c r="X952" s="237">
        <f>VLOOKUP(N952,[9]Pagos!$C$2:$D$353,2,FALSE)</f>
        <v>1250000</v>
      </c>
      <c r="Y952" s="295">
        <f t="shared" si="63"/>
        <v>10000000</v>
      </c>
      <c r="Z952" s="296">
        <f t="shared" si="64"/>
        <v>0.1111111111111111</v>
      </c>
      <c r="AA952" s="85">
        <v>85471791</v>
      </c>
      <c r="AB952" s="85" t="s">
        <v>7172</v>
      </c>
      <c r="AC952" s="290" t="s">
        <v>196</v>
      </c>
      <c r="AD952" s="290" t="s">
        <v>196</v>
      </c>
      <c r="AE952" s="303"/>
      <c r="AF952" s="310" t="str">
        <f>VLOOKUP(E952,[10]Hoja1!$D$3:$E$327,2,FALSE)</f>
        <v>https://community.secop.gov.co/Public/Tendering/OpportunityDetail/Index?noticeUID=CO1.NTC.4785439&amp;isFromPublicArea=True&amp;isModal=true&amp;asPopupView=true</v>
      </c>
      <c r="AG952" s="290" t="s">
        <v>192</v>
      </c>
      <c r="AH952" s="290" t="s">
        <v>192</v>
      </c>
    </row>
    <row r="953" spans="1:34" s="297" customFormat="1" ht="15" customHeight="1" x14ac:dyDescent="0.2">
      <c r="A953" s="289">
        <v>891780111</v>
      </c>
      <c r="B953" s="289" t="s">
        <v>54</v>
      </c>
      <c r="C953" s="290" t="s">
        <v>56</v>
      </c>
      <c r="D953" s="289" t="s">
        <v>60</v>
      </c>
      <c r="E953" s="290" t="s">
        <v>9495</v>
      </c>
      <c r="F953" s="289" t="s">
        <v>61</v>
      </c>
      <c r="G953" s="85" t="s">
        <v>63</v>
      </c>
      <c r="H953" s="85" t="s">
        <v>73</v>
      </c>
      <c r="I953" s="237">
        <v>9900000</v>
      </c>
      <c r="J953" s="290"/>
      <c r="K953" s="291"/>
      <c r="L953" s="291"/>
      <c r="M953" s="292">
        <f t="shared" si="62"/>
        <v>9900000</v>
      </c>
      <c r="N953" s="85">
        <v>1082948279</v>
      </c>
      <c r="O953" s="85" t="s">
        <v>7034</v>
      </c>
      <c r="P953" s="85" t="s">
        <v>9496</v>
      </c>
      <c r="Q953" s="309">
        <f t="shared" si="67"/>
        <v>45132</v>
      </c>
      <c r="R953" s="309">
        <f t="shared" si="67"/>
        <v>45132</v>
      </c>
      <c r="S953" s="309">
        <f t="shared" si="65"/>
        <v>45260</v>
      </c>
      <c r="T953" s="293"/>
      <c r="U953" s="293"/>
      <c r="V953" s="293"/>
      <c r="W953" s="294"/>
      <c r="X953" s="237"/>
      <c r="Y953" s="295">
        <f t="shared" si="63"/>
        <v>9900000</v>
      </c>
      <c r="Z953" s="296">
        <f t="shared" si="64"/>
        <v>0</v>
      </c>
      <c r="AA953" s="85">
        <v>36557666</v>
      </c>
      <c r="AB953" s="85" t="s">
        <v>6916</v>
      </c>
      <c r="AC953" s="290" t="s">
        <v>196</v>
      </c>
      <c r="AD953" s="290" t="s">
        <v>196</v>
      </c>
      <c r="AE953" s="303"/>
      <c r="AF953" s="310" t="str">
        <f>VLOOKUP(E953,[10]Hoja1!$D$3:$E$327,2,FALSE)</f>
        <v>https://community.secop.gov.co/Public/Tendering/OpportunityDetail/Index?noticeUID=CO1.NTC.4785449&amp;isFromPublicArea=True&amp;isModal=true&amp;asPopupView=true</v>
      </c>
      <c r="AG953" s="290" t="s">
        <v>192</v>
      </c>
      <c r="AH953" s="290" t="s">
        <v>192</v>
      </c>
    </row>
    <row r="954" spans="1:34" s="297" customFormat="1" ht="15" customHeight="1" x14ac:dyDescent="0.2">
      <c r="A954" s="289">
        <v>891780111</v>
      </c>
      <c r="B954" s="289" t="s">
        <v>54</v>
      </c>
      <c r="C954" s="290" t="s">
        <v>56</v>
      </c>
      <c r="D954" s="289" t="s">
        <v>60</v>
      </c>
      <c r="E954" s="290" t="s">
        <v>9497</v>
      </c>
      <c r="F954" s="289" t="s">
        <v>61</v>
      </c>
      <c r="G954" s="85" t="s">
        <v>63</v>
      </c>
      <c r="H954" s="85" t="s">
        <v>73</v>
      </c>
      <c r="I954" s="237">
        <v>9314000</v>
      </c>
      <c r="J954" s="290"/>
      <c r="K954" s="291"/>
      <c r="L954" s="291"/>
      <c r="M954" s="292">
        <f t="shared" si="62"/>
        <v>9314000</v>
      </c>
      <c r="N954" s="85">
        <v>1082842092</v>
      </c>
      <c r="O954" s="85" t="s">
        <v>8193</v>
      </c>
      <c r="P954" s="85" t="s">
        <v>9498</v>
      </c>
      <c r="Q954" s="309">
        <f t="shared" si="67"/>
        <v>45132</v>
      </c>
      <c r="R954" s="309">
        <f t="shared" si="67"/>
        <v>45132</v>
      </c>
      <c r="S954" s="309">
        <f t="shared" si="65"/>
        <v>45260</v>
      </c>
      <c r="T954" s="293"/>
      <c r="U954" s="293"/>
      <c r="V954" s="293"/>
      <c r="W954" s="294"/>
      <c r="X954" s="237">
        <f>VLOOKUP(N954,[9]Pagos!$C$2:$D$353,2,FALSE)</f>
        <v>514000</v>
      </c>
      <c r="Y954" s="295">
        <f t="shared" si="63"/>
        <v>8800000</v>
      </c>
      <c r="Z954" s="296">
        <f t="shared" si="64"/>
        <v>5.5185741893923126E-2</v>
      </c>
      <c r="AA954" s="85">
        <v>1082868728</v>
      </c>
      <c r="AB954" s="85" t="s">
        <v>6010</v>
      </c>
      <c r="AC954" s="290" t="s">
        <v>196</v>
      </c>
      <c r="AD954" s="290" t="s">
        <v>196</v>
      </c>
      <c r="AE954" s="303"/>
      <c r="AF954" s="310" t="str">
        <f>VLOOKUP(E954,[10]Hoja1!$D$3:$E$327,2,FALSE)</f>
        <v>https://community.secop.gov.co/Public/Tendering/OpportunityDetail/Index?noticeUID=CO1.NTC.4785457&amp;isFromPublicArea=True&amp;isModal=true&amp;asPopupView=true</v>
      </c>
      <c r="AG954" s="290" t="s">
        <v>192</v>
      </c>
      <c r="AH954" s="290" t="s">
        <v>192</v>
      </c>
    </row>
    <row r="955" spans="1:34" s="297" customFormat="1" ht="15" customHeight="1" x14ac:dyDescent="0.2">
      <c r="A955" s="289">
        <v>891780111</v>
      </c>
      <c r="B955" s="289" t="s">
        <v>54</v>
      </c>
      <c r="C955" s="290" t="s">
        <v>56</v>
      </c>
      <c r="D955" s="289" t="s">
        <v>60</v>
      </c>
      <c r="E955" s="290" t="s">
        <v>9499</v>
      </c>
      <c r="F955" s="289" t="s">
        <v>61</v>
      </c>
      <c r="G955" s="85" t="s">
        <v>63</v>
      </c>
      <c r="H955" s="85" t="s">
        <v>73</v>
      </c>
      <c r="I955" s="237">
        <v>11250000</v>
      </c>
      <c r="J955" s="290"/>
      <c r="K955" s="291"/>
      <c r="L955" s="291"/>
      <c r="M955" s="292">
        <f t="shared" si="62"/>
        <v>11250000</v>
      </c>
      <c r="N955" s="85">
        <v>42155216</v>
      </c>
      <c r="O955" s="85" t="s">
        <v>7946</v>
      </c>
      <c r="P955" s="85" t="s">
        <v>9500</v>
      </c>
      <c r="Q955" s="309">
        <f>DATE(2023,7,26)</f>
        <v>45133</v>
      </c>
      <c r="R955" s="309">
        <f>DATE(2023,7,26)</f>
        <v>45133</v>
      </c>
      <c r="S955" s="309">
        <f t="shared" si="65"/>
        <v>45260</v>
      </c>
      <c r="T955" s="293"/>
      <c r="U955" s="293"/>
      <c r="V955" s="293"/>
      <c r="W955" s="294"/>
      <c r="X955" s="237">
        <f>VLOOKUP(N955,[9]Pagos!$C$2:$D$353,2,FALSE)</f>
        <v>1250000</v>
      </c>
      <c r="Y955" s="295">
        <f t="shared" si="63"/>
        <v>10000000</v>
      </c>
      <c r="Z955" s="296">
        <f t="shared" si="64"/>
        <v>0.1111111111111111</v>
      </c>
      <c r="AA955" s="85">
        <v>85471791</v>
      </c>
      <c r="AB955" s="85" t="s">
        <v>7172</v>
      </c>
      <c r="AC955" s="290" t="s">
        <v>196</v>
      </c>
      <c r="AD955" s="290" t="s">
        <v>196</v>
      </c>
      <c r="AE955" s="303"/>
      <c r="AF955" s="310" t="str">
        <f>VLOOKUP(E955,[10]Hoja1!$D$3:$E$327,2,FALSE)</f>
        <v>https://community.secop.gov.co/Public/Tendering/OpportunityDetail/Index?noticeUID=CO1.NTC.4785624&amp;isFromPublicArea=True&amp;isModal=true&amp;asPopupView=true</v>
      </c>
      <c r="AG955" s="290" t="s">
        <v>192</v>
      </c>
      <c r="AH955" s="290" t="s">
        <v>192</v>
      </c>
    </row>
    <row r="956" spans="1:34" s="231" customFormat="1" x14ac:dyDescent="0.25">
      <c r="A956" s="313"/>
      <c r="B956" s="313"/>
      <c r="C956" s="188" t="s">
        <v>311</v>
      </c>
      <c r="D956" s="313"/>
      <c r="E956" s="188">
        <f>COUNTA(E5:E955)</f>
        <v>951</v>
      </c>
      <c r="F956" s="313"/>
      <c r="G956" s="313"/>
      <c r="H956" s="313"/>
      <c r="I956" s="314">
        <f>SUM(I5:I955)</f>
        <v>11596635000</v>
      </c>
      <c r="J956" s="188">
        <f>COUNTA(J5:J955)</f>
        <v>356</v>
      </c>
      <c r="K956" s="315">
        <f>SUM(K5:K955)</f>
        <v>659279150</v>
      </c>
      <c r="L956" s="315">
        <f>SUM(L5:L955)</f>
        <v>150675000</v>
      </c>
      <c r="M956" s="314">
        <f>SUM(M5:M955)</f>
        <v>12105239150</v>
      </c>
      <c r="N956" s="313"/>
      <c r="O956" s="313"/>
      <c r="P956" s="313"/>
      <c r="Q956" s="188"/>
      <c r="R956" s="188"/>
      <c r="S956" s="188"/>
      <c r="T956" s="188"/>
      <c r="U956" s="188"/>
      <c r="V956" s="188"/>
      <c r="W956" s="316"/>
      <c r="X956" s="319">
        <f>SUM(X5:X955)</f>
        <v>8089356850</v>
      </c>
      <c r="Y956" s="317">
        <f>SUM(Y5:Y955)</f>
        <v>4015882300</v>
      </c>
      <c r="Z956" s="69"/>
      <c r="AA956" s="313"/>
      <c r="AB956" s="313"/>
      <c r="AC956" s="188"/>
      <c r="AD956" s="188"/>
      <c r="AE956" s="313"/>
      <c r="AF956" s="313"/>
      <c r="AG956" s="188"/>
      <c r="AH956" s="188"/>
    </row>
  </sheetData>
  <mergeCells count="5">
    <mergeCell ref="D1:E1"/>
    <mergeCell ref="G2:H2"/>
    <mergeCell ref="K2:P3"/>
    <mergeCell ref="G3:H3"/>
    <mergeCell ref="AF3:AH3"/>
  </mergeCells>
  <conditionalFormatting sqref="D1">
    <cfRule type="containsText" dxfId="8" priority="2" operator="containsText" text="Seleccione Periodo">
      <formula>NOT(ISERROR(SEARCH("Seleccione Periodo",D1)))</formula>
    </cfRule>
  </conditionalFormatting>
  <conditionalFormatting sqref="D2">
    <cfRule type="containsText" dxfId="7" priority="3" operator="containsText" text="Seleccione Ordenador">
      <formula>NOT(ISERROR(SEARCH("Seleccione Ordenador",D2)))</formula>
    </cfRule>
  </conditionalFormatting>
  <conditionalFormatting sqref="Z5:Z955">
    <cfRule type="cellIs" dxfId="6" priority="1" stopIfTrue="1" operator="equal">
      <formula>0</formula>
    </cfRule>
  </conditionalFormatting>
  <dataValidations count="9">
    <dataValidation type="list" allowBlank="1" showInputMessage="1" showErrorMessage="1" sqref="T5:T613" xr:uid="{13BFDF52-6199-4E26-9299-D89DE47746EF}">
      <formula1>"SI,N/A"</formula1>
    </dataValidation>
    <dataValidation type="list" allowBlank="1" showInputMessage="1" showErrorMessage="1" sqref="AH5:AH703" xr:uid="{DC1D2A51-B983-4416-ABC6-DB3726B0942C}">
      <formula1>"SI,NA por TIPO Contrato"</formula1>
    </dataValidation>
    <dataValidation type="list" allowBlank="1" showInputMessage="1" showErrorMessage="1" sqref="AH704:AH955 AG5:AG955" xr:uid="{26E000D6-1D93-4504-9C23-CE1F2B3B1584}">
      <formula1>"SI,NO HA INICIADO"</formula1>
    </dataValidation>
    <dataValidation type="list" allowBlank="1" showInputMessage="1" showErrorMessage="1" sqref="D1" xr:uid="{AA9E0548-39D2-4F6D-98D0-EF4E33BA4CAF}">
      <formula1>cortea</formula1>
    </dataValidation>
    <dataValidation type="list" allowBlank="1" showInputMessage="1" showErrorMessage="1" sqref="D2" xr:uid="{8591325E-99FD-4BBC-904B-39D99142590D}">
      <formula1>Delegatarios</formula1>
    </dataValidation>
    <dataValidation type="list" allowBlank="1" showInputMessage="1" showErrorMessage="1" sqref="AC5:AD955" xr:uid="{E05D8137-8237-4A38-AEBF-CCA208D0BDB2}">
      <formula1>"SI,NO"</formula1>
    </dataValidation>
    <dataValidation type="list" allowBlank="1" showInputMessage="1" showErrorMessage="1" sqref="H5:H955" xr:uid="{523FF716-8F65-4585-B674-B8A99E2DBFDA}">
      <formula1>tipologia</formula1>
    </dataValidation>
    <dataValidation type="list" allowBlank="1" showInputMessage="1" showErrorMessage="1" sqref="G5:G955" xr:uid="{69AD8063-7CAE-4663-A6FB-54D8CE91C376}">
      <formula1>modalidad</formula1>
    </dataValidation>
    <dataValidation type="list" allowBlank="1" showInputMessage="1" showErrorMessage="1" sqref="C5:C955" xr:uid="{475730DF-AE13-4187-BB87-4563766902F9}">
      <formula1>rubro</formula1>
    </dataValidation>
  </dataValidations>
  <pageMargins left="0" right="0" top="0" bottom="0" header="0.3" footer="0.3"/>
  <pageSetup paperSize="5" scale="3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29931-CB55-4D2A-9CA5-F8778B8BA2AB}">
  <sheetPr>
    <tabColor theme="4" tint="0.59999389629810485"/>
  </sheetPr>
  <dimension ref="A1:AH774"/>
  <sheetViews>
    <sheetView zoomScaleNormal="100" zoomScaleSheetLayoutView="100" workbookViewId="0">
      <selection activeCell="J7" sqref="J7"/>
    </sheetView>
  </sheetViews>
  <sheetFormatPr baseColWidth="10" defaultRowHeight="15" x14ac:dyDescent="0.25"/>
  <cols>
    <col min="1" max="1" width="7.140625" customWidth="1"/>
    <col min="2" max="2" width="10.5703125" customWidth="1"/>
    <col min="3" max="3" width="20.5703125" customWidth="1"/>
    <col min="4" max="4" width="9" customWidth="1"/>
    <col min="5" max="5" width="20.42578125" customWidth="1"/>
    <col min="6" max="6" width="7.5703125" customWidth="1"/>
    <col min="7" max="7" width="14.85546875" customWidth="1"/>
    <col min="8" max="8" width="27.42578125" customWidth="1"/>
    <col min="9" max="9" width="18.85546875" style="8" customWidth="1"/>
    <col min="10" max="10" width="19.85546875" customWidth="1"/>
    <col min="11" max="11" width="17" customWidth="1"/>
    <col min="12" max="12" width="16.85546875" customWidth="1"/>
    <col min="13" max="13" width="18.140625" customWidth="1"/>
    <col min="14" max="14" width="18" customWidth="1"/>
    <col min="15" max="15" width="33.42578125" customWidth="1"/>
    <col min="16" max="16" width="32.140625" customWidth="1"/>
    <col min="17" max="17" width="15.5703125" customWidth="1"/>
    <col min="18" max="18" width="14.42578125" customWidth="1"/>
    <col min="19" max="22" width="12.5703125" customWidth="1"/>
    <col min="23" max="23" width="20.5703125" style="191" customWidth="1"/>
    <col min="24" max="24" width="19.28515625" customWidth="1"/>
    <col min="25" max="25" width="20" customWidth="1"/>
    <col min="26" max="26" width="20.140625" style="32" customWidth="1"/>
    <col min="27" max="27" width="14.42578125" customWidth="1"/>
    <col min="28" max="28" width="34.140625" bestFit="1" customWidth="1"/>
    <col min="31" max="31" width="14.85546875" customWidth="1"/>
    <col min="32" max="33" width="8.42578125" customWidth="1"/>
    <col min="34" max="34" width="15.85546875"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27</v>
      </c>
      <c r="E2" s="336"/>
      <c r="F2" s="336"/>
      <c r="G2" s="337" t="s">
        <v>99</v>
      </c>
      <c r="H2" s="337"/>
      <c r="I2" s="21">
        <f>VLOOKUP($D$2,[3]Datos!$B$20:$C$35,2,FALSE)</f>
        <v>1000</v>
      </c>
      <c r="J2" s="22" t="s">
        <v>85</v>
      </c>
      <c r="K2" s="339" t="str">
        <f>VLOOKUP($D$2,[3]Datos!$B$20:$D$35,3,FALSE)</f>
        <v>Sobre los recursos y fondos que segun las funciones esten a su cargo, proyectos del plan de acción que sea responsable, y aquellos generados en convenios o contratos</v>
      </c>
      <c r="L2" s="339"/>
      <c r="M2" s="339"/>
      <c r="N2" s="339"/>
      <c r="O2" s="339"/>
      <c r="P2" s="339"/>
    </row>
    <row r="3" spans="1:34" ht="15.75" customHeight="1" x14ac:dyDescent="0.25">
      <c r="G3" s="338"/>
      <c r="H3" s="338"/>
      <c r="I3" s="21">
        <f>I2*I1</f>
        <v>1160000000</v>
      </c>
      <c r="J3" s="22" t="s">
        <v>93</v>
      </c>
      <c r="K3" s="340"/>
      <c r="L3" s="340"/>
      <c r="M3" s="340"/>
      <c r="N3" s="340"/>
      <c r="O3" s="340"/>
      <c r="P3" s="340"/>
      <c r="AF3" s="347" t="s">
        <v>80</v>
      </c>
      <c r="AG3" s="348"/>
      <c r="AH3" s="349"/>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164" t="s">
        <v>114</v>
      </c>
      <c r="U4" s="165" t="s">
        <v>112</v>
      </c>
      <c r="V4" s="165" t="s">
        <v>113</v>
      </c>
      <c r="W4" s="192" t="s">
        <v>115</v>
      </c>
      <c r="X4" s="28" t="s">
        <v>16</v>
      </c>
      <c r="Y4" s="28" t="s">
        <v>17</v>
      </c>
      <c r="Z4" s="33" t="s">
        <v>18</v>
      </c>
      <c r="AA4" s="24" t="s">
        <v>19</v>
      </c>
      <c r="AB4" s="24" t="s">
        <v>20</v>
      </c>
      <c r="AC4" s="24" t="s">
        <v>52</v>
      </c>
      <c r="AD4" s="24" t="s">
        <v>53</v>
      </c>
      <c r="AE4" s="27" t="s">
        <v>94</v>
      </c>
      <c r="AF4" s="24" t="s">
        <v>83</v>
      </c>
      <c r="AG4" s="24" t="s">
        <v>81</v>
      </c>
      <c r="AH4" s="24" t="s">
        <v>82</v>
      </c>
    </row>
    <row r="5" spans="1:34" s="4" customFormat="1" x14ac:dyDescent="0.25">
      <c r="A5" s="38">
        <v>891780112</v>
      </c>
      <c r="B5" s="38" t="s">
        <v>54</v>
      </c>
      <c r="C5" s="14" t="str">
        <f>'[11]Listado de Contratos'!C5</f>
        <v>INVERSION</v>
      </c>
      <c r="D5" s="38" t="s">
        <v>60</v>
      </c>
      <c r="E5" s="1" t="str">
        <f>'[11]Listado de Contratos'!E5</f>
        <v>OPSP-VEX-0362-2023</v>
      </c>
      <c r="F5" s="38" t="s">
        <v>61</v>
      </c>
      <c r="G5" s="1" t="s">
        <v>69</v>
      </c>
      <c r="H5" s="1" t="str">
        <f>'[11]Listado de Contratos'!H5</f>
        <v>PRESTACION DE SERVICIOS</v>
      </c>
      <c r="I5" s="9">
        <f>'[11]Listado de Contratos'!I5</f>
        <v>45600000</v>
      </c>
      <c r="J5" s="94"/>
      <c r="K5" s="2"/>
      <c r="L5" s="2"/>
      <c r="M5" s="40">
        <f>I5+K5-L5</f>
        <v>45600000</v>
      </c>
      <c r="N5" s="1">
        <v>36722139</v>
      </c>
      <c r="O5" s="1" t="str">
        <f>'[11]Listado de Contratos'!O5</f>
        <v>SANDRA PATRICIA ZAPATA FRAGOSO</v>
      </c>
      <c r="P5" s="1" t="str">
        <f>'[11]Listado de Contratos'!P5</f>
        <v>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v>
      </c>
      <c r="Q5" s="3">
        <v>44971</v>
      </c>
      <c r="R5" s="3">
        <v>44971</v>
      </c>
      <c r="S5" s="3">
        <v>45316</v>
      </c>
      <c r="T5" s="35"/>
      <c r="U5" s="3"/>
      <c r="V5" s="3"/>
      <c r="W5" s="50"/>
      <c r="X5" s="9">
        <f>3800000+3800000+3800000+3800000+3800000</f>
        <v>19000000</v>
      </c>
      <c r="Y5" s="9">
        <f t="shared" ref="Y5:Y24" si="0">M5-X5</f>
        <v>26600000</v>
      </c>
      <c r="Z5" s="34">
        <f t="shared" ref="Z5:Z68" si="1">+(X5/M5)</f>
        <v>0.41666666666666669</v>
      </c>
      <c r="AA5" s="1">
        <v>16078654</v>
      </c>
      <c r="AB5" s="1" t="s">
        <v>2178</v>
      </c>
      <c r="AC5" s="1"/>
      <c r="AD5" s="1"/>
      <c r="AE5" s="3"/>
      <c r="AF5" s="15" t="str">
        <f>'[11]Listado de Contratos'!AD5</f>
        <v>https://community.secop.gov.co/Public/Tendering/OpportunityDetail/Index?noticeUID=CO1.NTC.4005290&amp;isFromPublicArea=True&amp;isModal=False</v>
      </c>
      <c r="AG5" s="15" t="str">
        <f>'[11]Listado de Contratos'!AE5</f>
        <v>SI</v>
      </c>
      <c r="AH5" s="15" t="str">
        <f>'[11]Listado de Contratos'!AF5</f>
        <v>SI</v>
      </c>
    </row>
    <row r="6" spans="1:34" s="4" customFormat="1" x14ac:dyDescent="0.25">
      <c r="A6" s="38">
        <v>891780113</v>
      </c>
      <c r="B6" s="38" t="s">
        <v>54</v>
      </c>
      <c r="C6" s="14" t="str">
        <f>'[11]Listado de Contratos'!C6</f>
        <v>INVERSION</v>
      </c>
      <c r="D6" s="38" t="s">
        <v>60</v>
      </c>
      <c r="E6" s="1" t="str">
        <f>'[11]Listado de Contratos'!E6</f>
        <v>OPSP-VEX-0396-2023</v>
      </c>
      <c r="F6" s="38" t="s">
        <v>61</v>
      </c>
      <c r="G6" s="1" t="s">
        <v>69</v>
      </c>
      <c r="H6" s="1" t="str">
        <f>'[11]Listado de Contratos'!H6</f>
        <v>PRESTACION DE SERVICIOS</v>
      </c>
      <c r="I6" s="9">
        <f>'[11]Listado de Contratos'!I6</f>
        <v>48000000</v>
      </c>
      <c r="J6" s="94"/>
      <c r="K6" s="2"/>
      <c r="L6" s="2"/>
      <c r="M6" s="40">
        <f t="shared" ref="M6:M69" si="2">I6+K6-L6</f>
        <v>48000000</v>
      </c>
      <c r="N6" s="1">
        <v>57299411</v>
      </c>
      <c r="O6" s="1" t="str">
        <f>'[11]Listado de Contratos'!O6</f>
        <v>MIRIAN ESTHER SIERRA HERNANDEZ</v>
      </c>
      <c r="P6" s="1" t="str">
        <f>'[11]Listado de Contratos'!P6</f>
        <v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v>
      </c>
      <c r="Q6" s="3">
        <v>44972</v>
      </c>
      <c r="R6" s="3">
        <v>44972</v>
      </c>
      <c r="S6" s="3">
        <v>45316</v>
      </c>
      <c r="T6" s="35"/>
      <c r="U6" s="3"/>
      <c r="V6" s="3"/>
      <c r="W6" s="50"/>
      <c r="X6" s="9">
        <f>4000000+4000000+4000000+4000000+4000000</f>
        <v>20000000</v>
      </c>
      <c r="Y6" s="9">
        <f t="shared" si="0"/>
        <v>28000000</v>
      </c>
      <c r="Z6" s="34">
        <f t="shared" si="1"/>
        <v>0.41666666666666669</v>
      </c>
      <c r="AA6" s="1">
        <v>16078654</v>
      </c>
      <c r="AB6" s="1" t="s">
        <v>2178</v>
      </c>
      <c r="AC6" s="1"/>
      <c r="AD6" s="1"/>
      <c r="AE6" s="3"/>
      <c r="AF6" s="15" t="str">
        <f>'[11]Listado de Contratos'!AD6</f>
        <v xml:space="preserve">https://community.secop.gov.co/Public/Tendering/OpportunityDetail/Index?noticeUID=CO1.NTC.4013673&amp;isFromPublicArea=True&amp;isModal=False   </v>
      </c>
      <c r="AG6" s="15" t="str">
        <f>'[11]Listado de Contratos'!AE6</f>
        <v>SI</v>
      </c>
      <c r="AH6" s="15" t="str">
        <f>'[11]Listado de Contratos'!AF6</f>
        <v>SI</v>
      </c>
    </row>
    <row r="7" spans="1:34" s="4" customFormat="1" x14ac:dyDescent="0.25">
      <c r="A7" s="16">
        <v>891780285</v>
      </c>
      <c r="B7" s="16" t="s">
        <v>54</v>
      </c>
      <c r="C7" s="14" t="str">
        <f>'[11]Listado de Contratos'!C7</f>
        <v>INVERSION</v>
      </c>
      <c r="D7" s="16" t="s">
        <v>60</v>
      </c>
      <c r="E7" s="1" t="str">
        <f>'[11]Listado de Contratos'!E7</f>
        <v>OPSP-VEX-0397-2023</v>
      </c>
      <c r="F7" s="16" t="s">
        <v>61</v>
      </c>
      <c r="G7" s="1" t="s">
        <v>69</v>
      </c>
      <c r="H7" s="1" t="str">
        <f>'[11]Listado de Contratos'!H7</f>
        <v>PRESTACION DE SERVICIOS</v>
      </c>
      <c r="I7" s="9">
        <f>'[11]Listado de Contratos'!I7</f>
        <v>48000000</v>
      </c>
      <c r="J7" s="94"/>
      <c r="K7" s="2"/>
      <c r="L7" s="2"/>
      <c r="M7" s="40">
        <f t="shared" si="2"/>
        <v>48000000</v>
      </c>
      <c r="N7" s="1">
        <v>1082936785</v>
      </c>
      <c r="O7" s="1" t="str">
        <f>'[11]Listado de Contratos'!O7</f>
        <v>MARIA JOSE CASTILLO VIANA</v>
      </c>
      <c r="P7" s="1" t="str">
        <f>'[11]Listado de Contratos'!P7</f>
        <v>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v>
      </c>
      <c r="Q7" s="3">
        <v>44972</v>
      </c>
      <c r="R7" s="3">
        <v>44972</v>
      </c>
      <c r="S7" s="3">
        <v>45316</v>
      </c>
      <c r="T7" s="35"/>
      <c r="U7" s="3"/>
      <c r="V7" s="3"/>
      <c r="W7" s="50"/>
      <c r="X7" s="9">
        <f>4000000+4000000+4000000+4000000+4000000</f>
        <v>20000000</v>
      </c>
      <c r="Y7" s="9">
        <f t="shared" si="0"/>
        <v>28000000</v>
      </c>
      <c r="Z7" s="34">
        <f t="shared" si="1"/>
        <v>0.41666666666666669</v>
      </c>
      <c r="AA7" s="1">
        <v>16078654</v>
      </c>
      <c r="AB7" s="1" t="s">
        <v>2178</v>
      </c>
      <c r="AC7" s="1"/>
      <c r="AD7" s="1"/>
      <c r="AE7" s="3"/>
      <c r="AF7" s="15" t="str">
        <f>'[11]Listado de Contratos'!AD7</f>
        <v>https://community.secop.gov.co/Public/Tendering/OpportunityDetail/Index?noticeUID=CO1.NTC.4013191&amp;isFromPublicArea=True&amp;isModal=False</v>
      </c>
      <c r="AG7" s="15" t="str">
        <f>'[11]Listado de Contratos'!AE7</f>
        <v>SI</v>
      </c>
      <c r="AH7" s="15" t="str">
        <f>'[11]Listado de Contratos'!AF7</f>
        <v>SI</v>
      </c>
    </row>
    <row r="8" spans="1:34" s="4" customFormat="1" x14ac:dyDescent="0.25">
      <c r="A8" s="16">
        <v>891780286</v>
      </c>
      <c r="B8" s="16" t="s">
        <v>54</v>
      </c>
      <c r="C8" s="14" t="str">
        <f>'[11]Listado de Contratos'!C8</f>
        <v>INVERSION</v>
      </c>
      <c r="D8" s="16" t="s">
        <v>60</v>
      </c>
      <c r="E8" s="1" t="str">
        <f>'[11]Listado de Contratos'!E8</f>
        <v>OPSP-VEX-0398-2023</v>
      </c>
      <c r="F8" s="16" t="s">
        <v>61</v>
      </c>
      <c r="G8" s="1" t="s">
        <v>69</v>
      </c>
      <c r="H8" s="1" t="str">
        <f>'[11]Listado de Contratos'!H8</f>
        <v>PRESTACION DE SERVICIOS</v>
      </c>
      <c r="I8" s="9">
        <f>'[11]Listado de Contratos'!I8</f>
        <v>40800000</v>
      </c>
      <c r="J8" s="94"/>
      <c r="K8" s="2"/>
      <c r="L8" s="2"/>
      <c r="M8" s="40">
        <f t="shared" si="2"/>
        <v>40800000</v>
      </c>
      <c r="N8" s="1">
        <v>1082941395</v>
      </c>
      <c r="O8" s="1" t="str">
        <f>'[11]Listado de Contratos'!O8</f>
        <v>HEIDY CRISTINA CAMPO BELTRAN</v>
      </c>
      <c r="P8" s="1" t="str">
        <f>'[11]Listado de Contratos'!P8</f>
        <v>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v>
      </c>
      <c r="Q8" s="3">
        <v>44972</v>
      </c>
      <c r="R8" s="3">
        <v>44972</v>
      </c>
      <c r="S8" s="3">
        <v>45316</v>
      </c>
      <c r="T8" s="35"/>
      <c r="U8" s="3"/>
      <c r="V8" s="3"/>
      <c r="W8" s="50"/>
      <c r="X8" s="9">
        <f>3400000+3400000+3400000+3400000+3400000</f>
        <v>17000000</v>
      </c>
      <c r="Y8" s="9">
        <f t="shared" si="0"/>
        <v>23800000</v>
      </c>
      <c r="Z8" s="34">
        <f t="shared" si="1"/>
        <v>0.41666666666666669</v>
      </c>
      <c r="AA8" s="1">
        <v>16078654</v>
      </c>
      <c r="AB8" s="1" t="s">
        <v>2178</v>
      </c>
      <c r="AC8" s="1"/>
      <c r="AD8" s="1"/>
      <c r="AE8" s="3"/>
      <c r="AF8" s="15" t="str">
        <f>'[11]Listado de Contratos'!AD8</f>
        <v>https://community.secop.gov.co/Public/Tendering/OpportunityDetail/Index?noticeUID=CO1.NTC.4013220&amp;isFromPublicArea=True&amp;isModal=False</v>
      </c>
      <c r="AG8" s="15" t="str">
        <f>'[11]Listado de Contratos'!AE8</f>
        <v>SI</v>
      </c>
      <c r="AH8" s="15" t="str">
        <f>'[11]Listado de Contratos'!AF8</f>
        <v>SI</v>
      </c>
    </row>
    <row r="9" spans="1:34" s="4" customFormat="1" x14ac:dyDescent="0.25">
      <c r="A9" s="16">
        <v>891780287</v>
      </c>
      <c r="B9" s="16" t="s">
        <v>54</v>
      </c>
      <c r="C9" s="14" t="str">
        <f>'[11]Listado de Contratos'!C9</f>
        <v>INVERSION</v>
      </c>
      <c r="D9" s="16" t="s">
        <v>60</v>
      </c>
      <c r="E9" s="1" t="str">
        <f>'[11]Listado de Contratos'!E9</f>
        <v>OPSP-VEX-0402-2023</v>
      </c>
      <c r="F9" s="16" t="s">
        <v>61</v>
      </c>
      <c r="G9" s="1" t="s">
        <v>69</v>
      </c>
      <c r="H9" s="1" t="str">
        <f>'[11]Listado de Contratos'!H9</f>
        <v>PRESTACION DE SERVICIOS</v>
      </c>
      <c r="I9" s="9">
        <f>'[11]Listado de Contratos'!I9</f>
        <v>25000000</v>
      </c>
      <c r="J9" s="94"/>
      <c r="K9" s="2"/>
      <c r="L9" s="2"/>
      <c r="M9" s="40">
        <f t="shared" si="2"/>
        <v>25000000</v>
      </c>
      <c r="N9" s="1">
        <v>1082936785</v>
      </c>
      <c r="O9" s="1" t="str">
        <f>'[11]Listado de Contratos'!O9</f>
        <v>MARIA JOSE CASTILLO VIANA</v>
      </c>
      <c r="P9" s="1" t="str">
        <f>'[11]Listado de Contratos'!P9</f>
        <v>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v>
      </c>
      <c r="Q9" s="3">
        <v>44974</v>
      </c>
      <c r="R9" s="3">
        <v>44974</v>
      </c>
      <c r="S9" s="3">
        <v>45076</v>
      </c>
      <c r="T9" s="35"/>
      <c r="U9" s="3"/>
      <c r="V9" s="3"/>
      <c r="W9" s="50"/>
      <c r="X9" s="9">
        <f>10000000+5000000+5000000+5000000</f>
        <v>25000000</v>
      </c>
      <c r="Y9" s="9">
        <f t="shared" si="0"/>
        <v>0</v>
      </c>
      <c r="Z9" s="34">
        <f t="shared" si="1"/>
        <v>1</v>
      </c>
      <c r="AA9" s="1">
        <v>16078654</v>
      </c>
      <c r="AB9" s="1" t="s">
        <v>2178</v>
      </c>
      <c r="AC9" s="1"/>
      <c r="AD9" s="1"/>
      <c r="AE9" s="3"/>
      <c r="AF9" s="15" t="str">
        <f>'[11]Listado de Contratos'!AD9</f>
        <v>https://community.secop.gov.co/Public/Tendering/OpportunityDetail/Index?noticeUID=CO1.NTC.4034227&amp;isFromPublicArea=True&amp;isModal=False</v>
      </c>
      <c r="AG9" s="15" t="str">
        <f>'[11]Listado de Contratos'!AE9</f>
        <v>SI</v>
      </c>
      <c r="AH9" s="15" t="str">
        <f>'[11]Listado de Contratos'!AF9</f>
        <v>SI</v>
      </c>
    </row>
    <row r="10" spans="1:34" s="4" customFormat="1" x14ac:dyDescent="0.25">
      <c r="A10" s="16">
        <v>891780288</v>
      </c>
      <c r="B10" s="16" t="s">
        <v>54</v>
      </c>
      <c r="C10" s="14" t="str">
        <f>'[11]Listado de Contratos'!C10</f>
        <v>INVERSION</v>
      </c>
      <c r="D10" s="16" t="s">
        <v>60</v>
      </c>
      <c r="E10" s="1" t="str">
        <f>'[11]Listado de Contratos'!E10</f>
        <v>OPSP-VEX-0403-2023</v>
      </c>
      <c r="F10" s="16" t="s">
        <v>61</v>
      </c>
      <c r="G10" s="1" t="s">
        <v>69</v>
      </c>
      <c r="H10" s="1" t="str">
        <f>'[11]Listado de Contratos'!H10</f>
        <v>PRESTACION DE SERVICIOS</v>
      </c>
      <c r="I10" s="9">
        <f>'[11]Listado de Contratos'!I10</f>
        <v>12000000</v>
      </c>
      <c r="J10" s="94"/>
      <c r="K10" s="2"/>
      <c r="L10" s="2"/>
      <c r="M10" s="40">
        <f t="shared" si="2"/>
        <v>12000000</v>
      </c>
      <c r="N10" s="1">
        <v>1082941395</v>
      </c>
      <c r="O10" s="1" t="str">
        <f>'[11]Listado de Contratos'!O10</f>
        <v>HEIDY CRISTINA CAMPO BELTRAN</v>
      </c>
      <c r="P10" s="1" t="str">
        <f>'[11]Listado de Contratos'!P10</f>
        <v>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v>
      </c>
      <c r="Q10" s="3">
        <v>44974</v>
      </c>
      <c r="R10" s="3">
        <v>44974</v>
      </c>
      <c r="S10" s="3">
        <v>45076</v>
      </c>
      <c r="T10" s="35"/>
      <c r="U10" s="3"/>
      <c r="V10" s="3"/>
      <c r="W10" s="50"/>
      <c r="X10" s="9">
        <f>3000000+3000000+3000000+3000000</f>
        <v>12000000</v>
      </c>
      <c r="Y10" s="9">
        <f t="shared" si="0"/>
        <v>0</v>
      </c>
      <c r="Z10" s="34">
        <f t="shared" si="1"/>
        <v>1</v>
      </c>
      <c r="AA10" s="1">
        <v>16078654</v>
      </c>
      <c r="AB10" s="1" t="s">
        <v>2178</v>
      </c>
      <c r="AC10" s="1"/>
      <c r="AD10" s="1"/>
      <c r="AE10" s="3"/>
      <c r="AF10" s="15" t="str">
        <f>'[11]Listado de Contratos'!AD10</f>
        <v>https://community.secop.gov.co/Public/Tendering/OpportunityDetail/Index?noticeUID=CO1.NTC.4034414&amp;isFromPublicArea=True&amp;isModal=False</v>
      </c>
      <c r="AG10" s="15" t="str">
        <f>'[11]Listado de Contratos'!AE10</f>
        <v>SI</v>
      </c>
      <c r="AH10" s="15" t="str">
        <f>'[11]Listado de Contratos'!AF10</f>
        <v>SI</v>
      </c>
    </row>
    <row r="11" spans="1:34" s="4" customFormat="1" x14ac:dyDescent="0.25">
      <c r="A11" s="16">
        <v>891780289</v>
      </c>
      <c r="B11" s="16" t="s">
        <v>54</v>
      </c>
      <c r="C11" s="14" t="str">
        <f>'[11]Listado de Contratos'!C11</f>
        <v>INVERSION</v>
      </c>
      <c r="D11" s="16" t="s">
        <v>60</v>
      </c>
      <c r="E11" s="1" t="str">
        <f>'[11]Listado de Contratos'!E11</f>
        <v>OAG-VEX-0427-2023</v>
      </c>
      <c r="F11" s="16" t="s">
        <v>61</v>
      </c>
      <c r="G11" s="1" t="s">
        <v>69</v>
      </c>
      <c r="H11" s="1" t="str">
        <f>'[11]Listado de Contratos'!H11</f>
        <v>PRESTACION DE SERVICIOS</v>
      </c>
      <c r="I11" s="9">
        <f>'[11]Listado de Contratos'!I11</f>
        <v>40800000</v>
      </c>
      <c r="J11" s="94"/>
      <c r="K11" s="2"/>
      <c r="L11" s="2"/>
      <c r="M11" s="40">
        <f t="shared" si="2"/>
        <v>40800000</v>
      </c>
      <c r="N11" s="1">
        <v>1082878520</v>
      </c>
      <c r="O11" s="1" t="str">
        <f>'[11]Listado de Contratos'!O11</f>
        <v>MANUEL ALEXANDER MUÑOZ BANDERA</v>
      </c>
      <c r="P11" s="1" t="str">
        <f>'[11]Listado de Contratos'!P11</f>
        <v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v>
      </c>
      <c r="Q11" s="3">
        <v>44981</v>
      </c>
      <c r="R11" s="3">
        <v>44981</v>
      </c>
      <c r="S11" s="3">
        <v>45316</v>
      </c>
      <c r="T11" s="35"/>
      <c r="U11" s="3"/>
      <c r="V11" s="3"/>
      <c r="W11" s="50"/>
      <c r="X11" s="9">
        <f>3400000+3400000+3400000+3400000+3400000</f>
        <v>17000000</v>
      </c>
      <c r="Y11" s="9">
        <f t="shared" si="0"/>
        <v>23800000</v>
      </c>
      <c r="Z11" s="34">
        <f t="shared" si="1"/>
        <v>0.41666666666666669</v>
      </c>
      <c r="AA11" s="1">
        <v>16078654</v>
      </c>
      <c r="AB11" s="1" t="s">
        <v>2178</v>
      </c>
      <c r="AC11" s="1"/>
      <c r="AD11" s="1"/>
      <c r="AE11" s="3"/>
      <c r="AF11" s="15" t="str">
        <f>'[11]Listado de Contratos'!AD11</f>
        <v>https://community.secop.gov.co/Public/Tendering/OpportunityDetail/Index?noticeUID=CO1.NTC.4072100&amp;isFromPublicArea=True&amp;isModal=False</v>
      </c>
      <c r="AG11" s="15" t="str">
        <f>'[11]Listado de Contratos'!AE11</f>
        <v>SI</v>
      </c>
      <c r="AH11" s="15" t="str">
        <f>'[11]Listado de Contratos'!AF11</f>
        <v>SI</v>
      </c>
    </row>
    <row r="12" spans="1:34" s="4" customFormat="1" x14ac:dyDescent="0.25">
      <c r="A12" s="16">
        <v>891780290</v>
      </c>
      <c r="B12" s="16" t="s">
        <v>54</v>
      </c>
      <c r="C12" s="14" t="str">
        <f>'[11]Listado de Contratos'!C12</f>
        <v>INVERSION</v>
      </c>
      <c r="D12" s="16" t="s">
        <v>60</v>
      </c>
      <c r="E12" s="1" t="str">
        <f>'[11]Listado de Contratos'!E12</f>
        <v xml:space="preserve">OSM-VEX-0003-2023 </v>
      </c>
      <c r="F12" s="16" t="s">
        <v>61</v>
      </c>
      <c r="G12" s="1" t="s">
        <v>69</v>
      </c>
      <c r="H12" s="1" t="str">
        <f>'[11]Listado de Contratos'!H12</f>
        <v>SUMINISTROS</v>
      </c>
      <c r="I12" s="9">
        <f>'[11]Listado de Contratos'!I12</f>
        <v>43264000</v>
      </c>
      <c r="J12" s="94"/>
      <c r="K12" s="2"/>
      <c r="L12" s="2"/>
      <c r="M12" s="40">
        <f t="shared" si="2"/>
        <v>43264000</v>
      </c>
      <c r="N12" s="1" t="s">
        <v>2179</v>
      </c>
      <c r="O12" s="1" t="str">
        <f>'[11]Listado de Contratos'!O12</f>
        <v>MARTINEZ &amp; RUIZ S.A.S.</v>
      </c>
      <c r="P12" s="1" t="str">
        <f>'[11]Listado de Contratos'!P12</f>
        <v xml:space="preserve">LA PRESENTE ORDEN TIENE POR OBJETO, SUMINISTRAR 6.640 REFRIGERIOS TIPO1, 353 REFRIGERIOS TIPO 2 Y 60 REFRIGERIOS TIPO 3, NECESARIOS PARA LA REALIZACIÓN DE EVENTO DE LANZAMIENTO, FOROS, SESIONES DE FORMACIÓN Y EVENTOS DE CERTIFICACIÓN DE DIPLOMADOS; A DESARROLLARSE EN EL MARCO  DEL CONVENIO ESPECÍFICO  N° 3051459,  SUSCRITO ENTRE UNIMAGDALENA Y LA EMPRESA ECOPETROL S.A, CUYO OBJETO ES “FORTALECER LA CALIDAD EN LA PRESTACIÓN DE SERVICIOS TURÍSTICOS Y ARTESANAS EN EL MUNICIPIO DE URIBIA(LA GUAJIRA)". </v>
      </c>
      <c r="Q12" s="3">
        <v>44986</v>
      </c>
      <c r="R12" s="3">
        <v>44986</v>
      </c>
      <c r="S12" s="3">
        <v>45168</v>
      </c>
      <c r="T12" s="35"/>
      <c r="U12" s="3"/>
      <c r="V12" s="3"/>
      <c r="W12" s="50"/>
      <c r="X12" s="9">
        <f>592956+16140000+14100000</f>
        <v>30832956</v>
      </c>
      <c r="Y12" s="9">
        <f t="shared" si="0"/>
        <v>12431044</v>
      </c>
      <c r="Z12" s="34">
        <f t="shared" si="1"/>
        <v>0.712670025887574</v>
      </c>
      <c r="AA12" s="1">
        <v>16078654</v>
      </c>
      <c r="AB12" s="1" t="s">
        <v>2178</v>
      </c>
      <c r="AC12" s="1"/>
      <c r="AD12" s="1"/>
      <c r="AE12" s="3">
        <v>44988</v>
      </c>
      <c r="AF12" s="15" t="str">
        <f>'[11]Listado de Contratos'!AD12</f>
        <v xml:space="preserve">https://community.secop.gov.co/Public/Tendering/OpportunityDetail/Index?noticeUID=CO1.NTC.4102097&amp;isFromPublicArea=True&amp;isModal=False
</v>
      </c>
      <c r="AG12" s="15" t="str">
        <f>'[11]Listado de Contratos'!AE12</f>
        <v>SI</v>
      </c>
      <c r="AH12" s="15" t="str">
        <f>'[11]Listado de Contratos'!AF12</f>
        <v>NA por TIPO Contrato</v>
      </c>
    </row>
    <row r="13" spans="1:34" s="4" customFormat="1" x14ac:dyDescent="0.25">
      <c r="A13" s="16">
        <v>891780291</v>
      </c>
      <c r="B13" s="16" t="s">
        <v>54</v>
      </c>
      <c r="C13" s="14" t="str">
        <f>'[11]Listado de Contratos'!C13</f>
        <v>INVERSION</v>
      </c>
      <c r="D13" s="16" t="s">
        <v>60</v>
      </c>
      <c r="E13" s="1" t="str">
        <f>'[11]Listado de Contratos'!E13</f>
        <v xml:space="preserve">OPS-VEX-0446-2023 </v>
      </c>
      <c r="F13" s="16" t="s">
        <v>61</v>
      </c>
      <c r="G13" s="1" t="s">
        <v>69</v>
      </c>
      <c r="H13" s="1" t="str">
        <f>'[11]Listado de Contratos'!H13</f>
        <v>PRESTACION DE SERVICIOS</v>
      </c>
      <c r="I13" s="9">
        <f>'[11]Listado de Contratos'!I13</f>
        <v>83943700</v>
      </c>
      <c r="J13" s="94"/>
      <c r="K13" s="2"/>
      <c r="L13" s="2"/>
      <c r="M13" s="40">
        <f t="shared" si="2"/>
        <v>83943700</v>
      </c>
      <c r="N13" s="1" t="s">
        <v>2180</v>
      </c>
      <c r="O13" s="1" t="str">
        <f>'[11]Listado de Contratos'!O13</f>
        <v>INNMAKERS S.A.S.</v>
      </c>
      <c r="P13" s="1" t="str">
        <f>'[11]Listado de Contratos'!P13</f>
        <v xml:space="preserve">LA PRESENTE ORDEN TIENE POR OBJETO PRESTAR SERVICIOS TECNICOS DE DISEÑO E IMPLEMENTACIÓN DE INSTRUMENTOS DE CARACTERIZACIÓN, SISTEMATIZACIÓN, DIGITALIZACION DE INFORMACIÓN, DISEÑO DE ESTRATEGIAS DE DIVULGACIÓN, DISEÑO DE TERMINOS DE DIPLOMADO, DISEÑO DE ESTRATEGIAS PARA SELECCIÓN Y EVALUACIÓN DE PARTICIPANTES; REQUERIDOS PARA EL DESARROLLO DE LAS ACTIVIDADES DEL CONVENIO ESPECÍFICO NO. 3051459 SUSCRITO ENTRE ECOPETROL S.A Y UNIMAGDALENA, CUYO OBJETO ES: "FORTALECER LA CALIDAD EN LA PRESTACIÓN DE SERVICIOS TURÍSTICOS Y ARTESANAS EN EL MUNICIPIO DE URIBIA(LA GUAJIRA)". </v>
      </c>
      <c r="Q13" s="3">
        <v>44986</v>
      </c>
      <c r="R13" s="3">
        <v>44986</v>
      </c>
      <c r="S13" s="3">
        <v>45168</v>
      </c>
      <c r="T13" s="35"/>
      <c r="U13" s="3"/>
      <c r="V13" s="3"/>
      <c r="W13" s="50"/>
      <c r="X13" s="9">
        <f>24623698.13+54819998.17</f>
        <v>79443696.299999997</v>
      </c>
      <c r="Y13" s="9">
        <f t="shared" si="0"/>
        <v>4500003.700000003</v>
      </c>
      <c r="Z13" s="34">
        <f t="shared" si="1"/>
        <v>0.94639259765771577</v>
      </c>
      <c r="AA13" s="1">
        <v>16078654</v>
      </c>
      <c r="AB13" s="1" t="s">
        <v>2178</v>
      </c>
      <c r="AC13" s="1"/>
      <c r="AD13" s="1"/>
      <c r="AE13" s="3"/>
      <c r="AF13" s="15" t="str">
        <f>'[11]Listado de Contratos'!AD13</f>
        <v>https://community.secop.gov.co/Public/Tendering/OpportunityDetail/Index?noticeUID=CO1.NTC.4102957&amp;isFromPublicArea=True&amp;isModal=False</v>
      </c>
      <c r="AG13" s="15" t="str">
        <f>'[11]Listado de Contratos'!AE13</f>
        <v>SI</v>
      </c>
      <c r="AH13" s="15" t="str">
        <f>'[11]Listado de Contratos'!AF13</f>
        <v>NA por TIPO Contrato</v>
      </c>
    </row>
    <row r="14" spans="1:34" s="4" customFormat="1" x14ac:dyDescent="0.25">
      <c r="A14" s="16">
        <v>891780292</v>
      </c>
      <c r="B14" s="16" t="s">
        <v>54</v>
      </c>
      <c r="C14" s="14" t="str">
        <f>'[11]Listado de Contratos'!C14</f>
        <v>INVERSION</v>
      </c>
      <c r="D14" s="16" t="s">
        <v>60</v>
      </c>
      <c r="E14" s="1" t="str">
        <f>'[11]Listado de Contratos'!E14</f>
        <v>OPS-VEX- 0462-2023</v>
      </c>
      <c r="F14" s="16" t="s">
        <v>61</v>
      </c>
      <c r="G14" s="1" t="s">
        <v>69</v>
      </c>
      <c r="H14" s="1" t="str">
        <f>'[11]Listado de Contratos'!H14</f>
        <v>PRESTACION DE SERVICIOS</v>
      </c>
      <c r="I14" s="9">
        <f>'[11]Listado de Contratos'!I14</f>
        <v>47220000</v>
      </c>
      <c r="J14" s="94"/>
      <c r="K14" s="2"/>
      <c r="L14" s="2"/>
      <c r="M14" s="40">
        <f t="shared" si="2"/>
        <v>47220000</v>
      </c>
      <c r="N14" s="1" t="s">
        <v>2181</v>
      </c>
      <c r="O14" s="1" t="str">
        <f>'[11]Listado de Contratos'!O14</f>
        <v>INVERSIONES TIERRA FERTIL</v>
      </c>
      <c r="P14" s="1" t="str">
        <f>'[11]Listado de Contratos'!P14</f>
        <v>LA PRESENTE ORDEN TIENE POR OBJETO PRESTAR SERVICIOS DE APOYO LOGISTICO; REQUERIDOS PARA EL DESARROLLO DE LAS ACTIVIDADES DEL CONVENIO ESPECÍFICO NO. 3051459 SUSCRITO ENTRE ECOPETROL S.A Y UNIMAGDALENA, CUYO OBJETO ES: "FORTALECER LA CALIDAD EN LA PRESTACIÓN DE SERVICIOS TURÍSTICOS Y ARTESANAS EN EL MUNICIPIO DE URIBIA(LA GUAJIRA)".</v>
      </c>
      <c r="Q14" s="3">
        <v>44993</v>
      </c>
      <c r="R14" s="3">
        <v>44993</v>
      </c>
      <c r="S14" s="3">
        <v>45207</v>
      </c>
      <c r="T14" s="35"/>
      <c r="U14" s="3"/>
      <c r="V14" s="3"/>
      <c r="W14" s="50"/>
      <c r="X14" s="9">
        <f>2620000+9520000</f>
        <v>12140000</v>
      </c>
      <c r="Y14" s="9">
        <f t="shared" si="0"/>
        <v>35080000</v>
      </c>
      <c r="Z14" s="34">
        <f t="shared" si="1"/>
        <v>0.25709445150360016</v>
      </c>
      <c r="AA14" s="1">
        <v>16078654</v>
      </c>
      <c r="AB14" s="1" t="s">
        <v>2178</v>
      </c>
      <c r="AC14" s="1"/>
      <c r="AD14" s="1"/>
      <c r="AE14" s="3"/>
      <c r="AF14" s="15" t="str">
        <f>'[11]Listado de Contratos'!AD14</f>
        <v>https://community.secop.gov.co/Public/Tendering/OpportunityDetail/Index?noticeUID=CO1.NTC.4142638&amp;isFromPublicArea=True&amp;isModal=False</v>
      </c>
      <c r="AG14" s="15" t="str">
        <f>'[11]Listado de Contratos'!AE14</f>
        <v>SI</v>
      </c>
      <c r="AH14" s="15" t="str">
        <f>'[11]Listado de Contratos'!AF14</f>
        <v>NA por TIPO Contrato</v>
      </c>
    </row>
    <row r="15" spans="1:34" s="4" customFormat="1" x14ac:dyDescent="0.25">
      <c r="A15" s="16">
        <v>891780293</v>
      </c>
      <c r="B15" s="16" t="s">
        <v>54</v>
      </c>
      <c r="C15" s="14" t="str">
        <f>'[11]Listado de Contratos'!C15</f>
        <v>INVERSION</v>
      </c>
      <c r="D15" s="16" t="s">
        <v>60</v>
      </c>
      <c r="E15" s="1" t="str">
        <f>'[11]Listado de Contratos'!E15</f>
        <v xml:space="preserve">OSM-VEX-0004-2023 </v>
      </c>
      <c r="F15" s="16" t="s">
        <v>61</v>
      </c>
      <c r="G15" s="1" t="s">
        <v>69</v>
      </c>
      <c r="H15" s="1" t="str">
        <f>'[11]Listado de Contratos'!H15</f>
        <v>SUMINISTROS</v>
      </c>
      <c r="I15" s="9">
        <f>'[11]Listado de Contratos'!I15</f>
        <v>20000000</v>
      </c>
      <c r="J15" s="94"/>
      <c r="K15" s="2"/>
      <c r="L15" s="2"/>
      <c r="M15" s="40">
        <f t="shared" si="2"/>
        <v>20000000</v>
      </c>
      <c r="N15" s="1">
        <v>1082939683</v>
      </c>
      <c r="O15" s="1" t="str">
        <f>'[11]Listado de Contratos'!O15</f>
        <v>FABIO ANDRES FERNANDEZ PINTO</v>
      </c>
      <c r="P15" s="1" t="str">
        <f>'[11]Listado de Contratos'!P15</f>
        <v xml:space="preserve"> 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v>
      </c>
      <c r="Q15" s="3">
        <v>44995</v>
      </c>
      <c r="R15" s="3">
        <v>44995</v>
      </c>
      <c r="S15" s="3">
        <v>45002</v>
      </c>
      <c r="T15" s="35"/>
      <c r="U15" s="3"/>
      <c r="V15" s="3"/>
      <c r="W15" s="50"/>
      <c r="X15" s="9">
        <v>20000000</v>
      </c>
      <c r="Y15" s="9">
        <f t="shared" si="0"/>
        <v>0</v>
      </c>
      <c r="Z15" s="34">
        <f t="shared" si="1"/>
        <v>1</v>
      </c>
      <c r="AA15" s="1">
        <v>16078654</v>
      </c>
      <c r="AB15" s="1" t="s">
        <v>2182</v>
      </c>
      <c r="AC15" s="1"/>
      <c r="AD15" s="1"/>
      <c r="AE15" s="3">
        <v>45013</v>
      </c>
      <c r="AF15" s="15" t="str">
        <f>'[11]Listado de Contratos'!AD15</f>
        <v>https://community.secop.gov.co/Public/Tendering/OpportunityDetail/Index?noticeUID=CO1.NTC.4166763&amp;isFromPublicArea=True&amp;isModal=False</v>
      </c>
      <c r="AG15" s="15" t="str">
        <f>'[11]Listado de Contratos'!AE15</f>
        <v>SI</v>
      </c>
      <c r="AH15" s="15" t="str">
        <f>'[11]Listado de Contratos'!AF15</f>
        <v>NA por TIPO Contrato</v>
      </c>
    </row>
    <row r="16" spans="1:34" s="4" customFormat="1" x14ac:dyDescent="0.25">
      <c r="A16" s="16">
        <v>891780294</v>
      </c>
      <c r="B16" s="16" t="s">
        <v>54</v>
      </c>
      <c r="C16" s="14" t="str">
        <f>'[11]Listado de Contratos'!C16</f>
        <v>INVERSION</v>
      </c>
      <c r="D16" s="16" t="s">
        <v>60</v>
      </c>
      <c r="E16" s="1" t="str">
        <f>'[11]Listado de Contratos'!E16</f>
        <v>OPS-VEX- 0479-2023</v>
      </c>
      <c r="F16" s="16" t="s">
        <v>61</v>
      </c>
      <c r="G16" s="1" t="s">
        <v>69</v>
      </c>
      <c r="H16" s="1" t="str">
        <f>'[11]Listado de Contratos'!H16</f>
        <v>PRESTACION DE SERVICIOS</v>
      </c>
      <c r="I16" s="9">
        <f>'[11]Listado de Contratos'!I16</f>
        <v>29480000</v>
      </c>
      <c r="J16" s="94"/>
      <c r="K16" s="2"/>
      <c r="L16" s="2"/>
      <c r="M16" s="40">
        <f t="shared" si="2"/>
        <v>29480000</v>
      </c>
      <c r="N16" s="1">
        <v>1082925036</v>
      </c>
      <c r="O16" s="1" t="str">
        <f>'[11]Listado de Contratos'!O16</f>
        <v>CLARA PATRICIA ROLDAN</v>
      </c>
      <c r="P16" s="1" t="str">
        <f>'[11]Listado de Contratos'!P16</f>
        <v>LA PRESENTE ORDEN TIENE POR OBJETO PRESTAR SERVICIOS DE DISEÑO Y ELABORACIÓN DE PIEZAS DE VISIBILIZACIÓN COMO PENDONES, TULAS, LAPICEROS, AGENDAS, MEMORIAS Y BACKING, ASÍ COMO LA IMPRESIÓN DE MÓDULOS Y CERTIFICADOS, REQUERIDOS PARA EL DESARROLLO DE LAS ACTIVIDADES DEL CONVENIO ESPECÍFICO NO. 3051459 SUSCRITO ENTRE ECOPETROL S.A Y UNIMAGDALENA, CUYO OBJETO ES: "FORTALECER LA CALIDAD EN LA PRESTACIÓN DE SERVICIOS TURÍSTICOS Y ARTESANAS EN EL MUNICIPIO DE URIBIA(LA GUAJIRA)"</v>
      </c>
      <c r="Q16" s="3">
        <v>44999</v>
      </c>
      <c r="R16" s="3">
        <v>44999</v>
      </c>
      <c r="S16" s="3">
        <v>45183</v>
      </c>
      <c r="T16" s="35"/>
      <c r="U16" s="3"/>
      <c r="V16" s="3"/>
      <c r="W16" s="50"/>
      <c r="X16" s="9">
        <f>15650000+6900000+5550000</f>
        <v>28100000</v>
      </c>
      <c r="Y16" s="9">
        <f t="shared" si="0"/>
        <v>1380000</v>
      </c>
      <c r="Z16" s="34">
        <f t="shared" si="1"/>
        <v>0.95318860244233383</v>
      </c>
      <c r="AA16" s="1">
        <v>16078654</v>
      </c>
      <c r="AB16" s="1" t="s">
        <v>2178</v>
      </c>
      <c r="AC16" s="1"/>
      <c r="AD16" s="1"/>
      <c r="AE16" s="3"/>
      <c r="AF16" s="15" t="str">
        <f>'[11]Listado de Contratos'!AD16</f>
        <v>https://community.secop.gov.co/Public/Tendering/OpportunityDetail/Index?noticeUID=CO1.NTC.4171708&amp;isFromPublicArea=True&amp;isModal=False</v>
      </c>
      <c r="AG16" s="15" t="str">
        <f>'[11]Listado de Contratos'!AE16</f>
        <v>SI</v>
      </c>
      <c r="AH16" s="15" t="str">
        <f>'[11]Listado de Contratos'!AF16</f>
        <v>NA por TIPO Contrato</v>
      </c>
    </row>
    <row r="17" spans="1:34" s="4" customFormat="1" x14ac:dyDescent="0.25">
      <c r="A17" s="16">
        <v>891780295</v>
      </c>
      <c r="B17" s="16" t="s">
        <v>54</v>
      </c>
      <c r="C17" s="14" t="str">
        <f>'[11]Listado de Contratos'!C17</f>
        <v>INVERSION</v>
      </c>
      <c r="D17" s="16" t="s">
        <v>60</v>
      </c>
      <c r="E17" s="1" t="str">
        <f>'[11]Listado de Contratos'!E17</f>
        <v>OAG-VEX-0478-2023</v>
      </c>
      <c r="F17" s="16" t="s">
        <v>61</v>
      </c>
      <c r="G17" s="1" t="s">
        <v>69</v>
      </c>
      <c r="H17" s="1" t="str">
        <f>'[11]Listado de Contratos'!H17</f>
        <v>PRESTACION DE SERVICIOS</v>
      </c>
      <c r="I17" s="9">
        <f>'[11]Listado de Contratos'!I17</f>
        <v>12000000</v>
      </c>
      <c r="J17" s="94"/>
      <c r="K17" s="2"/>
      <c r="L17" s="2"/>
      <c r="M17" s="40">
        <f t="shared" si="2"/>
        <v>12000000</v>
      </c>
      <c r="N17" s="1">
        <v>1004373834</v>
      </c>
      <c r="O17" s="1" t="str">
        <f>'[11]Listado de Contratos'!O17</f>
        <v>NICOL CAROLINA SIERRA SANCHEZ</v>
      </c>
      <c r="P17" s="1" t="str">
        <f>'[11]Listado de Contratos'!P17</f>
        <v xml:space="preserve">PRESTAR SERVICIOS DE APOYO A LA GESTIÓN EN EL MARCO DEL CONVENIO ESPECÍFICO NO. 3051459 DE 2022, SUSCRITO ENTRE ECOPETROL S.A Y LA UNIVERSIDAD DEL MAGDALENA, PARA EL DESARROLLO DE LAS SIGUIENTES ACTIVIDADES: 1). APOYAR EN LA LOGÍSTICA Y SEGUIMIENTO EN CAMPO DEL DIPLOMADO FORMACIÓN Y ORGANIZACIÓN EMPRESARIAL. 2). APOYAR EN LA LOGÍSTICA Y SEGUIMIENTO EN CAMPO DEL DIPLOMADO DISEÑO Y COMERCIALIZACIÓN DE PRODUCTOS ARTESANALES. </v>
      </c>
      <c r="Q17" s="3">
        <v>44999</v>
      </c>
      <c r="R17" s="3">
        <v>44999</v>
      </c>
      <c r="S17" s="3">
        <v>45183</v>
      </c>
      <c r="T17" s="35"/>
      <c r="U17" s="3"/>
      <c r="V17" s="3"/>
      <c r="W17" s="50"/>
      <c r="X17" s="9">
        <f>2000000+2000000+2000000+2000000</f>
        <v>8000000</v>
      </c>
      <c r="Y17" s="9">
        <f t="shared" si="0"/>
        <v>4000000</v>
      </c>
      <c r="Z17" s="34">
        <f t="shared" si="1"/>
        <v>0.66666666666666663</v>
      </c>
      <c r="AA17" s="1">
        <v>16078654</v>
      </c>
      <c r="AB17" s="1" t="s">
        <v>2178</v>
      </c>
      <c r="AC17" s="1"/>
      <c r="AD17" s="1"/>
      <c r="AE17" s="3"/>
      <c r="AF17" s="15" t="str">
        <f>'[11]Listado de Contratos'!AD17</f>
        <v>https://community.secop.gov.co/Public/Tendering/OpportunityDetail/Index?noticeUID=CO1.NTC.4172378&amp;isFromPublicArea=True&amp;isModal=False</v>
      </c>
      <c r="AG17" s="15" t="str">
        <f>'[11]Listado de Contratos'!AE17</f>
        <v>SI</v>
      </c>
      <c r="AH17" s="15" t="str">
        <f>'[11]Listado de Contratos'!AF17</f>
        <v>SI</v>
      </c>
    </row>
    <row r="18" spans="1:34" s="4" customFormat="1" x14ac:dyDescent="0.25">
      <c r="A18" s="16">
        <v>891780296</v>
      </c>
      <c r="B18" s="16" t="s">
        <v>54</v>
      </c>
      <c r="C18" s="14" t="str">
        <f>'[11]Listado de Contratos'!C18</f>
        <v>INVERSION</v>
      </c>
      <c r="D18" s="16" t="s">
        <v>60</v>
      </c>
      <c r="E18" s="1" t="str">
        <f>'[11]Listado de Contratos'!E18</f>
        <v>OAG-VEX-0565-2023</v>
      </c>
      <c r="F18" s="16" t="s">
        <v>61</v>
      </c>
      <c r="G18" s="1" t="s">
        <v>69</v>
      </c>
      <c r="H18" s="1" t="str">
        <f>'[11]Listado de Contratos'!H18</f>
        <v>PRESTACION DE SERVICIOS</v>
      </c>
      <c r="I18" s="9">
        <f>'[11]Listado de Contratos'!I18</f>
        <v>1920000</v>
      </c>
      <c r="J18" s="94"/>
      <c r="K18" s="2"/>
      <c r="L18" s="2"/>
      <c r="M18" s="40">
        <f t="shared" si="2"/>
        <v>1920000</v>
      </c>
      <c r="N18" s="1">
        <v>27034979</v>
      </c>
      <c r="O18" s="1" t="str">
        <f>'[11]Listado de Contratos'!O18</f>
        <v>CELMIRIA PANA IPUANA</v>
      </c>
      <c r="P18" s="1" t="str">
        <f>'[11]Listado de Contratos'!P18</f>
        <v>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PUERTO ESTRELLA.</v>
      </c>
      <c r="Q18" s="3">
        <v>45050</v>
      </c>
      <c r="R18" s="3">
        <v>45050</v>
      </c>
      <c r="S18" s="3">
        <v>45056</v>
      </c>
      <c r="T18" s="35"/>
      <c r="U18" s="3"/>
      <c r="V18" s="3"/>
      <c r="W18" s="50"/>
      <c r="X18" s="9">
        <v>1920000</v>
      </c>
      <c r="Y18" s="9">
        <f t="shared" si="0"/>
        <v>0</v>
      </c>
      <c r="Z18" s="34">
        <f t="shared" si="1"/>
        <v>1</v>
      </c>
      <c r="AA18" s="1">
        <v>16078654</v>
      </c>
      <c r="AB18" s="1" t="s">
        <v>2178</v>
      </c>
      <c r="AC18" s="1"/>
      <c r="AD18" s="1"/>
      <c r="AE18" s="3"/>
      <c r="AF18" s="15" t="str">
        <f>'[11]Listado de Contratos'!AD18</f>
        <v>https://community.secop.gov.co/Public/Tendering/OpportunityDetail/Index?noticeUID=CO1.NTC.4372577&amp;isFromPublicArea=True&amp;isModal=False</v>
      </c>
      <c r="AG18" s="15" t="str">
        <f>'[11]Listado de Contratos'!AE18</f>
        <v>SI</v>
      </c>
      <c r="AH18" s="15" t="str">
        <f>'[11]Listado de Contratos'!AF18</f>
        <v>SI</v>
      </c>
    </row>
    <row r="19" spans="1:34" s="4" customFormat="1" x14ac:dyDescent="0.25">
      <c r="A19" s="16">
        <v>891780297</v>
      </c>
      <c r="B19" s="16" t="s">
        <v>54</v>
      </c>
      <c r="C19" s="14" t="str">
        <f>'[11]Listado de Contratos'!C19</f>
        <v>INVERSION</v>
      </c>
      <c r="D19" s="16" t="s">
        <v>60</v>
      </c>
      <c r="E19" s="1" t="str">
        <f>'[11]Listado de Contratos'!E19</f>
        <v>OAG-VEX-0566-2023</v>
      </c>
      <c r="F19" s="16" t="s">
        <v>61</v>
      </c>
      <c r="G19" s="1" t="s">
        <v>69</v>
      </c>
      <c r="H19" s="1" t="str">
        <f>'[11]Listado de Contratos'!H19</f>
        <v>PRESTACION DE SERVICIOS</v>
      </c>
      <c r="I19" s="9">
        <f>'[11]Listado de Contratos'!I19</f>
        <v>4800000</v>
      </c>
      <c r="J19" s="94">
        <v>1</v>
      </c>
      <c r="K19" s="2">
        <v>2400000</v>
      </c>
      <c r="L19" s="2"/>
      <c r="M19" s="40">
        <f t="shared" si="2"/>
        <v>7200000</v>
      </c>
      <c r="N19" s="1">
        <v>79558146</v>
      </c>
      <c r="O19" s="1" t="str">
        <f>'[11]Listado de Contratos'!O19</f>
        <v>CESAR ALBERTO MERA RUIZ</v>
      </c>
      <c r="P19" s="1" t="str">
        <f>'[11]Listado de Contratos'!P19</f>
        <v>PRESTAR SERVICIOS DE APOYO A LA GESTIÓN EN EL MARCO DEL CONVENIO ESPECÍFICO NO. 3051459 DE 2022, SUSCRITO ENTRE ECOPETROL S.A Y LA UNIVERSIDAD DEL MAGDALENA, PARA EL DESARROLLO DE LAS SIGUIENTES ACTIVIDADES: 1). DESARROLLAR MÓDULOS DE FORMALIZACIÓN EMPRESARIAL Y GESTIÓN DE RELACIONES ESTRATÉGICAS EN EL DIPLOMADO FORMACIÓN Y ORGANIZACIÓN EMPRESARIAL GRUPO NAZARETH</v>
      </c>
      <c r="Q19" s="3">
        <v>45050</v>
      </c>
      <c r="R19" s="3">
        <v>45050</v>
      </c>
      <c r="S19" s="3">
        <v>45078</v>
      </c>
      <c r="T19" s="35"/>
      <c r="U19" s="3"/>
      <c r="V19" s="3"/>
      <c r="W19" s="50">
        <v>45086</v>
      </c>
      <c r="X19" s="9">
        <v>7200000</v>
      </c>
      <c r="Y19" s="9">
        <f t="shared" si="0"/>
        <v>0</v>
      </c>
      <c r="Z19" s="34">
        <f t="shared" si="1"/>
        <v>1</v>
      </c>
      <c r="AA19" s="1">
        <v>16078654</v>
      </c>
      <c r="AB19" s="1" t="s">
        <v>2178</v>
      </c>
      <c r="AC19" s="1"/>
      <c r="AD19" s="1"/>
      <c r="AE19" s="3"/>
      <c r="AF19" s="15" t="str">
        <f>'[11]Listado de Contratos'!AD19</f>
        <v>https://community.secop.gov.co/Public/Tendering/OpportunityDetail/Index?noticeUID=CO1.NTC.4372824&amp;isFromPublicArea=True&amp;isModal=False</v>
      </c>
      <c r="AG19" s="15" t="str">
        <f>'[11]Listado de Contratos'!AE19</f>
        <v>SI</v>
      </c>
      <c r="AH19" s="15" t="str">
        <f>'[11]Listado de Contratos'!AF19</f>
        <v>SI</v>
      </c>
    </row>
    <row r="20" spans="1:34" s="4" customFormat="1" x14ac:dyDescent="0.25">
      <c r="A20" s="16">
        <v>891780298</v>
      </c>
      <c r="B20" s="16" t="s">
        <v>54</v>
      </c>
      <c r="C20" s="14" t="str">
        <f>'[11]Listado de Contratos'!C20</f>
        <v>INVERSION</v>
      </c>
      <c r="D20" s="16" t="s">
        <v>60</v>
      </c>
      <c r="E20" s="1" t="str">
        <f>'[11]Listado de Contratos'!E20</f>
        <v>OAG-VEX-0567-2023</v>
      </c>
      <c r="F20" s="16" t="s">
        <v>61</v>
      </c>
      <c r="G20" s="1" t="s">
        <v>69</v>
      </c>
      <c r="H20" s="1" t="str">
        <f>'[11]Listado de Contratos'!H20</f>
        <v>PRESTACION DE SERVICIOS</v>
      </c>
      <c r="I20" s="9">
        <f>'[11]Listado de Contratos'!I20</f>
        <v>4800000</v>
      </c>
      <c r="J20" s="94"/>
      <c r="K20" s="2"/>
      <c r="L20" s="2"/>
      <c r="M20" s="40">
        <f t="shared" si="2"/>
        <v>4800000</v>
      </c>
      <c r="N20" s="1">
        <v>36722852</v>
      </c>
      <c r="O20" s="1" t="str">
        <f>'[11]Listado de Contratos'!O20</f>
        <v>EILEEN MARGARITA VILORIA FERNANDEZ</v>
      </c>
      <c r="P20" s="1" t="str">
        <f>'[11]Listado de Contratos'!P20</f>
        <v xml:space="preserve">PRESTAR SERVICIOS DE APOYO A LA GESTIÓN EN EL MARCO DEL CONVENIO ESPECÍFICO NO. 3051459 DE 2022, SUSCRITO ENTRE ECOPETROL S.A Y LA UNIVERSIDAD DEL MAGDALENA, PARA EL DESARROLLO DE LAS SIGUIENTES ACTIVIDADES: 1). DESARROLLAR LOS MÓDULOS DE FORMALIZACIÓN EMPRESARIAL Y GESTIÓN DE RELACIONES ESTRATÉGICAS EN EL DIPLOMADO FORMACIÓN Y ORGANIZACIÓN EMPRESARIAL GRUPO PUERTO ESTRELLA. </v>
      </c>
      <c r="Q20" s="3">
        <v>45050</v>
      </c>
      <c r="R20" s="3">
        <v>45050</v>
      </c>
      <c r="S20" s="3">
        <v>45078</v>
      </c>
      <c r="T20" s="35"/>
      <c r="U20" s="3"/>
      <c r="V20" s="3"/>
      <c r="W20" s="50"/>
      <c r="X20" s="9">
        <v>4800000</v>
      </c>
      <c r="Y20" s="9">
        <f t="shared" si="0"/>
        <v>0</v>
      </c>
      <c r="Z20" s="34">
        <f t="shared" si="1"/>
        <v>1</v>
      </c>
      <c r="AA20" s="1">
        <v>16078654</v>
      </c>
      <c r="AB20" s="1" t="s">
        <v>2178</v>
      </c>
      <c r="AC20" s="1"/>
      <c r="AD20" s="1"/>
      <c r="AE20" s="3"/>
      <c r="AF20" s="15" t="str">
        <f>'[11]Listado de Contratos'!AD20</f>
        <v>https://community.secop.gov.co/Public/Tendering/OpportunityDetail/Index?noticeUID=CO1.NTC.4372923&amp;isFromPublicArea=True&amp;isModal=False</v>
      </c>
      <c r="AG20" s="15" t="str">
        <f>'[11]Listado de Contratos'!AE20</f>
        <v>SI</v>
      </c>
      <c r="AH20" s="15" t="str">
        <f>'[11]Listado de Contratos'!AF20</f>
        <v>SI</v>
      </c>
    </row>
    <row r="21" spans="1:34" s="4" customFormat="1" x14ac:dyDescent="0.25">
      <c r="A21" s="16">
        <v>891780299</v>
      </c>
      <c r="B21" s="16" t="s">
        <v>54</v>
      </c>
      <c r="C21" s="14" t="str">
        <f>'[11]Listado de Contratos'!C21</f>
        <v>INVERSION</v>
      </c>
      <c r="D21" s="16" t="s">
        <v>60</v>
      </c>
      <c r="E21" s="1" t="str">
        <f>'[11]Listado de Contratos'!E21</f>
        <v>OAG-VEX-0568 -2023</v>
      </c>
      <c r="F21" s="16" t="s">
        <v>61</v>
      </c>
      <c r="G21" s="1" t="s">
        <v>69</v>
      </c>
      <c r="H21" s="1" t="str">
        <f>'[11]Listado de Contratos'!H21</f>
        <v>PRESTACION DE SERVICIOS</v>
      </c>
      <c r="I21" s="9">
        <f>'[11]Listado de Contratos'!I21</f>
        <v>1920000</v>
      </c>
      <c r="J21" s="94"/>
      <c r="K21" s="2"/>
      <c r="L21" s="2"/>
      <c r="M21" s="40">
        <f t="shared" si="2"/>
        <v>1920000</v>
      </c>
      <c r="N21" s="1">
        <v>1122411051</v>
      </c>
      <c r="O21" s="1" t="str">
        <f>'[11]Listado de Contratos'!O21</f>
        <v>LUZANGELA BRITO CARRILLO</v>
      </c>
      <c r="P21" s="1" t="str">
        <f>'[11]Listado de Contratos'!P21</f>
        <v xml:space="preserve">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CABECERA. </v>
      </c>
      <c r="Q21" s="3">
        <v>45050</v>
      </c>
      <c r="R21" s="3">
        <v>45050</v>
      </c>
      <c r="S21" s="3">
        <v>45056</v>
      </c>
      <c r="T21" s="35"/>
      <c r="U21" s="3"/>
      <c r="V21" s="3"/>
      <c r="W21" s="50"/>
      <c r="X21" s="9">
        <f>'[11]Listado de Contratos'!V21</f>
        <v>1920000</v>
      </c>
      <c r="Y21" s="9">
        <f t="shared" si="0"/>
        <v>0</v>
      </c>
      <c r="Z21" s="34">
        <f t="shared" si="1"/>
        <v>1</v>
      </c>
      <c r="AA21" s="1">
        <v>16078654</v>
      </c>
      <c r="AB21" s="1" t="s">
        <v>2178</v>
      </c>
      <c r="AC21" s="1"/>
      <c r="AD21" s="1"/>
      <c r="AE21" s="3"/>
      <c r="AF21" s="15" t="str">
        <f>'[11]Listado de Contratos'!AD21</f>
        <v>https://community.secop.gov.co/Public/Tendering/OpportunityDetail/Index?noticeUID=CO1.NTC.4373201&amp;isFromPublicArea=True&amp;isModal=False</v>
      </c>
      <c r="AG21" s="15" t="str">
        <f>'[11]Listado de Contratos'!AE21</f>
        <v>SI</v>
      </c>
      <c r="AH21" s="15" t="str">
        <f>'[11]Listado de Contratos'!AF21</f>
        <v>SI</v>
      </c>
    </row>
    <row r="22" spans="1:34" s="4" customFormat="1" x14ac:dyDescent="0.25">
      <c r="A22" s="16">
        <v>891780300</v>
      </c>
      <c r="B22" s="16" t="s">
        <v>54</v>
      </c>
      <c r="C22" s="14" t="str">
        <f>'[11]Listado de Contratos'!C22</f>
        <v>INVERSION</v>
      </c>
      <c r="D22" s="16" t="s">
        <v>60</v>
      </c>
      <c r="E22" s="1" t="str">
        <f>'[11]Listado de Contratos'!E22</f>
        <v>OPSP-VEX-0569-2023</v>
      </c>
      <c r="F22" s="16" t="s">
        <v>61</v>
      </c>
      <c r="G22" s="1" t="s">
        <v>69</v>
      </c>
      <c r="H22" s="1" t="str">
        <f>'[11]Listado de Contratos'!H22</f>
        <v>PRESTACION DE SERVICIOS</v>
      </c>
      <c r="I22" s="9">
        <f>'[11]Listado de Contratos'!I22</f>
        <v>6720000</v>
      </c>
      <c r="J22" s="94"/>
      <c r="K22" s="2"/>
      <c r="L22" s="2"/>
      <c r="M22" s="40">
        <f t="shared" si="2"/>
        <v>6720000</v>
      </c>
      <c r="N22" s="1">
        <v>1082992753</v>
      </c>
      <c r="O22" s="1" t="str">
        <f>'[11]Listado de Contratos'!O22</f>
        <v>ESPERANZA MOSQUERA MATURANA</v>
      </c>
      <c r="P22" s="1" t="str">
        <f>'[11]Listado de Contratos'!P22</f>
        <v xml:space="preserve">PRESTAR SERVICIOS PROFESIONALES EN EL MARCO DEL CONVENIO ESPECÍFICO NO. 3051459 DE 2022, SUSCRITO ENTRE ECOPETROL S.A Y LA UNIVERSIDAD DEL MAGDALENA, PARA EL DESARROLLO DE LAS SIGUIENTES ACTIVIDADES: 1) DESARROLLAR LOS MÓDULOS DE FORMACIÓN EMPRESARIAL - GRUPO CABECERA Y CABO DE LA VELA, Y FORMALIZACIÓN EMPRESARIAL - GRUPO NAZARETH DEL DIPLOMADO FORMACIÓN Y ORGANIZACIÓN EMPRESARIAL. </v>
      </c>
      <c r="Q22" s="3">
        <v>45050</v>
      </c>
      <c r="R22" s="3">
        <v>45050</v>
      </c>
      <c r="S22" s="3">
        <v>45066</v>
      </c>
      <c r="T22" s="35"/>
      <c r="U22" s="3"/>
      <c r="V22" s="3"/>
      <c r="W22" s="50"/>
      <c r="X22" s="9">
        <v>6720000</v>
      </c>
      <c r="Y22" s="9">
        <f t="shared" si="0"/>
        <v>0</v>
      </c>
      <c r="Z22" s="34">
        <f t="shared" si="1"/>
        <v>1</v>
      </c>
      <c r="AA22" s="1">
        <v>16078654</v>
      </c>
      <c r="AB22" s="1" t="s">
        <v>2178</v>
      </c>
      <c r="AC22" s="1"/>
      <c r="AD22" s="1"/>
      <c r="AE22" s="3"/>
      <c r="AF22" s="15" t="str">
        <f>'[11]Listado de Contratos'!AD22</f>
        <v>https://community.secop.gov.co/Public/Tendering/OpportunityDetail/Index?noticeUID=CO1.NTC.4373125&amp;isFromPublicArea=True&amp;isModal=False</v>
      </c>
      <c r="AG22" s="15" t="str">
        <f>'[11]Listado de Contratos'!AE22</f>
        <v>SI</v>
      </c>
      <c r="AH22" s="15" t="str">
        <f>'[11]Listado de Contratos'!AF22</f>
        <v>SI</v>
      </c>
    </row>
    <row r="23" spans="1:34" s="4" customFormat="1" x14ac:dyDescent="0.25">
      <c r="A23" s="16">
        <v>891780301</v>
      </c>
      <c r="B23" s="16" t="s">
        <v>54</v>
      </c>
      <c r="C23" s="14" t="str">
        <f>'[11]Listado de Contratos'!C23</f>
        <v>INVERSION</v>
      </c>
      <c r="D23" s="16" t="s">
        <v>60</v>
      </c>
      <c r="E23" s="1" t="str">
        <f>'[11]Listado de Contratos'!E23</f>
        <v xml:space="preserve">OPSP-VEX-0596-2023    </v>
      </c>
      <c r="F23" s="16" t="s">
        <v>61</v>
      </c>
      <c r="G23" s="1" t="s">
        <v>69</v>
      </c>
      <c r="H23" s="1" t="str">
        <f>'[11]Listado de Contratos'!H23</f>
        <v>PRESTACION DE SERVICIOS</v>
      </c>
      <c r="I23" s="9">
        <f>'[11]Listado de Contratos'!I23</f>
        <v>1920000</v>
      </c>
      <c r="J23" s="94"/>
      <c r="K23" s="2"/>
      <c r="L23" s="2"/>
      <c r="M23" s="40">
        <f t="shared" si="2"/>
        <v>1920000</v>
      </c>
      <c r="N23" s="1">
        <v>1118863030</v>
      </c>
      <c r="O23" s="1" t="str">
        <f>'[11]Listado de Contratos'!O23</f>
        <v>FRAND ALEXANDER AMILCAR PINTO OJEDA</v>
      </c>
      <c r="P23" s="1" t="str">
        <f>'[11]Listado de Contratos'!P23</f>
        <v>PRESTAR SERVICIOS PROFESIONALES EN EL MARCO DEL CONVENIO ESPECÍFICO NO. 3051459 DE 2022, SUSCRITO ENTRE ECOPETROL S.A Y LA UNIVERSIDAD DEL MAGDALENA, PARA EL DESARROLLO DE LAS SIGUIENTES ACTIVIDADES: 1). DESARROLLAR EL MÓDULO FORMALIZACIÓN EMPRESARIAL EN EL DIPLOMADO FORMACIÓN Y ORGANIZACIÓN EMPRESARIAL GRUPO CABECERA Y CABO DE LA VELA</v>
      </c>
      <c r="Q23" s="3">
        <v>45064</v>
      </c>
      <c r="R23" s="3">
        <v>45065</v>
      </c>
      <c r="S23" s="3">
        <v>45071</v>
      </c>
      <c r="T23" s="35"/>
      <c r="U23" s="3"/>
      <c r="V23" s="3"/>
      <c r="W23" s="50"/>
      <c r="X23" s="9">
        <v>1920000</v>
      </c>
      <c r="Y23" s="9">
        <f t="shared" si="0"/>
        <v>0</v>
      </c>
      <c r="Z23" s="34">
        <f t="shared" si="1"/>
        <v>1</v>
      </c>
      <c r="AA23" s="1">
        <v>16078654</v>
      </c>
      <c r="AB23" s="1" t="s">
        <v>2178</v>
      </c>
      <c r="AC23" s="1"/>
      <c r="AD23" s="1"/>
      <c r="AE23" s="3"/>
      <c r="AF23" s="15" t="str">
        <f>'[11]Listado de Contratos'!AD23</f>
        <v>https://community.secop.gov.co/Public/Tendering/OpportunityDetail/Index?noticeUID=CO1.NTC.4451567&amp;isFromPublicArea=True&amp;isModal=False</v>
      </c>
      <c r="AG23" s="15" t="str">
        <f>'[11]Listado de Contratos'!AE23</f>
        <v>SI</v>
      </c>
      <c r="AH23" s="15" t="s">
        <v>192</v>
      </c>
    </row>
    <row r="24" spans="1:34" s="4" customFormat="1" x14ac:dyDescent="0.25">
      <c r="A24" s="16">
        <v>891780302</v>
      </c>
      <c r="B24" s="16" t="s">
        <v>54</v>
      </c>
      <c r="C24" s="14" t="str">
        <f>'[11]Listado de Contratos'!C24</f>
        <v>INVERSION</v>
      </c>
      <c r="D24" s="16" t="s">
        <v>60</v>
      </c>
      <c r="E24" s="1" t="str">
        <f>'[11]Listado de Contratos'!E24</f>
        <v xml:space="preserve">OPSP-VEX-0598-2023 </v>
      </c>
      <c r="F24" s="16" t="s">
        <v>61</v>
      </c>
      <c r="G24" s="1" t="s">
        <v>69</v>
      </c>
      <c r="H24" s="1" t="str">
        <f>'[11]Listado de Contratos'!H24</f>
        <v>PRESTACION DE SERVICIOS</v>
      </c>
      <c r="I24" s="9">
        <f>'[11]Listado de Contratos'!I24</f>
        <v>2400000</v>
      </c>
      <c r="J24" s="94"/>
      <c r="K24" s="2"/>
      <c r="L24" s="2"/>
      <c r="M24" s="40">
        <f t="shared" si="2"/>
        <v>2400000</v>
      </c>
      <c r="N24" s="1">
        <v>57464026</v>
      </c>
      <c r="O24" s="1" t="str">
        <f>'[11]Listado de Contratos'!O24</f>
        <v>MARTHA JOHANA SANCHEZ GARCIA</v>
      </c>
      <c r="P24" s="1" t="str">
        <f>'[11]Listado de Contratos'!P24</f>
        <v xml:space="preserve">PRESTAR SERVICIOS PROFESIONALES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 GRUPO CABECERA. </v>
      </c>
      <c r="Q24" s="3">
        <v>45069</v>
      </c>
      <c r="R24" s="3">
        <v>45069</v>
      </c>
      <c r="S24" s="3">
        <v>45077</v>
      </c>
      <c r="T24" s="35"/>
      <c r="U24" s="3"/>
      <c r="V24" s="3"/>
      <c r="W24" s="50"/>
      <c r="X24" s="9">
        <v>2400000</v>
      </c>
      <c r="Y24" s="9">
        <f t="shared" si="0"/>
        <v>0</v>
      </c>
      <c r="Z24" s="34">
        <f t="shared" si="1"/>
        <v>1</v>
      </c>
      <c r="AA24" s="1">
        <v>16078654</v>
      </c>
      <c r="AB24" s="1" t="s">
        <v>2178</v>
      </c>
      <c r="AC24" s="1"/>
      <c r="AD24" s="1"/>
      <c r="AE24" s="3"/>
      <c r="AF24" s="15" t="str">
        <f>'[11]Listado de Contratos'!AD24</f>
        <v>https://community.secop.gov.co/Public/Tendering/OpportunityDetail/Index?noticeUID=CO1.NTC.4467298&amp;isFromPublicArea=True&amp;isModal=False</v>
      </c>
      <c r="AG24" s="15" t="str">
        <f>'[11]Listado de Contratos'!AE24</f>
        <v>SI</v>
      </c>
      <c r="AH24" s="15" t="str">
        <f>'[11]Listado de Contratos'!AF24</f>
        <v>SI</v>
      </c>
    </row>
    <row r="25" spans="1:34" s="4" customFormat="1" x14ac:dyDescent="0.25">
      <c r="A25" s="16">
        <v>891780303</v>
      </c>
      <c r="B25" s="16" t="s">
        <v>54</v>
      </c>
      <c r="C25" s="14" t="str">
        <f>'[11]Listado de Contratos'!C25</f>
        <v>INVERSION</v>
      </c>
      <c r="D25" s="16" t="s">
        <v>60</v>
      </c>
      <c r="E25" s="1" t="str">
        <f>'[11]Listado de Contratos'!E25</f>
        <v xml:space="preserve">OAG-VEX-0599-2023 </v>
      </c>
      <c r="F25" s="16" t="s">
        <v>61</v>
      </c>
      <c r="G25" s="1" t="s">
        <v>69</v>
      </c>
      <c r="H25" s="1" t="str">
        <f>'[11]Listado de Contratos'!H25</f>
        <v>PRESTACION DE SERVICIOS</v>
      </c>
      <c r="I25" s="9">
        <f>'[11]Listado de Contratos'!I25</f>
        <v>1920000</v>
      </c>
      <c r="J25" s="94"/>
      <c r="K25" s="2"/>
      <c r="L25" s="2"/>
      <c r="M25" s="40">
        <f t="shared" si="2"/>
        <v>1920000</v>
      </c>
      <c r="N25" s="1">
        <v>1124042926</v>
      </c>
      <c r="O25" s="1" t="str">
        <f>'[11]Listado de Contratos'!O25</f>
        <v>GINA MARIA ARTEAGA DIAZ</v>
      </c>
      <c r="P25" s="1" t="str">
        <f>'[11]Listado de Contratos'!P25</f>
        <v xml:space="preserve">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CABO DE LA VELA. </v>
      </c>
      <c r="Q25" s="3">
        <v>45069</v>
      </c>
      <c r="R25" s="3">
        <v>45084</v>
      </c>
      <c r="S25" s="3">
        <v>45092</v>
      </c>
      <c r="T25" s="35"/>
      <c r="U25" s="3"/>
      <c r="V25" s="3"/>
      <c r="W25" s="50"/>
      <c r="X25" s="9">
        <v>0</v>
      </c>
      <c r="Y25" s="9">
        <f>M25-X25</f>
        <v>1920000</v>
      </c>
      <c r="Z25" s="34">
        <f t="shared" si="1"/>
        <v>0</v>
      </c>
      <c r="AA25" s="1">
        <v>16078654</v>
      </c>
      <c r="AB25" s="1" t="s">
        <v>2178</v>
      </c>
      <c r="AC25" s="1"/>
      <c r="AD25" s="1"/>
      <c r="AE25" s="3"/>
      <c r="AF25" s="15" t="str">
        <f>'[11]Listado de Contratos'!AD25</f>
        <v>https://community.secop.gov.co/Public/Tendering/OpportunityDetail/Index?noticeUID=CO1.NTC.4467962&amp;isFromPublicArea=True&amp;isModal=False</v>
      </c>
      <c r="AG25" s="15" t="s">
        <v>192</v>
      </c>
      <c r="AH25" s="15" t="s">
        <v>192</v>
      </c>
    </row>
    <row r="26" spans="1:34" s="4" customFormat="1" x14ac:dyDescent="0.25">
      <c r="A26" s="16">
        <v>891780304</v>
      </c>
      <c r="B26" s="16" t="s">
        <v>54</v>
      </c>
      <c r="C26" s="14" t="str">
        <f>'[11]Listado de Contratos'!C26</f>
        <v>INVERSION</v>
      </c>
      <c r="D26" s="16" t="s">
        <v>60</v>
      </c>
      <c r="E26" s="1" t="str">
        <f>'[11]Listado de Contratos'!E26</f>
        <v>OAG-VEX-0597-2023</v>
      </c>
      <c r="F26" s="16" t="s">
        <v>61</v>
      </c>
      <c r="G26" s="1" t="s">
        <v>69</v>
      </c>
      <c r="H26" s="1" t="str">
        <f>'[11]Listado de Contratos'!H26</f>
        <v>PRESTACION DE SERVICIOS</v>
      </c>
      <c r="I26" s="9">
        <f>'[11]Listado de Contratos'!I26</f>
        <v>1920000</v>
      </c>
      <c r="J26" s="94"/>
      <c r="K26" s="2"/>
      <c r="L26" s="2"/>
      <c r="M26" s="40">
        <f t="shared" si="2"/>
        <v>1920000</v>
      </c>
      <c r="N26" s="1">
        <v>1122411051</v>
      </c>
      <c r="O26" s="1" t="str">
        <f>'[11]Listado de Contratos'!O26</f>
        <v>LUZANGELA BRITO CARRILLO</v>
      </c>
      <c r="P26" s="1" t="str">
        <f>'[11]Listado de Contratos'!P26</f>
        <v>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CABECERA</v>
      </c>
      <c r="Q26" s="3">
        <v>45069</v>
      </c>
      <c r="R26" s="3">
        <v>45079</v>
      </c>
      <c r="S26" s="3">
        <v>45087</v>
      </c>
      <c r="T26" s="35"/>
      <c r="U26" s="3"/>
      <c r="V26" s="3"/>
      <c r="W26" s="50"/>
      <c r="X26" s="9">
        <v>1920000</v>
      </c>
      <c r="Y26" s="9">
        <f t="shared" ref="Y26:Y28" si="3">M26-X26</f>
        <v>0</v>
      </c>
      <c r="Z26" s="34">
        <f t="shared" si="1"/>
        <v>1</v>
      </c>
      <c r="AA26" s="1">
        <v>16078654</v>
      </c>
      <c r="AB26" s="1" t="s">
        <v>2178</v>
      </c>
      <c r="AC26" s="1"/>
      <c r="AD26" s="1"/>
      <c r="AE26" s="3"/>
      <c r="AF26" s="15" t="str">
        <f>'[11]Listado de Contratos'!AD26</f>
        <v>https://community.secop.gov.co/Public/Tendering/OpportunityDetail/Index?noticeUID=CO1.NTC.4467123&amp;isFromPublicArea=True&amp;isModal=False</v>
      </c>
      <c r="AG26" s="15" t="s">
        <v>192</v>
      </c>
      <c r="AH26" s="15" t="s">
        <v>192</v>
      </c>
    </row>
    <row r="27" spans="1:34" s="4" customFormat="1" x14ac:dyDescent="0.25">
      <c r="A27" s="16">
        <v>891780305</v>
      </c>
      <c r="B27" s="16" t="s">
        <v>54</v>
      </c>
      <c r="C27" s="14" t="str">
        <f>'[11]Listado de Contratos'!C27</f>
        <v>INVERSION</v>
      </c>
      <c r="D27" s="16" t="s">
        <v>60</v>
      </c>
      <c r="E27" s="1" t="str">
        <f>'[11]Listado de Contratos'!E27</f>
        <v xml:space="preserve">OPSP-VEX-0600-2023 </v>
      </c>
      <c r="F27" s="16" t="s">
        <v>61</v>
      </c>
      <c r="G27" s="1" t="s">
        <v>69</v>
      </c>
      <c r="H27" s="1" t="str">
        <f>'[11]Listado de Contratos'!H27</f>
        <v>PRESTACION DE SERVICIOS</v>
      </c>
      <c r="I27" s="9">
        <f>'[11]Listado de Contratos'!I27</f>
        <v>2880000</v>
      </c>
      <c r="J27" s="94"/>
      <c r="K27" s="2"/>
      <c r="L27" s="2"/>
      <c r="M27" s="40">
        <f t="shared" si="2"/>
        <v>2880000</v>
      </c>
      <c r="N27" s="1">
        <v>73201000</v>
      </c>
      <c r="O27" s="1" t="str">
        <f>'[11]Listado de Contratos'!O27</f>
        <v>RAFAEL HERNANDO TAPIA PEREZ</v>
      </c>
      <c r="P27" s="1" t="str">
        <f>'[11]Listado de Contratos'!P27</f>
        <v>PRESTAR SERVICIOS PROFESIONALES EN EL MARCO DEL CONVENIO ESPECÍFICO NO. 3051459 DE 2022, SUSCRITO ENTRE ECOPETROL S.A Y LA UNIVERSIDAD DEL MAGDALENA, PARA EL DESARROLLO DE LAS SIGUIENTES ACTIVIDADES: 1) DESARROLLAR LOS MÓDULOS: FORMALIZACIÓN EMPRESARIAL EN EL DIPLOMADO FORMACIÓN Y ORGANIZACIÓN EMPRESARIAL GRUPO CABO DE LA VELA 2 Y GESTIÓN DE RELACIONES ESTRATÉGICAS EN EL DIPLOMADO FORMACIÓN Y ORGANIZACIÓN EMPRESARIAL GRUPO CABO DE LA VELA.</v>
      </c>
      <c r="Q27" s="3">
        <v>45070</v>
      </c>
      <c r="R27" s="3">
        <v>45070</v>
      </c>
      <c r="S27" s="3">
        <v>45082</v>
      </c>
      <c r="T27" s="35"/>
      <c r="U27" s="3"/>
      <c r="V27" s="3"/>
      <c r="W27" s="50"/>
      <c r="X27" s="9">
        <v>2880000</v>
      </c>
      <c r="Y27" s="9">
        <f t="shared" si="3"/>
        <v>0</v>
      </c>
      <c r="Z27" s="34">
        <f t="shared" si="1"/>
        <v>1</v>
      </c>
      <c r="AA27" s="1">
        <v>16078654</v>
      </c>
      <c r="AB27" s="1" t="s">
        <v>2178</v>
      </c>
      <c r="AC27" s="1"/>
      <c r="AD27" s="1"/>
      <c r="AE27" s="3"/>
      <c r="AF27" s="15" t="str">
        <f>'[11]Listado de Contratos'!AD27</f>
        <v>https://community.secop.gov.co/Public/Tendering/OpportunityDetail/Index?noticeUID=CO1.NTC.4469363&amp;isFromPublicArea=True&amp;isModal=False</v>
      </c>
      <c r="AG27" s="15" t="str">
        <f>'[11]Listado de Contratos'!AE27</f>
        <v>SI</v>
      </c>
      <c r="AH27" s="15" t="s">
        <v>192</v>
      </c>
    </row>
    <row r="28" spans="1:34" s="4" customFormat="1" x14ac:dyDescent="0.25">
      <c r="A28" s="16">
        <v>891780306</v>
      </c>
      <c r="B28" s="16" t="s">
        <v>54</v>
      </c>
      <c r="C28" s="14" t="str">
        <f>'[11]Listado de Contratos'!C28</f>
        <v>INVERSION</v>
      </c>
      <c r="D28" s="16" t="s">
        <v>60</v>
      </c>
      <c r="E28" s="1" t="str">
        <f>'[11]Listado de Contratos'!E28</f>
        <v xml:space="preserve">OPSP-VEX- 0608-2023   </v>
      </c>
      <c r="F28" s="16" t="s">
        <v>61</v>
      </c>
      <c r="G28" s="1" t="s">
        <v>69</v>
      </c>
      <c r="H28" s="1" t="str">
        <f>'[11]Listado de Contratos'!H28</f>
        <v>PRESTACION DE SERVICIOS</v>
      </c>
      <c r="I28" s="9">
        <f>'[11]Listado de Contratos'!I28</f>
        <v>3000000</v>
      </c>
      <c r="J28" s="94"/>
      <c r="K28" s="2"/>
      <c r="L28" s="2"/>
      <c r="M28" s="40">
        <f t="shared" si="2"/>
        <v>3000000</v>
      </c>
      <c r="N28" s="1">
        <v>85470058</v>
      </c>
      <c r="O28" s="1" t="str">
        <f>'[11]Listado de Contratos'!O28</f>
        <v>EDUARDO JOSE BARRENECHE AVILA</v>
      </c>
      <c r="P28" s="1" t="str">
        <f>'[11]Listado de Contratos'!P28</f>
        <v xml:space="preserve">PRESTAR SERVICIOS PROFESIONALES EN EL MARCO DEL CONTRATO NO. 013 DEL 23 DE SEPTIEMBRE DE 2021, SUSCRITO ENTRE INNOVANEX Y LA UNIVERSIDAD DEL MAGDALENA, PARA EL DESARROLLO DE LAS SIGUIENTES ACTIVIDADES: 1).HACER UN BALANCE DEL ESTADO DE CUMPLIMIENTO DE LA UNIVERSIDAD DEL MAGDALENA CON RELACIÓN A LOS ALCANCES Y ENTREGABLES DEL CONTRATO PRESTACIÓN DE SERVICIOS SUSCRITO UNIÓN TEMPORAL INNOVANEX EL 23 DE SEPTIEMBRE DE 2021 CON MIRAS A SU FINALIZACIÓN Y LIQUIDACIÓN. 2). REVISAR LOS ACTOS ADMINISTRATIVOS QUE SE EMITAN CON OCASIÓN DEL CONTRATO PRESTACIÓN DE SERVICIOS SUSCRITO CON LA UNIÓN TEMPORAL INNOVANEX DEL 23 DE SEPTIEMBRE DE 2021. </v>
      </c>
      <c r="Q28" s="3">
        <v>45071</v>
      </c>
      <c r="R28" s="3">
        <v>45071</v>
      </c>
      <c r="S28" s="3">
        <v>45092</v>
      </c>
      <c r="T28" s="35"/>
      <c r="U28" s="3"/>
      <c r="V28" s="3"/>
      <c r="W28" s="50"/>
      <c r="X28" s="9">
        <v>3000000</v>
      </c>
      <c r="Y28" s="9">
        <f t="shared" si="3"/>
        <v>0</v>
      </c>
      <c r="Z28" s="34">
        <f t="shared" si="1"/>
        <v>1</v>
      </c>
      <c r="AA28" s="1">
        <v>16078654</v>
      </c>
      <c r="AB28" s="1" t="s">
        <v>2178</v>
      </c>
      <c r="AC28" s="1"/>
      <c r="AD28" s="1"/>
      <c r="AE28" s="3"/>
      <c r="AF28" s="15" t="str">
        <f>'[11]Listado de Contratos'!AD28</f>
        <v xml:space="preserve">https://community.secop.gov.co/Public/Tendering/OpportunityDetail/Index?noticeUID=CO1.NTC.4478354&amp;isFromPublicArea=True&amp;isModal=False
</v>
      </c>
      <c r="AG28" s="15" t="str">
        <f>'[11]Listado de Contratos'!AE28</f>
        <v>SI</v>
      </c>
      <c r="AH28" s="15" t="str">
        <f>'[11]Listado de Contratos'!AF28</f>
        <v>SI</v>
      </c>
    </row>
    <row r="29" spans="1:34" s="4" customFormat="1" x14ac:dyDescent="0.25">
      <c r="A29" s="16">
        <v>891780307</v>
      </c>
      <c r="B29" s="16" t="s">
        <v>54</v>
      </c>
      <c r="C29" s="14" t="str">
        <f>'[11]Listado de Contratos'!C29</f>
        <v>INVERSION</v>
      </c>
      <c r="D29" s="16" t="s">
        <v>60</v>
      </c>
      <c r="E29" s="1" t="str">
        <f>'[11]Listado de Contratos'!E29</f>
        <v xml:space="preserve">OPSP-VEX-0614-2023 </v>
      </c>
      <c r="F29" s="16" t="s">
        <v>61</v>
      </c>
      <c r="G29" s="1" t="s">
        <v>69</v>
      </c>
      <c r="H29" s="1" t="str">
        <f>'[11]Listado de Contratos'!H29</f>
        <v>PRESTACION DE SERVICIOS</v>
      </c>
      <c r="I29" s="9">
        <f>'[11]Listado de Contratos'!I29</f>
        <v>5760000</v>
      </c>
      <c r="J29" s="94">
        <v>1</v>
      </c>
      <c r="K29" s="2"/>
      <c r="L29" s="2"/>
      <c r="M29" s="40">
        <f t="shared" si="2"/>
        <v>5760000</v>
      </c>
      <c r="N29" s="1">
        <v>39690641</v>
      </c>
      <c r="O29" s="1" t="str">
        <f>'[11]Listado de Contratos'!O29</f>
        <v>COLOMBIA SANDRA PATRICIA JARAMILLO BOTERO</v>
      </c>
      <c r="P29" s="1" t="str">
        <f>'[11]Listado de Contratos'!P29</f>
        <v>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CABO DE LA VELA-GRUPO 2 Y DESARROLLAR EL MÓDULO MERCADEO Y COMERCIALIZACIÓN EN EL DIPLOMADO DISEÑO Y COMERCIALIZACIÓN DE PRODUCTOS ARTESANALES – GRUPO PUERTO ESTRELLA Y CABO DE LA VELA.</v>
      </c>
      <c r="Q29" s="3">
        <v>45072</v>
      </c>
      <c r="R29" s="3">
        <v>45077</v>
      </c>
      <c r="S29" s="3">
        <v>45090</v>
      </c>
      <c r="T29" s="35"/>
      <c r="U29" s="3"/>
      <c r="V29" s="3"/>
      <c r="W29" s="50">
        <v>45140</v>
      </c>
      <c r="X29" s="9">
        <v>0</v>
      </c>
      <c r="Y29" s="9">
        <f>M29-X29</f>
        <v>5760000</v>
      </c>
      <c r="Z29" s="34">
        <f t="shared" si="1"/>
        <v>0</v>
      </c>
      <c r="AA29" s="1">
        <v>16078654</v>
      </c>
      <c r="AB29" s="1" t="s">
        <v>2178</v>
      </c>
      <c r="AC29" s="1"/>
      <c r="AD29" s="1"/>
      <c r="AE29" s="3"/>
      <c r="AF29" s="15" t="str">
        <f>'[11]Listado de Contratos'!AD29</f>
        <v xml:space="preserve">https://community.secop.gov.co/Public/Tendering/OpportunityDetail/Index?noticeUID=CO1.NTC.4482350&amp;isFromPublicArea=True&amp;isModal=False
</v>
      </c>
      <c r="AG29" s="15" t="str">
        <f>'[11]Listado de Contratos'!AE29</f>
        <v>SI</v>
      </c>
      <c r="AH29" s="15" t="s">
        <v>192</v>
      </c>
    </row>
    <row r="30" spans="1:34" s="4" customFormat="1" x14ac:dyDescent="0.25">
      <c r="A30" s="16">
        <v>891780308</v>
      </c>
      <c r="B30" s="16" t="s">
        <v>54</v>
      </c>
      <c r="C30" s="14" t="str">
        <f>'[11]Listado de Contratos'!C30</f>
        <v>INVERSION</v>
      </c>
      <c r="D30" s="16" t="s">
        <v>60</v>
      </c>
      <c r="E30" s="1" t="str">
        <f>'[11]Listado de Contratos'!E30</f>
        <v xml:space="preserve">OPSP-VEX-0611-2023  </v>
      </c>
      <c r="F30" s="16" t="s">
        <v>61</v>
      </c>
      <c r="G30" s="1" t="s">
        <v>69</v>
      </c>
      <c r="H30" s="1" t="str">
        <f>'[11]Listado de Contratos'!H30</f>
        <v>PRESTACION DE SERVICIOS</v>
      </c>
      <c r="I30" s="9">
        <f>'[11]Listado de Contratos'!I30</f>
        <v>3840000</v>
      </c>
      <c r="J30" s="94"/>
      <c r="K30" s="2"/>
      <c r="L30" s="2"/>
      <c r="M30" s="40">
        <f t="shared" si="2"/>
        <v>3840000</v>
      </c>
      <c r="N30" s="1">
        <v>1082856383</v>
      </c>
      <c r="O30" s="1" t="str">
        <f>'[11]Listado de Contratos'!O30</f>
        <v>PEDRO LUIS NAVARRO HERNÁNDEZ</v>
      </c>
      <c r="P30" s="1" t="str">
        <f>'[11]Listado de Contratos'!P30</f>
        <v>PRESTAR SERVICIOS PROFESIONALES EN EL MARCO DEL CONVENIO ESPECÍFICO NO. 3051459 DE 2022, SUSCRITO ENTRE ECOPETROL S.A Y LA UNIVERSIDAD DEL MAGDALENA, PARA EL DESARROLLO DE LAS SIGUIENTES ACTIVIDADES:  1). DESARROLLAR EL MÓDULO MERCADEO Y COMERCIALIZACIÓN EN EL DIPLOMADO DISEÑO Y COMERCIALIZACIÓN DE PRODUCTOS ARTESANALES - GRUPO CABECERA Y DESARROLLO DEL MÓDULO E-COMMERCE EN EL DIPLOMADO DISEÑO Y COMERCIALIZACIÓN DE PRODUCTOS ARTESANALES - GRUPO PUERTO ESTRELLA</v>
      </c>
      <c r="Q30" s="3">
        <v>45072</v>
      </c>
      <c r="R30" s="3">
        <v>45077</v>
      </c>
      <c r="S30" s="3">
        <v>45105</v>
      </c>
      <c r="T30" s="35"/>
      <c r="U30" s="3"/>
      <c r="V30" s="3"/>
      <c r="W30" s="50"/>
      <c r="X30" s="9">
        <v>0</v>
      </c>
      <c r="Y30" s="9">
        <f>M30-X30</f>
        <v>3840000</v>
      </c>
      <c r="Z30" s="34">
        <f t="shared" si="1"/>
        <v>0</v>
      </c>
      <c r="AA30" s="1">
        <v>16078654</v>
      </c>
      <c r="AB30" s="1" t="s">
        <v>2178</v>
      </c>
      <c r="AC30" s="1"/>
      <c r="AD30" s="1"/>
      <c r="AE30" s="3"/>
      <c r="AF30" s="15" t="str">
        <f>'[11]Listado de Contratos'!AD30</f>
        <v>https://community.secop.gov.co/Public/Tendering/OpportunityDetail/Index?noticeUID=CO1.NTC.4482172&amp;isFromPublicArea=True&amp;isModal=False</v>
      </c>
      <c r="AG30" s="15" t="str">
        <f>'[11]Listado de Contratos'!AE30</f>
        <v>SI</v>
      </c>
      <c r="AH30" s="15" t="str">
        <f>'[11]Listado de Contratos'!AF30</f>
        <v>SI</v>
      </c>
    </row>
    <row r="31" spans="1:34" s="4" customFormat="1" x14ac:dyDescent="0.25">
      <c r="A31" s="16">
        <v>891780308</v>
      </c>
      <c r="B31" s="16" t="s">
        <v>54</v>
      </c>
      <c r="C31" s="14" t="s">
        <v>57</v>
      </c>
      <c r="D31" s="16" t="s">
        <v>60</v>
      </c>
      <c r="E31" s="1" t="s">
        <v>2183</v>
      </c>
      <c r="F31" s="16" t="s">
        <v>61</v>
      </c>
      <c r="G31" s="1" t="s">
        <v>69</v>
      </c>
      <c r="H31" s="1" t="s">
        <v>73</v>
      </c>
      <c r="I31" s="9">
        <v>4320000</v>
      </c>
      <c r="J31" s="94"/>
      <c r="K31" s="2"/>
      <c r="L31" s="2"/>
      <c r="M31" s="40">
        <f t="shared" si="2"/>
        <v>4320000</v>
      </c>
      <c r="N31" s="1">
        <v>1082996860</v>
      </c>
      <c r="O31" s="1" t="s">
        <v>2184</v>
      </c>
      <c r="P31" s="1" t="s">
        <v>2185</v>
      </c>
      <c r="Q31" s="3">
        <v>45085</v>
      </c>
      <c r="R31" s="3">
        <v>45086</v>
      </c>
      <c r="S31" s="3">
        <v>45140</v>
      </c>
      <c r="T31" s="35"/>
      <c r="U31" s="3"/>
      <c r="V31" s="3"/>
      <c r="W31" s="50"/>
      <c r="X31" s="9">
        <v>0</v>
      </c>
      <c r="Y31" s="9">
        <f>M31-X31</f>
        <v>4320000</v>
      </c>
      <c r="Z31" s="34">
        <f t="shared" si="1"/>
        <v>0</v>
      </c>
      <c r="AA31" s="1">
        <v>16078654</v>
      </c>
      <c r="AB31" s="1" t="s">
        <v>2178</v>
      </c>
      <c r="AC31" s="1"/>
      <c r="AD31" s="1"/>
      <c r="AE31" s="3"/>
      <c r="AF31" s="194" t="s">
        <v>2186</v>
      </c>
      <c r="AG31" s="15" t="s">
        <v>192</v>
      </c>
      <c r="AH31" s="15" t="s">
        <v>192</v>
      </c>
    </row>
    <row r="32" spans="1:34" s="4" customFormat="1" x14ac:dyDescent="0.25">
      <c r="A32" s="16">
        <v>891780308</v>
      </c>
      <c r="B32" s="16" t="s">
        <v>54</v>
      </c>
      <c r="C32" s="14" t="s">
        <v>57</v>
      </c>
      <c r="D32" s="16" t="s">
        <v>60</v>
      </c>
      <c r="E32" s="1" t="s">
        <v>2187</v>
      </c>
      <c r="F32" s="16" t="s">
        <v>61</v>
      </c>
      <c r="G32" s="1" t="s">
        <v>69</v>
      </c>
      <c r="H32" s="1" t="s">
        <v>73</v>
      </c>
      <c r="I32" s="9">
        <v>1920000</v>
      </c>
      <c r="J32" s="94"/>
      <c r="K32" s="2"/>
      <c r="L32" s="2"/>
      <c r="M32" s="40">
        <f t="shared" si="2"/>
        <v>1920000</v>
      </c>
      <c r="N32" s="1">
        <v>1102856520</v>
      </c>
      <c r="O32" s="1" t="s">
        <v>2188</v>
      </c>
      <c r="P32" s="1" t="s">
        <v>2189</v>
      </c>
      <c r="Q32" s="3">
        <v>45085</v>
      </c>
      <c r="R32" s="3">
        <v>45085</v>
      </c>
      <c r="S32" s="3">
        <v>45094</v>
      </c>
      <c r="T32" s="35"/>
      <c r="U32" s="3"/>
      <c r="V32" s="3"/>
      <c r="W32" s="50"/>
      <c r="X32" s="9">
        <v>0</v>
      </c>
      <c r="Y32" s="9">
        <f>M32-X32</f>
        <v>1920000</v>
      </c>
      <c r="Z32" s="34">
        <f t="shared" si="1"/>
        <v>0</v>
      </c>
      <c r="AA32" s="1">
        <v>16078654</v>
      </c>
      <c r="AB32" s="1" t="s">
        <v>2178</v>
      </c>
      <c r="AC32" s="1"/>
      <c r="AD32" s="1"/>
      <c r="AE32" s="3"/>
      <c r="AF32" s="194" t="s">
        <v>2190</v>
      </c>
      <c r="AG32" s="15" t="s">
        <v>192</v>
      </c>
      <c r="AH32" s="15" t="s">
        <v>192</v>
      </c>
    </row>
    <row r="33" spans="1:34" s="4" customFormat="1" x14ac:dyDescent="0.25">
      <c r="A33" s="16">
        <v>891780308</v>
      </c>
      <c r="B33" s="16" t="s">
        <v>54</v>
      </c>
      <c r="C33" s="14" t="s">
        <v>57</v>
      </c>
      <c r="D33" s="16" t="s">
        <v>60</v>
      </c>
      <c r="E33" s="1" t="s">
        <v>2191</v>
      </c>
      <c r="F33" s="16" t="s">
        <v>61</v>
      </c>
      <c r="G33" s="1" t="s">
        <v>69</v>
      </c>
      <c r="H33" s="1" t="s">
        <v>73</v>
      </c>
      <c r="I33" s="9">
        <v>2400000</v>
      </c>
      <c r="J33" s="94"/>
      <c r="K33" s="2"/>
      <c r="L33" s="2"/>
      <c r="M33" s="40">
        <f t="shared" si="2"/>
        <v>2400000</v>
      </c>
      <c r="N33" s="1">
        <v>57433180</v>
      </c>
      <c r="O33" s="1" t="s">
        <v>2192</v>
      </c>
      <c r="P33" s="1" t="s">
        <v>2193</v>
      </c>
      <c r="Q33" s="3">
        <v>45085</v>
      </c>
      <c r="R33" s="3">
        <v>45085</v>
      </c>
      <c r="S33" s="3">
        <v>45093</v>
      </c>
      <c r="T33" s="35"/>
      <c r="U33" s="3"/>
      <c r="V33" s="3"/>
      <c r="W33" s="50"/>
      <c r="X33" s="9">
        <v>2400000</v>
      </c>
      <c r="Y33" s="9">
        <f>M33-X33</f>
        <v>0</v>
      </c>
      <c r="Z33" s="34">
        <f t="shared" si="1"/>
        <v>1</v>
      </c>
      <c r="AA33" s="1">
        <v>16078654</v>
      </c>
      <c r="AB33" s="1" t="s">
        <v>2178</v>
      </c>
      <c r="AC33" s="1"/>
      <c r="AD33" s="1"/>
      <c r="AE33" s="3"/>
      <c r="AF33" s="194" t="s">
        <v>2194</v>
      </c>
      <c r="AG33" s="15" t="s">
        <v>192</v>
      </c>
      <c r="AH33" s="15" t="s">
        <v>192</v>
      </c>
    </row>
    <row r="34" spans="1:34" s="4" customFormat="1" x14ac:dyDescent="0.25">
      <c r="A34" s="16">
        <v>891780308</v>
      </c>
      <c r="B34" s="16" t="s">
        <v>54</v>
      </c>
      <c r="C34" s="14" t="s">
        <v>57</v>
      </c>
      <c r="D34" s="16" t="s">
        <v>60</v>
      </c>
      <c r="E34" s="1" t="s">
        <v>2195</v>
      </c>
      <c r="F34" s="16" t="s">
        <v>61</v>
      </c>
      <c r="G34" s="1" t="s">
        <v>69</v>
      </c>
      <c r="H34" s="1" t="s">
        <v>73</v>
      </c>
      <c r="I34" s="9">
        <v>25200000</v>
      </c>
      <c r="J34" s="94"/>
      <c r="K34" s="2"/>
      <c r="L34" s="2"/>
      <c r="M34" s="40">
        <f t="shared" si="2"/>
        <v>25200000</v>
      </c>
      <c r="N34" s="1">
        <v>1082961548</v>
      </c>
      <c r="O34" s="1" t="s">
        <v>2196</v>
      </c>
      <c r="P34" s="1" t="s">
        <v>2197</v>
      </c>
      <c r="Q34" s="3">
        <v>45107</v>
      </c>
      <c r="R34" s="3">
        <v>45107</v>
      </c>
      <c r="S34" s="3">
        <v>45276</v>
      </c>
      <c r="T34" s="35"/>
      <c r="U34" s="3"/>
      <c r="V34" s="3"/>
      <c r="W34" s="50"/>
      <c r="X34" s="9">
        <v>0</v>
      </c>
      <c r="Y34" s="9">
        <f t="shared" ref="Y34:Y97" si="4">M34-X34</f>
        <v>25200000</v>
      </c>
      <c r="Z34" s="34">
        <f t="shared" si="1"/>
        <v>0</v>
      </c>
      <c r="AA34" s="1">
        <v>12533448</v>
      </c>
      <c r="AB34" s="1" t="s">
        <v>2198</v>
      </c>
      <c r="AC34" s="1"/>
      <c r="AD34" s="1"/>
      <c r="AE34" s="3"/>
      <c r="AF34" s="194" t="s">
        <v>2199</v>
      </c>
      <c r="AG34" s="15" t="s">
        <v>192</v>
      </c>
      <c r="AH34" s="15" t="s">
        <v>192</v>
      </c>
    </row>
    <row r="35" spans="1:34" s="4" customFormat="1" x14ac:dyDescent="0.25">
      <c r="A35" s="16">
        <v>891780308</v>
      </c>
      <c r="B35" s="16" t="s">
        <v>54</v>
      </c>
      <c r="C35" s="14" t="s">
        <v>57</v>
      </c>
      <c r="D35" s="16" t="s">
        <v>60</v>
      </c>
      <c r="E35" s="1" t="s">
        <v>2200</v>
      </c>
      <c r="F35" s="16" t="s">
        <v>61</v>
      </c>
      <c r="G35" s="1" t="s">
        <v>69</v>
      </c>
      <c r="H35" s="1" t="s">
        <v>73</v>
      </c>
      <c r="I35" s="9">
        <v>15000000</v>
      </c>
      <c r="J35" s="94"/>
      <c r="K35" s="2"/>
      <c r="L35" s="2"/>
      <c r="M35" s="40">
        <f t="shared" si="2"/>
        <v>15000000</v>
      </c>
      <c r="N35" s="1">
        <v>16702067</v>
      </c>
      <c r="O35" s="1" t="s">
        <v>2201</v>
      </c>
      <c r="P35" s="1" t="s">
        <v>2202</v>
      </c>
      <c r="Q35" s="3">
        <v>45107</v>
      </c>
      <c r="R35" s="3">
        <v>45107</v>
      </c>
      <c r="S35" s="3">
        <v>45276</v>
      </c>
      <c r="T35" s="35"/>
      <c r="U35" s="3"/>
      <c r="V35" s="3"/>
      <c r="W35" s="50"/>
      <c r="X35" s="9">
        <v>0</v>
      </c>
      <c r="Y35" s="9">
        <f t="shared" si="4"/>
        <v>15000000</v>
      </c>
      <c r="Z35" s="34">
        <f t="shared" si="1"/>
        <v>0</v>
      </c>
      <c r="AA35" s="1">
        <v>12533448</v>
      </c>
      <c r="AB35" s="1" t="s">
        <v>2198</v>
      </c>
      <c r="AC35" s="1"/>
      <c r="AD35" s="1"/>
      <c r="AE35" s="3"/>
      <c r="AF35" s="194" t="s">
        <v>2203</v>
      </c>
      <c r="AG35" s="15" t="s">
        <v>192</v>
      </c>
      <c r="AH35" s="15" t="s">
        <v>192</v>
      </c>
    </row>
    <row r="36" spans="1:34" s="4" customFormat="1" x14ac:dyDescent="0.25">
      <c r="A36" s="16">
        <v>891780308</v>
      </c>
      <c r="B36" s="16" t="s">
        <v>54</v>
      </c>
      <c r="C36" s="14" t="s">
        <v>57</v>
      </c>
      <c r="D36" s="16" t="s">
        <v>60</v>
      </c>
      <c r="E36" s="1" t="s">
        <v>2204</v>
      </c>
      <c r="F36" s="16" t="s">
        <v>61</v>
      </c>
      <c r="G36" s="1" t="s">
        <v>69</v>
      </c>
      <c r="H36" s="1" t="s">
        <v>73</v>
      </c>
      <c r="I36" s="9">
        <v>12000000</v>
      </c>
      <c r="J36" s="94"/>
      <c r="K36" s="2"/>
      <c r="L36" s="2"/>
      <c r="M36" s="40">
        <f t="shared" si="2"/>
        <v>12000000</v>
      </c>
      <c r="N36" s="1">
        <v>1082843154</v>
      </c>
      <c r="O36" s="1" t="s">
        <v>2205</v>
      </c>
      <c r="P36" s="1" t="s">
        <v>2206</v>
      </c>
      <c r="Q36" s="3">
        <v>45107</v>
      </c>
      <c r="R36" s="3">
        <v>45107</v>
      </c>
      <c r="S36" s="3">
        <v>45276</v>
      </c>
      <c r="T36" s="35"/>
      <c r="U36" s="3"/>
      <c r="V36" s="3"/>
      <c r="W36" s="50"/>
      <c r="X36" s="9">
        <v>0</v>
      </c>
      <c r="Y36" s="9">
        <f t="shared" si="4"/>
        <v>12000000</v>
      </c>
      <c r="Z36" s="34">
        <f t="shared" si="1"/>
        <v>0</v>
      </c>
      <c r="AA36" s="1">
        <v>12533448</v>
      </c>
      <c r="AB36" s="1" t="s">
        <v>2198</v>
      </c>
      <c r="AC36" s="1"/>
      <c r="AD36" s="1"/>
      <c r="AE36" s="3"/>
      <c r="AF36" s="194" t="s">
        <v>2207</v>
      </c>
      <c r="AG36" s="15" t="s">
        <v>192</v>
      </c>
      <c r="AH36" s="15" t="s">
        <v>192</v>
      </c>
    </row>
    <row r="37" spans="1:34" s="4" customFormat="1" x14ac:dyDescent="0.25">
      <c r="A37" s="16">
        <v>891780308</v>
      </c>
      <c r="B37" s="16" t="s">
        <v>54</v>
      </c>
      <c r="C37" s="14" t="s">
        <v>57</v>
      </c>
      <c r="D37" s="16" t="s">
        <v>60</v>
      </c>
      <c r="E37" s="1" t="s">
        <v>2208</v>
      </c>
      <c r="F37" s="16" t="s">
        <v>61</v>
      </c>
      <c r="G37" s="1" t="s">
        <v>69</v>
      </c>
      <c r="H37" s="1" t="s">
        <v>73</v>
      </c>
      <c r="I37" s="9">
        <v>21000000</v>
      </c>
      <c r="J37" s="94"/>
      <c r="K37" s="2"/>
      <c r="L37" s="2"/>
      <c r="M37" s="40">
        <f t="shared" si="2"/>
        <v>21000000</v>
      </c>
      <c r="N37" s="1">
        <v>36722139</v>
      </c>
      <c r="O37" s="1" t="s">
        <v>2209</v>
      </c>
      <c r="P37" s="1" t="s">
        <v>2210</v>
      </c>
      <c r="Q37" s="3">
        <v>45107</v>
      </c>
      <c r="R37" s="3">
        <v>45107</v>
      </c>
      <c r="S37" s="3">
        <v>45276</v>
      </c>
      <c r="T37" s="35"/>
      <c r="U37" s="3"/>
      <c r="V37" s="3"/>
      <c r="W37" s="50"/>
      <c r="X37" s="9">
        <v>0</v>
      </c>
      <c r="Y37" s="9">
        <f t="shared" si="4"/>
        <v>21000000</v>
      </c>
      <c r="Z37" s="34">
        <f t="shared" si="1"/>
        <v>0</v>
      </c>
      <c r="AA37" s="1">
        <v>12533448</v>
      </c>
      <c r="AB37" s="1" t="s">
        <v>2198</v>
      </c>
      <c r="AC37" s="1"/>
      <c r="AD37" s="1"/>
      <c r="AE37" s="3"/>
      <c r="AF37" s="194" t="s">
        <v>2211</v>
      </c>
      <c r="AG37" s="15" t="s">
        <v>192</v>
      </c>
      <c r="AH37" s="15" t="s">
        <v>192</v>
      </c>
    </row>
    <row r="38" spans="1:34" s="4" customFormat="1" x14ac:dyDescent="0.25">
      <c r="A38" s="16">
        <v>891780308</v>
      </c>
      <c r="B38" s="16" t="s">
        <v>54</v>
      </c>
      <c r="C38" s="14" t="s">
        <v>57</v>
      </c>
      <c r="D38" s="16" t="s">
        <v>60</v>
      </c>
      <c r="E38" s="1" t="s">
        <v>2212</v>
      </c>
      <c r="F38" s="16" t="s">
        <v>61</v>
      </c>
      <c r="G38" s="1" t="s">
        <v>69</v>
      </c>
      <c r="H38" s="1" t="s">
        <v>73</v>
      </c>
      <c r="I38" s="9">
        <v>33000000</v>
      </c>
      <c r="J38" s="94"/>
      <c r="K38" s="2"/>
      <c r="L38" s="2"/>
      <c r="M38" s="40">
        <f t="shared" si="2"/>
        <v>33000000</v>
      </c>
      <c r="N38" s="1">
        <v>57292715</v>
      </c>
      <c r="O38" s="1" t="s">
        <v>2213</v>
      </c>
      <c r="P38" s="1" t="s">
        <v>2214</v>
      </c>
      <c r="Q38" s="3">
        <v>45107</v>
      </c>
      <c r="R38" s="3">
        <v>45107</v>
      </c>
      <c r="S38" s="3">
        <v>45276</v>
      </c>
      <c r="T38" s="35"/>
      <c r="U38" s="3"/>
      <c r="V38" s="3"/>
      <c r="W38" s="50"/>
      <c r="X38" s="9">
        <v>0</v>
      </c>
      <c r="Y38" s="9">
        <f t="shared" si="4"/>
        <v>33000000</v>
      </c>
      <c r="Z38" s="34">
        <f t="shared" si="1"/>
        <v>0</v>
      </c>
      <c r="AA38" s="1">
        <v>12533448</v>
      </c>
      <c r="AB38" s="1" t="s">
        <v>2198</v>
      </c>
      <c r="AC38" s="1"/>
      <c r="AD38" s="1"/>
      <c r="AE38" s="3"/>
      <c r="AF38" s="194" t="s">
        <v>2215</v>
      </c>
      <c r="AG38" s="15" t="s">
        <v>192</v>
      </c>
      <c r="AH38" s="15" t="s">
        <v>192</v>
      </c>
    </row>
    <row r="39" spans="1:34" s="4" customFormat="1" x14ac:dyDescent="0.25">
      <c r="A39" s="16">
        <v>891780308</v>
      </c>
      <c r="B39" s="16" t="s">
        <v>54</v>
      </c>
      <c r="C39" s="14" t="s">
        <v>57</v>
      </c>
      <c r="D39" s="16" t="s">
        <v>60</v>
      </c>
      <c r="E39" s="1" t="s">
        <v>2216</v>
      </c>
      <c r="F39" s="16" t="s">
        <v>61</v>
      </c>
      <c r="G39" s="1" t="s">
        <v>69</v>
      </c>
      <c r="H39" s="1" t="s">
        <v>73</v>
      </c>
      <c r="I39" s="9">
        <v>21000000</v>
      </c>
      <c r="J39" s="94"/>
      <c r="K39" s="2"/>
      <c r="L39" s="2"/>
      <c r="M39" s="40">
        <f t="shared" si="2"/>
        <v>21000000</v>
      </c>
      <c r="N39" s="1">
        <v>85474379</v>
      </c>
      <c r="O39" s="1" t="s">
        <v>2217</v>
      </c>
      <c r="P39" s="1" t="s">
        <v>2218</v>
      </c>
      <c r="Q39" s="3">
        <v>45107</v>
      </c>
      <c r="R39" s="3">
        <v>45107</v>
      </c>
      <c r="S39" s="3">
        <v>45276</v>
      </c>
      <c r="T39" s="35"/>
      <c r="U39" s="3"/>
      <c r="V39" s="3"/>
      <c r="W39" s="50"/>
      <c r="X39" s="9">
        <v>0</v>
      </c>
      <c r="Y39" s="9">
        <f t="shared" si="4"/>
        <v>21000000</v>
      </c>
      <c r="Z39" s="34">
        <f t="shared" si="1"/>
        <v>0</v>
      </c>
      <c r="AA39" s="1">
        <v>12533448</v>
      </c>
      <c r="AB39" s="1" t="s">
        <v>2198</v>
      </c>
      <c r="AC39" s="1"/>
      <c r="AD39" s="1"/>
      <c r="AE39" s="3"/>
      <c r="AF39" s="194" t="s">
        <v>2219</v>
      </c>
      <c r="AG39" s="15" t="s">
        <v>192</v>
      </c>
      <c r="AH39" s="15" t="s">
        <v>192</v>
      </c>
    </row>
    <row r="40" spans="1:34" s="4" customFormat="1" x14ac:dyDescent="0.25">
      <c r="A40" s="16">
        <v>891780308</v>
      </c>
      <c r="B40" s="16" t="s">
        <v>54</v>
      </c>
      <c r="C40" s="14" t="s">
        <v>57</v>
      </c>
      <c r="D40" s="16" t="s">
        <v>60</v>
      </c>
      <c r="E40" s="1" t="s">
        <v>2220</v>
      </c>
      <c r="F40" s="16" t="s">
        <v>61</v>
      </c>
      <c r="G40" s="1" t="s">
        <v>69</v>
      </c>
      <c r="H40" s="1" t="s">
        <v>73</v>
      </c>
      <c r="I40" s="9">
        <v>13500000</v>
      </c>
      <c r="J40" s="94"/>
      <c r="K40" s="2"/>
      <c r="L40" s="2"/>
      <c r="M40" s="40">
        <f t="shared" si="2"/>
        <v>13500000</v>
      </c>
      <c r="N40" s="1">
        <v>1082989092</v>
      </c>
      <c r="O40" s="1" t="s">
        <v>2221</v>
      </c>
      <c r="P40" s="1" t="s">
        <v>2222</v>
      </c>
      <c r="Q40" s="3">
        <v>45107</v>
      </c>
      <c r="R40" s="3">
        <v>45107</v>
      </c>
      <c r="S40" s="3">
        <v>45276</v>
      </c>
      <c r="T40" s="35"/>
      <c r="U40" s="3"/>
      <c r="V40" s="3"/>
      <c r="W40" s="50"/>
      <c r="X40" s="9">
        <v>0</v>
      </c>
      <c r="Y40" s="9">
        <f t="shared" si="4"/>
        <v>13500000</v>
      </c>
      <c r="Z40" s="34">
        <f t="shared" si="1"/>
        <v>0</v>
      </c>
      <c r="AA40" s="1">
        <v>12533448</v>
      </c>
      <c r="AB40" s="1" t="s">
        <v>2198</v>
      </c>
      <c r="AC40" s="1"/>
      <c r="AD40" s="1"/>
      <c r="AE40" s="3"/>
      <c r="AF40" s="194" t="s">
        <v>2223</v>
      </c>
      <c r="AG40" s="15" t="s">
        <v>192</v>
      </c>
      <c r="AH40" s="15" t="s">
        <v>192</v>
      </c>
    </row>
    <row r="41" spans="1:34" s="4" customFormat="1" x14ac:dyDescent="0.25">
      <c r="A41" s="16">
        <v>891780308</v>
      </c>
      <c r="B41" s="16" t="s">
        <v>54</v>
      </c>
      <c r="C41" s="14" t="s">
        <v>57</v>
      </c>
      <c r="D41" s="16" t="s">
        <v>60</v>
      </c>
      <c r="E41" s="1" t="s">
        <v>2224</v>
      </c>
      <c r="F41" s="16" t="s">
        <v>61</v>
      </c>
      <c r="G41" s="1" t="s">
        <v>69</v>
      </c>
      <c r="H41" s="1" t="s">
        <v>73</v>
      </c>
      <c r="I41" s="9">
        <v>13500000</v>
      </c>
      <c r="J41" s="94"/>
      <c r="K41" s="2"/>
      <c r="L41" s="2"/>
      <c r="M41" s="40">
        <f t="shared" si="2"/>
        <v>13500000</v>
      </c>
      <c r="N41" s="1">
        <v>1082937729</v>
      </c>
      <c r="O41" s="1" t="s">
        <v>2225</v>
      </c>
      <c r="P41" s="1" t="s">
        <v>2226</v>
      </c>
      <c r="Q41" s="3">
        <v>45107</v>
      </c>
      <c r="R41" s="3">
        <v>45107</v>
      </c>
      <c r="S41" s="3">
        <v>45276</v>
      </c>
      <c r="T41" s="35"/>
      <c r="U41" s="3"/>
      <c r="V41" s="3"/>
      <c r="W41" s="50"/>
      <c r="X41" s="9">
        <v>0</v>
      </c>
      <c r="Y41" s="9">
        <f t="shared" si="4"/>
        <v>13500000</v>
      </c>
      <c r="Z41" s="34">
        <f t="shared" si="1"/>
        <v>0</v>
      </c>
      <c r="AA41" s="1">
        <v>12533448</v>
      </c>
      <c r="AB41" s="1" t="s">
        <v>2198</v>
      </c>
      <c r="AC41" s="1"/>
      <c r="AD41" s="1"/>
      <c r="AE41" s="3"/>
      <c r="AF41" s="194" t="s">
        <v>2227</v>
      </c>
      <c r="AG41" s="15" t="s">
        <v>192</v>
      </c>
      <c r="AH41" s="15" t="s">
        <v>192</v>
      </c>
    </row>
    <row r="42" spans="1:34" s="4" customFormat="1" x14ac:dyDescent="0.25">
      <c r="A42" s="16">
        <v>891780308</v>
      </c>
      <c r="B42" s="16" t="s">
        <v>54</v>
      </c>
      <c r="C42" s="14" t="s">
        <v>57</v>
      </c>
      <c r="D42" s="16" t="s">
        <v>60</v>
      </c>
      <c r="E42" s="1" t="s">
        <v>2228</v>
      </c>
      <c r="F42" s="16" t="s">
        <v>61</v>
      </c>
      <c r="G42" s="1" t="s">
        <v>69</v>
      </c>
      <c r="H42" s="1" t="s">
        <v>73</v>
      </c>
      <c r="I42" s="9">
        <v>15000000</v>
      </c>
      <c r="J42" s="94"/>
      <c r="K42" s="2"/>
      <c r="L42" s="2"/>
      <c r="M42" s="40">
        <f t="shared" si="2"/>
        <v>15000000</v>
      </c>
      <c r="N42" s="1">
        <v>19431312</v>
      </c>
      <c r="O42" s="1" t="s">
        <v>2229</v>
      </c>
      <c r="P42" s="1" t="s">
        <v>2230</v>
      </c>
      <c r="Q42" s="3">
        <v>45107</v>
      </c>
      <c r="R42" s="3">
        <v>45107</v>
      </c>
      <c r="S42" s="3">
        <v>45276</v>
      </c>
      <c r="T42" s="35"/>
      <c r="U42" s="3"/>
      <c r="V42" s="3"/>
      <c r="W42" s="50"/>
      <c r="X42" s="9">
        <v>0</v>
      </c>
      <c r="Y42" s="9">
        <f t="shared" si="4"/>
        <v>15000000</v>
      </c>
      <c r="Z42" s="34">
        <f t="shared" si="1"/>
        <v>0</v>
      </c>
      <c r="AA42" s="1">
        <v>12533448</v>
      </c>
      <c r="AB42" s="1" t="s">
        <v>2198</v>
      </c>
      <c r="AC42" s="1"/>
      <c r="AD42" s="1"/>
      <c r="AE42" s="3"/>
      <c r="AF42" s="194" t="s">
        <v>2231</v>
      </c>
      <c r="AG42" s="15" t="s">
        <v>192</v>
      </c>
      <c r="AH42" s="15" t="s">
        <v>192</v>
      </c>
    </row>
    <row r="43" spans="1:34" s="4" customFormat="1" x14ac:dyDescent="0.25">
      <c r="A43" s="16">
        <v>891780308</v>
      </c>
      <c r="B43" s="16" t="s">
        <v>54</v>
      </c>
      <c r="C43" s="14" t="s">
        <v>57</v>
      </c>
      <c r="D43" s="16" t="s">
        <v>60</v>
      </c>
      <c r="E43" s="1" t="s">
        <v>2232</v>
      </c>
      <c r="F43" s="16" t="s">
        <v>61</v>
      </c>
      <c r="G43" s="1" t="s">
        <v>69</v>
      </c>
      <c r="H43" s="1" t="s">
        <v>73</v>
      </c>
      <c r="I43" s="9">
        <v>16200000</v>
      </c>
      <c r="J43" s="94"/>
      <c r="K43" s="2"/>
      <c r="L43" s="2"/>
      <c r="M43" s="40">
        <f t="shared" si="2"/>
        <v>16200000</v>
      </c>
      <c r="N43" s="1">
        <v>6097847</v>
      </c>
      <c r="O43" s="1" t="s">
        <v>2233</v>
      </c>
      <c r="P43" s="1" t="s">
        <v>2234</v>
      </c>
      <c r="Q43" s="3">
        <v>45107</v>
      </c>
      <c r="R43" s="3">
        <v>45107</v>
      </c>
      <c r="S43" s="3">
        <v>45276</v>
      </c>
      <c r="T43" s="35"/>
      <c r="U43" s="3"/>
      <c r="V43" s="3"/>
      <c r="W43" s="50"/>
      <c r="X43" s="9">
        <v>0</v>
      </c>
      <c r="Y43" s="9">
        <f t="shared" si="4"/>
        <v>16200000</v>
      </c>
      <c r="Z43" s="34">
        <f t="shared" si="1"/>
        <v>0</v>
      </c>
      <c r="AA43" s="1">
        <v>12533448</v>
      </c>
      <c r="AB43" s="1" t="s">
        <v>2198</v>
      </c>
      <c r="AC43" s="1"/>
      <c r="AD43" s="1"/>
      <c r="AE43" s="3"/>
      <c r="AF43" s="194" t="s">
        <v>2235</v>
      </c>
      <c r="AG43" s="15" t="s">
        <v>192</v>
      </c>
      <c r="AH43" s="15" t="s">
        <v>192</v>
      </c>
    </row>
    <row r="44" spans="1:34" s="4" customFormat="1" x14ac:dyDescent="0.25">
      <c r="A44" s="16">
        <v>891780308</v>
      </c>
      <c r="B44" s="16" t="s">
        <v>54</v>
      </c>
      <c r="C44" s="14" t="s">
        <v>57</v>
      </c>
      <c r="D44" s="16" t="s">
        <v>60</v>
      </c>
      <c r="E44" s="1" t="s">
        <v>2236</v>
      </c>
      <c r="F44" s="16" t="s">
        <v>61</v>
      </c>
      <c r="G44" s="1" t="s">
        <v>69</v>
      </c>
      <c r="H44" s="1" t="s">
        <v>73</v>
      </c>
      <c r="I44" s="9">
        <v>15000000</v>
      </c>
      <c r="J44" s="94"/>
      <c r="K44" s="2"/>
      <c r="L44" s="2"/>
      <c r="M44" s="40">
        <f t="shared" si="2"/>
        <v>15000000</v>
      </c>
      <c r="N44" s="1">
        <v>92543672</v>
      </c>
      <c r="O44" s="1" t="s">
        <v>2237</v>
      </c>
      <c r="P44" s="1" t="s">
        <v>2238</v>
      </c>
      <c r="Q44" s="3">
        <v>45107</v>
      </c>
      <c r="R44" s="3">
        <v>45107</v>
      </c>
      <c r="S44" s="3">
        <v>45276</v>
      </c>
      <c r="T44" s="35"/>
      <c r="U44" s="3"/>
      <c r="V44" s="3"/>
      <c r="W44" s="50"/>
      <c r="X44" s="9">
        <v>0</v>
      </c>
      <c r="Y44" s="9">
        <f t="shared" si="4"/>
        <v>15000000</v>
      </c>
      <c r="Z44" s="34">
        <f t="shared" si="1"/>
        <v>0</v>
      </c>
      <c r="AA44" s="1">
        <v>12533448</v>
      </c>
      <c r="AB44" s="1" t="s">
        <v>2198</v>
      </c>
      <c r="AC44" s="1"/>
      <c r="AD44" s="1"/>
      <c r="AE44" s="3"/>
      <c r="AF44" s="194" t="s">
        <v>2239</v>
      </c>
      <c r="AG44" s="15" t="s">
        <v>192</v>
      </c>
      <c r="AH44" s="15" t="s">
        <v>192</v>
      </c>
    </row>
    <row r="45" spans="1:34" s="4" customFormat="1" x14ac:dyDescent="0.25">
      <c r="A45" s="16">
        <v>891780308</v>
      </c>
      <c r="B45" s="16" t="s">
        <v>54</v>
      </c>
      <c r="C45" s="14" t="s">
        <v>57</v>
      </c>
      <c r="D45" s="16" t="s">
        <v>60</v>
      </c>
      <c r="E45" s="1" t="s">
        <v>2240</v>
      </c>
      <c r="F45" s="16" t="s">
        <v>61</v>
      </c>
      <c r="G45" s="1" t="s">
        <v>69</v>
      </c>
      <c r="H45" s="1" t="s">
        <v>73</v>
      </c>
      <c r="I45" s="9">
        <v>16200000</v>
      </c>
      <c r="J45" s="94"/>
      <c r="K45" s="2"/>
      <c r="L45" s="2"/>
      <c r="M45" s="40">
        <f t="shared" si="2"/>
        <v>16200000</v>
      </c>
      <c r="N45" s="1">
        <v>27036418</v>
      </c>
      <c r="O45" s="1" t="s">
        <v>2241</v>
      </c>
      <c r="P45" s="1" t="s">
        <v>2242</v>
      </c>
      <c r="Q45" s="3">
        <v>45107</v>
      </c>
      <c r="R45" s="3">
        <v>45107</v>
      </c>
      <c r="S45" s="3">
        <v>45276</v>
      </c>
      <c r="T45" s="35"/>
      <c r="U45" s="3"/>
      <c r="V45" s="3"/>
      <c r="W45" s="50"/>
      <c r="X45" s="9">
        <v>0</v>
      </c>
      <c r="Y45" s="9">
        <f t="shared" si="4"/>
        <v>16200000</v>
      </c>
      <c r="Z45" s="34">
        <f t="shared" si="1"/>
        <v>0</v>
      </c>
      <c r="AA45" s="1">
        <v>12533448</v>
      </c>
      <c r="AB45" s="1" t="s">
        <v>2198</v>
      </c>
      <c r="AC45" s="1"/>
      <c r="AD45" s="1"/>
      <c r="AE45" s="3"/>
      <c r="AF45" s="194" t="s">
        <v>2243</v>
      </c>
      <c r="AG45" s="15" t="s">
        <v>192</v>
      </c>
      <c r="AH45" s="15" t="s">
        <v>192</v>
      </c>
    </row>
    <row r="46" spans="1:34" s="4" customFormat="1" x14ac:dyDescent="0.25">
      <c r="A46" s="16">
        <v>891780308</v>
      </c>
      <c r="B46" s="16" t="s">
        <v>54</v>
      </c>
      <c r="C46" s="14" t="s">
        <v>57</v>
      </c>
      <c r="D46" s="16" t="s">
        <v>60</v>
      </c>
      <c r="E46" s="1" t="s">
        <v>2244</v>
      </c>
      <c r="F46" s="16" t="s">
        <v>61</v>
      </c>
      <c r="G46" s="1" t="s">
        <v>69</v>
      </c>
      <c r="H46" s="1" t="s">
        <v>73</v>
      </c>
      <c r="I46" s="9">
        <v>2880000</v>
      </c>
      <c r="J46" s="94"/>
      <c r="K46" s="2"/>
      <c r="L46" s="2"/>
      <c r="M46" s="40">
        <f t="shared" si="2"/>
        <v>2880000</v>
      </c>
      <c r="N46" s="1">
        <v>79558146</v>
      </c>
      <c r="O46" s="1" t="s">
        <v>2245</v>
      </c>
      <c r="P46" s="1" t="s">
        <v>2246</v>
      </c>
      <c r="Q46" s="3">
        <v>45119</v>
      </c>
      <c r="R46" s="3">
        <v>45119</v>
      </c>
      <c r="S46" s="3">
        <v>45155</v>
      </c>
      <c r="T46" s="35"/>
      <c r="U46" s="3"/>
      <c r="V46" s="3"/>
      <c r="W46" s="50"/>
      <c r="X46" s="9">
        <v>0</v>
      </c>
      <c r="Y46" s="9">
        <f t="shared" si="4"/>
        <v>2880000</v>
      </c>
      <c r="Z46" s="34">
        <f t="shared" si="1"/>
        <v>0</v>
      </c>
      <c r="AA46" s="1">
        <v>16078654</v>
      </c>
      <c r="AB46" s="1" t="s">
        <v>2178</v>
      </c>
      <c r="AC46" s="1"/>
      <c r="AD46" s="1"/>
      <c r="AE46" s="3"/>
      <c r="AF46" s="194" t="s">
        <v>2247</v>
      </c>
      <c r="AG46" s="15" t="s">
        <v>192</v>
      </c>
      <c r="AH46" s="15" t="s">
        <v>192</v>
      </c>
    </row>
    <row r="47" spans="1:34" s="4" customFormat="1" x14ac:dyDescent="0.25">
      <c r="A47" s="16">
        <v>891780308</v>
      </c>
      <c r="B47" s="16" t="s">
        <v>54</v>
      </c>
      <c r="C47" s="14" t="s">
        <v>57</v>
      </c>
      <c r="D47" s="16" t="s">
        <v>60</v>
      </c>
      <c r="E47" s="1" t="s">
        <v>2248</v>
      </c>
      <c r="F47" s="16" t="s">
        <v>61</v>
      </c>
      <c r="G47" s="1" t="s">
        <v>69</v>
      </c>
      <c r="H47" s="1" t="s">
        <v>73</v>
      </c>
      <c r="I47" s="9">
        <f>3050000*5</f>
        <v>15250000</v>
      </c>
      <c r="J47" s="94"/>
      <c r="K47" s="2"/>
      <c r="L47" s="2"/>
      <c r="M47" s="40">
        <f t="shared" si="2"/>
        <v>15250000</v>
      </c>
      <c r="N47" s="1">
        <v>1083029427</v>
      </c>
      <c r="O47" s="1" t="s">
        <v>2249</v>
      </c>
      <c r="P47" s="1" t="s">
        <v>2250</v>
      </c>
      <c r="Q47" s="3">
        <v>45119</v>
      </c>
      <c r="R47" s="3">
        <v>45119</v>
      </c>
      <c r="S47" s="3">
        <v>45272</v>
      </c>
      <c r="T47" s="35"/>
      <c r="U47" s="3"/>
      <c r="V47" s="3"/>
      <c r="W47" s="50"/>
      <c r="X47" s="9">
        <v>0</v>
      </c>
      <c r="Y47" s="9">
        <f t="shared" si="4"/>
        <v>15250000</v>
      </c>
      <c r="Z47" s="34">
        <f t="shared" si="1"/>
        <v>0</v>
      </c>
      <c r="AA47" s="1">
        <v>12533448</v>
      </c>
      <c r="AB47" s="1" t="s">
        <v>2198</v>
      </c>
      <c r="AC47" s="1"/>
      <c r="AD47" s="1"/>
      <c r="AE47" s="3"/>
      <c r="AF47" s="194" t="s">
        <v>2251</v>
      </c>
      <c r="AG47" s="15" t="s">
        <v>192</v>
      </c>
      <c r="AH47" s="15" t="s">
        <v>192</v>
      </c>
    </row>
    <row r="48" spans="1:34" s="4" customFormat="1" x14ac:dyDescent="0.25">
      <c r="A48" s="16">
        <v>891780308</v>
      </c>
      <c r="B48" s="16" t="s">
        <v>54</v>
      </c>
      <c r="C48" s="14" t="s">
        <v>57</v>
      </c>
      <c r="D48" s="16" t="s">
        <v>60</v>
      </c>
      <c r="E48" s="1" t="s">
        <v>2252</v>
      </c>
      <c r="F48" s="16" t="s">
        <v>61</v>
      </c>
      <c r="G48" s="1" t="s">
        <v>69</v>
      </c>
      <c r="H48" s="1" t="s">
        <v>73</v>
      </c>
      <c r="I48" s="9">
        <v>2880000</v>
      </c>
      <c r="J48" s="94"/>
      <c r="K48" s="2"/>
      <c r="L48" s="2"/>
      <c r="M48" s="40">
        <f t="shared" si="2"/>
        <v>2880000</v>
      </c>
      <c r="N48" s="1">
        <v>1082992753</v>
      </c>
      <c r="O48" s="1" t="s">
        <v>2253</v>
      </c>
      <c r="P48" s="1" t="s">
        <v>2254</v>
      </c>
      <c r="Q48" s="3">
        <v>45119</v>
      </c>
      <c r="R48" s="3">
        <v>45119</v>
      </c>
      <c r="S48" s="3">
        <v>45152</v>
      </c>
      <c r="T48" s="35"/>
      <c r="U48" s="3"/>
      <c r="V48" s="3"/>
      <c r="W48" s="50"/>
      <c r="X48" s="9">
        <v>0</v>
      </c>
      <c r="Y48" s="9">
        <f t="shared" si="4"/>
        <v>2880000</v>
      </c>
      <c r="Z48" s="34">
        <f t="shared" si="1"/>
        <v>0</v>
      </c>
      <c r="AA48" s="1">
        <v>16078654</v>
      </c>
      <c r="AB48" s="1" t="s">
        <v>2178</v>
      </c>
      <c r="AC48" s="1"/>
      <c r="AD48" s="1"/>
      <c r="AE48" s="3"/>
      <c r="AF48" s="194" t="s">
        <v>2255</v>
      </c>
      <c r="AG48" s="15" t="s">
        <v>192</v>
      </c>
      <c r="AH48" s="15" t="s">
        <v>192</v>
      </c>
    </row>
    <row r="49" spans="1:34" s="4" customFormat="1" x14ac:dyDescent="0.25">
      <c r="A49" s="16">
        <v>891780638</v>
      </c>
      <c r="B49" s="16" t="s">
        <v>54</v>
      </c>
      <c r="C49" s="14" t="s">
        <v>57</v>
      </c>
      <c r="D49" s="16" t="s">
        <v>60</v>
      </c>
      <c r="E49" s="1" t="s">
        <v>2256</v>
      </c>
      <c r="F49" s="16" t="s">
        <v>61</v>
      </c>
      <c r="G49" s="1" t="s">
        <v>69</v>
      </c>
      <c r="H49" s="1" t="s">
        <v>73</v>
      </c>
      <c r="I49" s="9">
        <v>14800000</v>
      </c>
      <c r="J49" s="94"/>
      <c r="K49" s="2"/>
      <c r="L49" s="2"/>
      <c r="M49" s="40">
        <f t="shared" si="2"/>
        <v>14800000</v>
      </c>
      <c r="N49" s="1">
        <v>1140895641</v>
      </c>
      <c r="O49" s="1" t="s">
        <v>2257</v>
      </c>
      <c r="P49" s="1" t="s">
        <v>2258</v>
      </c>
      <c r="Q49" s="3">
        <v>45012</v>
      </c>
      <c r="R49" s="3">
        <v>45012</v>
      </c>
      <c r="S49" s="3">
        <v>45129</v>
      </c>
      <c r="T49" s="35"/>
      <c r="U49" s="3"/>
      <c r="V49" s="3"/>
      <c r="W49" s="50">
        <v>45144</v>
      </c>
      <c r="X49" s="9">
        <v>11100000</v>
      </c>
      <c r="Y49" s="9">
        <f t="shared" si="4"/>
        <v>3700000</v>
      </c>
      <c r="Z49" s="34">
        <f t="shared" si="1"/>
        <v>0.75</v>
      </c>
      <c r="AA49" s="1">
        <v>72221403</v>
      </c>
      <c r="AB49" s="1" t="s">
        <v>2259</v>
      </c>
      <c r="AC49" s="1"/>
      <c r="AD49" s="1"/>
      <c r="AE49" s="3"/>
      <c r="AF49" s="194" t="s">
        <v>2260</v>
      </c>
      <c r="AG49" s="15" t="s">
        <v>192</v>
      </c>
      <c r="AH49" s="15" t="s">
        <v>192</v>
      </c>
    </row>
    <row r="50" spans="1:34" s="4" customFormat="1" x14ac:dyDescent="0.25">
      <c r="A50" s="16">
        <v>891780637</v>
      </c>
      <c r="B50" s="16" t="s">
        <v>54</v>
      </c>
      <c r="C50" s="14" t="s">
        <v>57</v>
      </c>
      <c r="D50" s="16" t="s">
        <v>60</v>
      </c>
      <c r="E50" s="1" t="s">
        <v>2261</v>
      </c>
      <c r="F50" s="16" t="s">
        <v>61</v>
      </c>
      <c r="G50" s="1" t="s">
        <v>69</v>
      </c>
      <c r="H50" s="1" t="s">
        <v>73</v>
      </c>
      <c r="I50" s="9">
        <v>19500000</v>
      </c>
      <c r="J50" s="94"/>
      <c r="K50" s="2"/>
      <c r="L50" s="2"/>
      <c r="M50" s="40">
        <f t="shared" si="2"/>
        <v>19500000</v>
      </c>
      <c r="N50" s="1">
        <v>36559959</v>
      </c>
      <c r="O50" s="1" t="s">
        <v>2262</v>
      </c>
      <c r="P50" s="1" t="s">
        <v>2263</v>
      </c>
      <c r="Q50" s="3">
        <v>45012</v>
      </c>
      <c r="R50" s="3">
        <v>45012</v>
      </c>
      <c r="S50" s="3">
        <v>45129</v>
      </c>
      <c r="T50" s="35"/>
      <c r="U50" s="3"/>
      <c r="V50" s="3"/>
      <c r="W50" s="50">
        <v>45144</v>
      </c>
      <c r="X50" s="9">
        <v>14625000</v>
      </c>
      <c r="Y50" s="9">
        <f t="shared" si="4"/>
        <v>4875000</v>
      </c>
      <c r="Z50" s="34">
        <f t="shared" si="1"/>
        <v>0.75</v>
      </c>
      <c r="AA50" s="1">
        <v>72221403</v>
      </c>
      <c r="AB50" s="1" t="s">
        <v>2259</v>
      </c>
      <c r="AC50" s="1"/>
      <c r="AD50" s="1"/>
      <c r="AE50" s="3"/>
      <c r="AF50" s="194" t="s">
        <v>2264</v>
      </c>
      <c r="AG50" s="15" t="s">
        <v>192</v>
      </c>
      <c r="AH50" s="15" t="s">
        <v>192</v>
      </c>
    </row>
    <row r="51" spans="1:34" s="4" customFormat="1" x14ac:dyDescent="0.25">
      <c r="A51" s="16">
        <v>891780636</v>
      </c>
      <c r="B51" s="16" t="s">
        <v>54</v>
      </c>
      <c r="C51" s="14" t="s">
        <v>57</v>
      </c>
      <c r="D51" s="16" t="s">
        <v>60</v>
      </c>
      <c r="E51" s="1" t="s">
        <v>2265</v>
      </c>
      <c r="F51" s="16" t="s">
        <v>61</v>
      </c>
      <c r="G51" s="1" t="s">
        <v>69</v>
      </c>
      <c r="H51" s="1" t="s">
        <v>73</v>
      </c>
      <c r="I51" s="9">
        <v>21280000</v>
      </c>
      <c r="J51" s="94"/>
      <c r="K51" s="2"/>
      <c r="L51" s="2"/>
      <c r="M51" s="40">
        <f t="shared" si="2"/>
        <v>21280000</v>
      </c>
      <c r="N51" s="1">
        <v>12542447</v>
      </c>
      <c r="O51" s="1" t="s">
        <v>2266</v>
      </c>
      <c r="P51" s="1" t="s">
        <v>2267</v>
      </c>
      <c r="Q51" s="3">
        <v>45012</v>
      </c>
      <c r="R51" s="3">
        <v>45012</v>
      </c>
      <c r="S51" s="3">
        <v>45129</v>
      </c>
      <c r="T51" s="35"/>
      <c r="U51" s="3"/>
      <c r="V51" s="3"/>
      <c r="W51" s="50">
        <v>45144</v>
      </c>
      <c r="X51" s="9">
        <v>15960000</v>
      </c>
      <c r="Y51" s="9">
        <f t="shared" si="4"/>
        <v>5320000</v>
      </c>
      <c r="Z51" s="34">
        <f t="shared" si="1"/>
        <v>0.75</v>
      </c>
      <c r="AA51" s="1">
        <v>72221403</v>
      </c>
      <c r="AB51" s="1" t="s">
        <v>2259</v>
      </c>
      <c r="AC51" s="1"/>
      <c r="AD51" s="1"/>
      <c r="AE51" s="3"/>
      <c r="AF51" s="194" t="s">
        <v>2268</v>
      </c>
      <c r="AG51" s="15" t="s">
        <v>192</v>
      </c>
      <c r="AH51" s="15" t="s">
        <v>192</v>
      </c>
    </row>
    <row r="52" spans="1:34" s="4" customFormat="1" x14ac:dyDescent="0.25">
      <c r="A52" s="16">
        <v>891780755</v>
      </c>
      <c r="B52" s="16" t="s">
        <v>54</v>
      </c>
      <c r="C52" s="14" t="s">
        <v>57</v>
      </c>
      <c r="D52" s="16" t="s">
        <v>60</v>
      </c>
      <c r="E52" s="1" t="s">
        <v>2269</v>
      </c>
      <c r="F52" s="16" t="s">
        <v>61</v>
      </c>
      <c r="G52" s="1" t="s">
        <v>69</v>
      </c>
      <c r="H52" s="1" t="s">
        <v>73</v>
      </c>
      <c r="I52" s="9">
        <v>66000000</v>
      </c>
      <c r="J52" s="94"/>
      <c r="K52" s="2"/>
      <c r="L52" s="2"/>
      <c r="M52" s="40">
        <f t="shared" si="2"/>
        <v>66000000</v>
      </c>
      <c r="N52" s="1">
        <v>1066177766</v>
      </c>
      <c r="O52" s="1" t="s">
        <v>2270</v>
      </c>
      <c r="P52" s="1" t="s">
        <v>2271</v>
      </c>
      <c r="Q52" s="3">
        <v>45000</v>
      </c>
      <c r="R52" s="3">
        <v>45006</v>
      </c>
      <c r="S52" s="3">
        <v>45339</v>
      </c>
      <c r="T52" s="35"/>
      <c r="U52" s="3"/>
      <c r="V52" s="3"/>
      <c r="W52" s="50"/>
      <c r="X52" s="9">
        <v>0</v>
      </c>
      <c r="Y52" s="9">
        <f t="shared" si="4"/>
        <v>66000000</v>
      </c>
      <c r="Z52" s="34">
        <f t="shared" si="1"/>
        <v>0</v>
      </c>
      <c r="AA52" s="1">
        <v>72005158</v>
      </c>
      <c r="AB52" s="1" t="s">
        <v>2272</v>
      </c>
      <c r="AC52" s="1"/>
      <c r="AD52" s="3"/>
      <c r="AE52" s="194"/>
      <c r="AF52" s="15" t="s">
        <v>2273</v>
      </c>
      <c r="AG52" s="15" t="s">
        <v>192</v>
      </c>
      <c r="AH52" s="15" t="s">
        <v>192</v>
      </c>
    </row>
    <row r="53" spans="1:34" s="4" customFormat="1" x14ac:dyDescent="0.25">
      <c r="A53" s="16">
        <v>891780756</v>
      </c>
      <c r="B53" s="16" t="s">
        <v>54</v>
      </c>
      <c r="C53" s="14" t="s">
        <v>57</v>
      </c>
      <c r="D53" s="16" t="s">
        <v>60</v>
      </c>
      <c r="E53" s="1" t="s">
        <v>2274</v>
      </c>
      <c r="F53" s="16" t="s">
        <v>61</v>
      </c>
      <c r="G53" s="1" t="s">
        <v>69</v>
      </c>
      <c r="H53" s="1" t="s">
        <v>73</v>
      </c>
      <c r="I53" s="9">
        <v>60500000</v>
      </c>
      <c r="J53" s="94"/>
      <c r="K53" s="2"/>
      <c r="L53" s="2"/>
      <c r="M53" s="40">
        <f t="shared" si="2"/>
        <v>60500000</v>
      </c>
      <c r="N53" s="1">
        <v>84454137</v>
      </c>
      <c r="O53" s="1" t="s">
        <v>2275</v>
      </c>
      <c r="P53" s="1" t="s">
        <v>2276</v>
      </c>
      <c r="Q53" s="3">
        <v>45000</v>
      </c>
      <c r="R53" s="3">
        <v>45006</v>
      </c>
      <c r="S53" s="3">
        <v>45339</v>
      </c>
      <c r="T53" s="35"/>
      <c r="U53" s="3"/>
      <c r="V53" s="3"/>
      <c r="W53" s="50"/>
      <c r="X53" s="9">
        <v>0</v>
      </c>
      <c r="Y53" s="9">
        <f t="shared" si="4"/>
        <v>60500000</v>
      </c>
      <c r="Z53" s="34">
        <f t="shared" si="1"/>
        <v>0</v>
      </c>
      <c r="AA53" s="1">
        <v>72005158</v>
      </c>
      <c r="AB53" s="1" t="s">
        <v>2272</v>
      </c>
      <c r="AC53" s="1"/>
      <c r="AD53" s="3"/>
      <c r="AE53" s="194"/>
      <c r="AF53" s="15" t="s">
        <v>2277</v>
      </c>
      <c r="AG53" s="15" t="s">
        <v>192</v>
      </c>
      <c r="AH53" s="15" t="s">
        <v>192</v>
      </c>
    </row>
    <row r="54" spans="1:34" s="4" customFormat="1" x14ac:dyDescent="0.25">
      <c r="A54" s="16">
        <v>891780757</v>
      </c>
      <c r="B54" s="16" t="s">
        <v>54</v>
      </c>
      <c r="C54" s="14" t="s">
        <v>57</v>
      </c>
      <c r="D54" s="16" t="s">
        <v>60</v>
      </c>
      <c r="E54" s="1" t="s">
        <v>2278</v>
      </c>
      <c r="F54" s="16" t="s">
        <v>61</v>
      </c>
      <c r="G54" s="1" t="s">
        <v>69</v>
      </c>
      <c r="H54" s="1" t="s">
        <v>73</v>
      </c>
      <c r="I54" s="9">
        <v>35000000</v>
      </c>
      <c r="J54" s="94"/>
      <c r="K54" s="2"/>
      <c r="L54" s="2"/>
      <c r="M54" s="40">
        <f t="shared" si="2"/>
        <v>35000000</v>
      </c>
      <c r="N54" s="1">
        <v>7143832</v>
      </c>
      <c r="O54" s="1" t="s">
        <v>2279</v>
      </c>
      <c r="P54" s="1" t="s">
        <v>2280</v>
      </c>
      <c r="Q54" s="3">
        <v>45000</v>
      </c>
      <c r="R54" s="3">
        <v>45006</v>
      </c>
      <c r="S54" s="3">
        <v>45339</v>
      </c>
      <c r="T54" s="35"/>
      <c r="U54" s="3"/>
      <c r="V54" s="3"/>
      <c r="W54" s="50"/>
      <c r="X54" s="9">
        <v>0</v>
      </c>
      <c r="Y54" s="9">
        <f t="shared" si="4"/>
        <v>35000000</v>
      </c>
      <c r="Z54" s="34">
        <f t="shared" si="1"/>
        <v>0</v>
      </c>
      <c r="AA54" s="1">
        <v>72005158</v>
      </c>
      <c r="AB54" s="1" t="s">
        <v>2272</v>
      </c>
      <c r="AC54" s="1"/>
      <c r="AD54" s="3"/>
      <c r="AE54" s="194"/>
      <c r="AF54" s="15" t="s">
        <v>2281</v>
      </c>
      <c r="AG54" s="15" t="s">
        <v>192</v>
      </c>
      <c r="AH54" s="15" t="s">
        <v>192</v>
      </c>
    </row>
    <row r="55" spans="1:34" s="4" customFormat="1" x14ac:dyDescent="0.25">
      <c r="A55" s="16">
        <v>891780758</v>
      </c>
      <c r="B55" s="16" t="s">
        <v>54</v>
      </c>
      <c r="C55" s="14" t="s">
        <v>57</v>
      </c>
      <c r="D55" s="16" t="s">
        <v>60</v>
      </c>
      <c r="E55" s="1" t="s">
        <v>2282</v>
      </c>
      <c r="F55" s="16" t="s">
        <v>61</v>
      </c>
      <c r="G55" s="1" t="s">
        <v>69</v>
      </c>
      <c r="H55" s="1" t="s">
        <v>73</v>
      </c>
      <c r="I55" s="9">
        <v>35000000</v>
      </c>
      <c r="J55" s="94"/>
      <c r="K55" s="2"/>
      <c r="L55" s="2"/>
      <c r="M55" s="40">
        <f t="shared" si="2"/>
        <v>35000000</v>
      </c>
      <c r="N55" s="1">
        <v>16189818</v>
      </c>
      <c r="O55" s="1" t="s">
        <v>2283</v>
      </c>
      <c r="P55" s="1" t="s">
        <v>2284</v>
      </c>
      <c r="Q55" s="3">
        <v>45000</v>
      </c>
      <c r="R55" s="3">
        <v>45006</v>
      </c>
      <c r="S55" s="3">
        <v>45339</v>
      </c>
      <c r="T55" s="35"/>
      <c r="U55" s="3"/>
      <c r="V55" s="3"/>
      <c r="W55" s="50"/>
      <c r="X55" s="9">
        <v>0</v>
      </c>
      <c r="Y55" s="9">
        <f t="shared" si="4"/>
        <v>35000000</v>
      </c>
      <c r="Z55" s="34">
        <f t="shared" si="1"/>
        <v>0</v>
      </c>
      <c r="AA55" s="1">
        <v>72005158</v>
      </c>
      <c r="AB55" s="1" t="s">
        <v>2272</v>
      </c>
      <c r="AC55" s="1"/>
      <c r="AD55" s="3"/>
      <c r="AE55" s="194"/>
      <c r="AF55" s="15" t="s">
        <v>2285</v>
      </c>
      <c r="AG55" s="15" t="s">
        <v>192</v>
      </c>
      <c r="AH55" s="15" t="s">
        <v>192</v>
      </c>
    </row>
    <row r="56" spans="1:34" s="4" customFormat="1" x14ac:dyDescent="0.25">
      <c r="A56" s="16">
        <v>891780759</v>
      </c>
      <c r="B56" s="16" t="s">
        <v>54</v>
      </c>
      <c r="C56" s="14" t="s">
        <v>57</v>
      </c>
      <c r="D56" s="16" t="s">
        <v>60</v>
      </c>
      <c r="E56" s="1" t="s">
        <v>2286</v>
      </c>
      <c r="F56" s="16" t="s">
        <v>61</v>
      </c>
      <c r="G56" s="1" t="s">
        <v>69</v>
      </c>
      <c r="H56" s="1" t="s">
        <v>73</v>
      </c>
      <c r="I56" s="9">
        <v>44000000</v>
      </c>
      <c r="J56" s="94"/>
      <c r="K56" s="2"/>
      <c r="L56" s="2"/>
      <c r="M56" s="40">
        <f t="shared" si="2"/>
        <v>44000000</v>
      </c>
      <c r="N56" s="1">
        <v>64697522</v>
      </c>
      <c r="O56" s="1" t="s">
        <v>2287</v>
      </c>
      <c r="P56" s="1" t="s">
        <v>2288</v>
      </c>
      <c r="Q56" s="3">
        <v>45000</v>
      </c>
      <c r="R56" s="3">
        <v>45006</v>
      </c>
      <c r="S56" s="3">
        <v>45339</v>
      </c>
      <c r="T56" s="35"/>
      <c r="U56" s="3"/>
      <c r="V56" s="3"/>
      <c r="W56" s="50"/>
      <c r="X56" s="9">
        <v>0</v>
      </c>
      <c r="Y56" s="9">
        <f t="shared" si="4"/>
        <v>44000000</v>
      </c>
      <c r="Z56" s="34">
        <f t="shared" si="1"/>
        <v>0</v>
      </c>
      <c r="AA56" s="1">
        <v>72005158</v>
      </c>
      <c r="AB56" s="1" t="s">
        <v>2272</v>
      </c>
      <c r="AC56" s="1"/>
      <c r="AD56" s="3"/>
      <c r="AE56" s="194"/>
      <c r="AF56" s="15" t="s">
        <v>2289</v>
      </c>
      <c r="AG56" s="15" t="s">
        <v>192</v>
      </c>
      <c r="AH56" s="15" t="s">
        <v>192</v>
      </c>
    </row>
    <row r="57" spans="1:34" s="4" customFormat="1" x14ac:dyDescent="0.25">
      <c r="A57" s="16">
        <v>891780760</v>
      </c>
      <c r="B57" s="16" t="s">
        <v>54</v>
      </c>
      <c r="C57" s="14" t="s">
        <v>57</v>
      </c>
      <c r="D57" s="16" t="s">
        <v>60</v>
      </c>
      <c r="E57" s="1" t="s">
        <v>2290</v>
      </c>
      <c r="F57" s="16" t="s">
        <v>61</v>
      </c>
      <c r="G57" s="1" t="s">
        <v>69</v>
      </c>
      <c r="H57" s="1" t="s">
        <v>73</v>
      </c>
      <c r="I57" s="9">
        <v>48000000</v>
      </c>
      <c r="J57" s="94"/>
      <c r="K57" s="2"/>
      <c r="L57" s="2"/>
      <c r="M57" s="40">
        <f t="shared" si="2"/>
        <v>48000000</v>
      </c>
      <c r="N57" s="1">
        <v>85458939</v>
      </c>
      <c r="O57" s="1" t="s">
        <v>2291</v>
      </c>
      <c r="P57" s="1" t="s">
        <v>2292</v>
      </c>
      <c r="Q57" s="3">
        <v>45001</v>
      </c>
      <c r="R57" s="3">
        <v>45006</v>
      </c>
      <c r="S57" s="3">
        <v>45339</v>
      </c>
      <c r="T57" s="35"/>
      <c r="U57" s="3"/>
      <c r="V57" s="3"/>
      <c r="W57" s="50"/>
      <c r="X57" s="9">
        <v>0</v>
      </c>
      <c r="Y57" s="9">
        <f t="shared" si="4"/>
        <v>48000000</v>
      </c>
      <c r="Z57" s="34">
        <f t="shared" si="1"/>
        <v>0</v>
      </c>
      <c r="AA57" s="1">
        <v>72005158</v>
      </c>
      <c r="AB57" s="1" t="s">
        <v>2272</v>
      </c>
      <c r="AC57" s="1"/>
      <c r="AD57" s="3"/>
      <c r="AE57" s="194"/>
      <c r="AF57" s="15" t="s">
        <v>2293</v>
      </c>
      <c r="AG57" s="15" t="s">
        <v>192</v>
      </c>
      <c r="AH57" s="15" t="s">
        <v>192</v>
      </c>
    </row>
    <row r="58" spans="1:34" s="4" customFormat="1" x14ac:dyDescent="0.25">
      <c r="A58" s="16">
        <v>891780761</v>
      </c>
      <c r="B58" s="16" t="s">
        <v>54</v>
      </c>
      <c r="C58" s="14" t="s">
        <v>57</v>
      </c>
      <c r="D58" s="16" t="s">
        <v>60</v>
      </c>
      <c r="E58" s="1" t="s">
        <v>2294</v>
      </c>
      <c r="F58" s="16" t="s">
        <v>61</v>
      </c>
      <c r="G58" s="1" t="s">
        <v>69</v>
      </c>
      <c r="H58" s="1" t="s">
        <v>73</v>
      </c>
      <c r="I58" s="9">
        <v>40000000</v>
      </c>
      <c r="J58" s="94"/>
      <c r="K58" s="2"/>
      <c r="L58" s="2"/>
      <c r="M58" s="40">
        <f t="shared" si="2"/>
        <v>40000000</v>
      </c>
      <c r="N58" s="1">
        <v>57464799</v>
      </c>
      <c r="O58" s="1" t="s">
        <v>2295</v>
      </c>
      <c r="P58" s="1" t="s">
        <v>2296</v>
      </c>
      <c r="Q58" s="3">
        <v>45001</v>
      </c>
      <c r="R58" s="3">
        <v>45006</v>
      </c>
      <c r="S58" s="3">
        <v>45339</v>
      </c>
      <c r="T58" s="35"/>
      <c r="U58" s="3"/>
      <c r="V58" s="3"/>
      <c r="W58" s="50"/>
      <c r="X58" s="9">
        <v>0</v>
      </c>
      <c r="Y58" s="9">
        <f t="shared" si="4"/>
        <v>40000000</v>
      </c>
      <c r="Z58" s="34">
        <f t="shared" si="1"/>
        <v>0</v>
      </c>
      <c r="AA58" s="1">
        <v>72005158</v>
      </c>
      <c r="AB58" s="1" t="s">
        <v>2272</v>
      </c>
      <c r="AC58" s="1"/>
      <c r="AD58" s="3"/>
      <c r="AE58" s="194"/>
      <c r="AF58" s="15" t="s">
        <v>2297</v>
      </c>
      <c r="AG58" s="15" t="s">
        <v>192</v>
      </c>
      <c r="AH58" s="15" t="s">
        <v>192</v>
      </c>
    </row>
    <row r="59" spans="1:34" s="4" customFormat="1" x14ac:dyDescent="0.25">
      <c r="A59" s="16">
        <v>891780762</v>
      </c>
      <c r="B59" s="16" t="s">
        <v>54</v>
      </c>
      <c r="C59" s="14" t="s">
        <v>57</v>
      </c>
      <c r="D59" s="16" t="s">
        <v>60</v>
      </c>
      <c r="E59" s="1" t="s">
        <v>2298</v>
      </c>
      <c r="F59" s="16" t="s">
        <v>61</v>
      </c>
      <c r="G59" s="1" t="s">
        <v>69</v>
      </c>
      <c r="H59" s="1" t="s">
        <v>73</v>
      </c>
      <c r="I59" s="9">
        <v>38500000</v>
      </c>
      <c r="J59" s="94"/>
      <c r="K59" s="2"/>
      <c r="L59" s="2"/>
      <c r="M59" s="40">
        <f t="shared" si="2"/>
        <v>38500000</v>
      </c>
      <c r="N59" s="1">
        <v>72310516</v>
      </c>
      <c r="O59" s="1" t="s">
        <v>2299</v>
      </c>
      <c r="P59" s="1" t="s">
        <v>2300</v>
      </c>
      <c r="Q59" s="3">
        <v>45001</v>
      </c>
      <c r="R59" s="3">
        <v>45006</v>
      </c>
      <c r="S59" s="3">
        <v>45339</v>
      </c>
      <c r="T59" s="35"/>
      <c r="U59" s="3"/>
      <c r="V59" s="3"/>
      <c r="W59" s="50"/>
      <c r="X59" s="9">
        <v>0</v>
      </c>
      <c r="Y59" s="9">
        <f t="shared" si="4"/>
        <v>38500000</v>
      </c>
      <c r="Z59" s="34">
        <f t="shared" si="1"/>
        <v>0</v>
      </c>
      <c r="AA59" s="1">
        <v>72005158</v>
      </c>
      <c r="AB59" s="1" t="s">
        <v>2272</v>
      </c>
      <c r="AC59" s="1"/>
      <c r="AD59" s="3"/>
      <c r="AE59" s="194"/>
      <c r="AF59" s="15" t="s">
        <v>2301</v>
      </c>
      <c r="AG59" s="15" t="s">
        <v>192</v>
      </c>
      <c r="AH59" s="15" t="s">
        <v>192</v>
      </c>
    </row>
    <row r="60" spans="1:34" s="4" customFormat="1" x14ac:dyDescent="0.25">
      <c r="A60" s="16">
        <v>891780763</v>
      </c>
      <c r="B60" s="16" t="s">
        <v>54</v>
      </c>
      <c r="C60" s="14" t="s">
        <v>57</v>
      </c>
      <c r="D60" s="16" t="s">
        <v>60</v>
      </c>
      <c r="E60" s="1" t="s">
        <v>2302</v>
      </c>
      <c r="F60" s="16" t="s">
        <v>61</v>
      </c>
      <c r="G60" s="1" t="s">
        <v>69</v>
      </c>
      <c r="H60" s="1" t="s">
        <v>73</v>
      </c>
      <c r="I60" s="9">
        <v>63000000</v>
      </c>
      <c r="J60" s="94"/>
      <c r="K60" s="2"/>
      <c r="L60" s="2"/>
      <c r="M60" s="40">
        <f t="shared" si="2"/>
        <v>63000000</v>
      </c>
      <c r="N60" s="1">
        <v>1082862195</v>
      </c>
      <c r="O60" s="1" t="s">
        <v>2303</v>
      </c>
      <c r="P60" s="1" t="s">
        <v>2304</v>
      </c>
      <c r="Q60" s="3">
        <v>45002</v>
      </c>
      <c r="R60" s="3">
        <v>45006</v>
      </c>
      <c r="S60" s="3">
        <v>45339</v>
      </c>
      <c r="T60" s="35"/>
      <c r="U60" s="3"/>
      <c r="V60" s="3"/>
      <c r="W60" s="50"/>
      <c r="X60" s="9">
        <v>0</v>
      </c>
      <c r="Y60" s="9">
        <f t="shared" si="4"/>
        <v>63000000</v>
      </c>
      <c r="Z60" s="34">
        <f t="shared" si="1"/>
        <v>0</v>
      </c>
      <c r="AA60" s="1">
        <v>72005158</v>
      </c>
      <c r="AB60" s="1" t="s">
        <v>2272</v>
      </c>
      <c r="AC60" s="1"/>
      <c r="AD60" s="3"/>
      <c r="AE60" s="194"/>
      <c r="AF60" s="15" t="s">
        <v>2305</v>
      </c>
      <c r="AG60" s="15" t="s">
        <v>192</v>
      </c>
      <c r="AH60" s="15" t="s">
        <v>192</v>
      </c>
    </row>
    <row r="61" spans="1:34" s="4" customFormat="1" x14ac:dyDescent="0.25">
      <c r="A61" s="16">
        <v>891780764</v>
      </c>
      <c r="B61" s="16" t="s">
        <v>54</v>
      </c>
      <c r="C61" s="14" t="s">
        <v>57</v>
      </c>
      <c r="D61" s="16" t="s">
        <v>60</v>
      </c>
      <c r="E61" s="1" t="s">
        <v>2306</v>
      </c>
      <c r="F61" s="16" t="s">
        <v>61</v>
      </c>
      <c r="G61" s="1" t="s">
        <v>69</v>
      </c>
      <c r="H61" s="1" t="s">
        <v>73</v>
      </c>
      <c r="I61" s="9">
        <v>25000000</v>
      </c>
      <c r="J61" s="94"/>
      <c r="K61" s="2"/>
      <c r="L61" s="2"/>
      <c r="M61" s="40">
        <f t="shared" si="2"/>
        <v>25000000</v>
      </c>
      <c r="N61" s="1">
        <v>1082916827</v>
      </c>
      <c r="O61" s="1" t="s">
        <v>2307</v>
      </c>
      <c r="P61" s="1" t="s">
        <v>2308</v>
      </c>
      <c r="Q61" s="3">
        <v>45008</v>
      </c>
      <c r="R61" s="3">
        <v>45008</v>
      </c>
      <c r="S61" s="3">
        <v>45339</v>
      </c>
      <c r="T61" s="35"/>
      <c r="U61" s="3"/>
      <c r="V61" s="3"/>
      <c r="W61" s="50"/>
      <c r="X61" s="9">
        <v>0</v>
      </c>
      <c r="Y61" s="9">
        <f t="shared" si="4"/>
        <v>25000000</v>
      </c>
      <c r="Z61" s="34">
        <f t="shared" si="1"/>
        <v>0</v>
      </c>
      <c r="AA61" s="1">
        <v>72005158</v>
      </c>
      <c r="AB61" s="1" t="s">
        <v>2272</v>
      </c>
      <c r="AC61" s="1"/>
      <c r="AD61" s="3"/>
      <c r="AE61" s="194"/>
      <c r="AF61" s="15" t="s">
        <v>2309</v>
      </c>
      <c r="AG61" s="15" t="s">
        <v>192</v>
      </c>
      <c r="AH61" s="15" t="s">
        <v>192</v>
      </c>
    </row>
    <row r="62" spans="1:34" s="4" customFormat="1" x14ac:dyDescent="0.25">
      <c r="A62" s="16">
        <v>891780765</v>
      </c>
      <c r="B62" s="16" t="s">
        <v>54</v>
      </c>
      <c r="C62" s="14" t="s">
        <v>57</v>
      </c>
      <c r="D62" s="16" t="s">
        <v>60</v>
      </c>
      <c r="E62" s="1" t="s">
        <v>2310</v>
      </c>
      <c r="F62" s="16" t="s">
        <v>61</v>
      </c>
      <c r="G62" s="1" t="s">
        <v>69</v>
      </c>
      <c r="H62" s="1" t="s">
        <v>73</v>
      </c>
      <c r="I62" s="9">
        <v>48400000</v>
      </c>
      <c r="J62" s="94"/>
      <c r="K62" s="2"/>
      <c r="L62" s="2"/>
      <c r="M62" s="40">
        <f t="shared" si="2"/>
        <v>48400000</v>
      </c>
      <c r="N62" s="1">
        <v>36548542</v>
      </c>
      <c r="O62" s="1" t="s">
        <v>2311</v>
      </c>
      <c r="P62" s="1" t="s">
        <v>2312</v>
      </c>
      <c r="Q62" s="3">
        <v>45008</v>
      </c>
      <c r="R62" s="3">
        <v>45009</v>
      </c>
      <c r="S62" s="3">
        <v>45339</v>
      </c>
      <c r="T62" s="35"/>
      <c r="U62" s="3"/>
      <c r="V62" s="3"/>
      <c r="W62" s="50"/>
      <c r="X62" s="9">
        <v>0</v>
      </c>
      <c r="Y62" s="9">
        <f t="shared" si="4"/>
        <v>48400000</v>
      </c>
      <c r="Z62" s="34">
        <f t="shared" si="1"/>
        <v>0</v>
      </c>
      <c r="AA62" s="1">
        <v>72005158</v>
      </c>
      <c r="AB62" s="1" t="s">
        <v>2272</v>
      </c>
      <c r="AC62" s="1"/>
      <c r="AD62" s="3"/>
      <c r="AE62" s="194"/>
      <c r="AF62" s="15" t="s">
        <v>2313</v>
      </c>
      <c r="AG62" s="15" t="s">
        <v>192</v>
      </c>
      <c r="AH62" s="15" t="s">
        <v>192</v>
      </c>
    </row>
    <row r="63" spans="1:34" s="4" customFormat="1" x14ac:dyDescent="0.25">
      <c r="A63" s="16">
        <v>891780766</v>
      </c>
      <c r="B63" s="16" t="s">
        <v>54</v>
      </c>
      <c r="C63" s="14" t="s">
        <v>57</v>
      </c>
      <c r="D63" s="16" t="s">
        <v>60</v>
      </c>
      <c r="E63" s="1" t="s">
        <v>2314</v>
      </c>
      <c r="F63" s="16" t="s">
        <v>61</v>
      </c>
      <c r="G63" s="1" t="s">
        <v>69</v>
      </c>
      <c r="H63" s="1" t="s">
        <v>73</v>
      </c>
      <c r="I63" s="9">
        <v>55000000</v>
      </c>
      <c r="J63" s="94"/>
      <c r="K63" s="2"/>
      <c r="L63" s="2"/>
      <c r="M63" s="40">
        <f t="shared" si="2"/>
        <v>55000000</v>
      </c>
      <c r="N63" s="1">
        <v>72213643</v>
      </c>
      <c r="O63" s="1" t="s">
        <v>2315</v>
      </c>
      <c r="P63" s="1" t="s">
        <v>2316</v>
      </c>
      <c r="Q63" s="3">
        <v>45008</v>
      </c>
      <c r="R63" s="3">
        <v>45008</v>
      </c>
      <c r="S63" s="3">
        <v>45339</v>
      </c>
      <c r="T63" s="35"/>
      <c r="U63" s="3"/>
      <c r="V63" s="3"/>
      <c r="W63" s="50"/>
      <c r="X63" s="9">
        <v>0</v>
      </c>
      <c r="Y63" s="9">
        <f t="shared" si="4"/>
        <v>55000000</v>
      </c>
      <c r="Z63" s="34">
        <f t="shared" si="1"/>
        <v>0</v>
      </c>
      <c r="AA63" s="1">
        <v>72005158</v>
      </c>
      <c r="AB63" s="1" t="s">
        <v>2272</v>
      </c>
      <c r="AC63" s="1"/>
      <c r="AD63" s="3"/>
      <c r="AE63" s="194"/>
      <c r="AF63" s="15" t="s">
        <v>2317</v>
      </c>
      <c r="AG63" s="15" t="s">
        <v>192</v>
      </c>
      <c r="AH63" s="15" t="s">
        <v>192</v>
      </c>
    </row>
    <row r="64" spans="1:34" s="4" customFormat="1" x14ac:dyDescent="0.25">
      <c r="A64" s="16">
        <v>891780767</v>
      </c>
      <c r="B64" s="16" t="s">
        <v>54</v>
      </c>
      <c r="C64" s="14" t="s">
        <v>57</v>
      </c>
      <c r="D64" s="16" t="s">
        <v>60</v>
      </c>
      <c r="E64" s="1" t="s">
        <v>2318</v>
      </c>
      <c r="F64" s="16" t="s">
        <v>61</v>
      </c>
      <c r="G64" s="1" t="s">
        <v>69</v>
      </c>
      <c r="H64" s="1" t="s">
        <v>73</v>
      </c>
      <c r="I64" s="9">
        <v>12000000</v>
      </c>
      <c r="J64" s="94"/>
      <c r="K64" s="2"/>
      <c r="L64" s="2"/>
      <c r="M64" s="40">
        <f t="shared" si="2"/>
        <v>12000000</v>
      </c>
      <c r="N64" s="1">
        <v>57297436</v>
      </c>
      <c r="O64" s="1" t="s">
        <v>2319</v>
      </c>
      <c r="P64" s="1" t="s">
        <v>2320</v>
      </c>
      <c r="Q64" s="3">
        <v>45008</v>
      </c>
      <c r="R64" s="3">
        <v>45008</v>
      </c>
      <c r="S64" s="3">
        <v>45077</v>
      </c>
      <c r="T64" s="35"/>
      <c r="U64" s="3"/>
      <c r="V64" s="3"/>
      <c r="W64" s="50"/>
      <c r="X64" s="9">
        <v>0</v>
      </c>
      <c r="Y64" s="9">
        <f t="shared" si="4"/>
        <v>12000000</v>
      </c>
      <c r="Z64" s="34">
        <f t="shared" si="1"/>
        <v>0</v>
      </c>
      <c r="AA64" s="1">
        <v>72005158</v>
      </c>
      <c r="AB64" s="1" t="s">
        <v>2272</v>
      </c>
      <c r="AC64" s="1"/>
      <c r="AD64" s="3"/>
      <c r="AE64" s="194"/>
      <c r="AF64" s="15" t="s">
        <v>2321</v>
      </c>
      <c r="AG64" s="15" t="s">
        <v>192</v>
      </c>
      <c r="AH64" s="15" t="s">
        <v>192</v>
      </c>
    </row>
    <row r="65" spans="1:34" s="4" customFormat="1" x14ac:dyDescent="0.25">
      <c r="A65" s="16">
        <v>891780768</v>
      </c>
      <c r="B65" s="16" t="s">
        <v>54</v>
      </c>
      <c r="C65" s="14" t="s">
        <v>57</v>
      </c>
      <c r="D65" s="16" t="s">
        <v>60</v>
      </c>
      <c r="E65" s="1" t="s">
        <v>2322</v>
      </c>
      <c r="F65" s="16" t="s">
        <v>61</v>
      </c>
      <c r="G65" s="1" t="s">
        <v>69</v>
      </c>
      <c r="H65" s="1" t="s">
        <v>73</v>
      </c>
      <c r="I65" s="9">
        <v>43200000</v>
      </c>
      <c r="J65" s="94">
        <v>1</v>
      </c>
      <c r="K65" s="2">
        <v>3400000</v>
      </c>
      <c r="L65" s="2"/>
      <c r="M65" s="40">
        <f t="shared" si="2"/>
        <v>46600000</v>
      </c>
      <c r="N65" s="1">
        <v>1030583890</v>
      </c>
      <c r="O65" s="1" t="s">
        <v>2323</v>
      </c>
      <c r="P65" s="1" t="s">
        <v>2324</v>
      </c>
      <c r="Q65" s="3">
        <v>45033</v>
      </c>
      <c r="R65" s="3">
        <v>45033</v>
      </c>
      <c r="S65" s="3">
        <v>45339</v>
      </c>
      <c r="T65" s="35"/>
      <c r="U65" s="3"/>
      <c r="V65" s="3"/>
      <c r="W65" s="50"/>
      <c r="X65" s="9">
        <v>0</v>
      </c>
      <c r="Y65" s="9">
        <f t="shared" si="4"/>
        <v>46600000</v>
      </c>
      <c r="Z65" s="34">
        <f t="shared" si="1"/>
        <v>0</v>
      </c>
      <c r="AA65" s="1">
        <v>72005158</v>
      </c>
      <c r="AB65" s="1" t="s">
        <v>2272</v>
      </c>
      <c r="AC65" s="1"/>
      <c r="AD65" s="3"/>
      <c r="AE65" s="194"/>
      <c r="AF65" s="15" t="s">
        <v>2325</v>
      </c>
      <c r="AG65" s="15" t="s">
        <v>192</v>
      </c>
      <c r="AH65" s="15" t="s">
        <v>192</v>
      </c>
    </row>
    <row r="66" spans="1:34" s="4" customFormat="1" x14ac:dyDescent="0.25">
      <c r="A66" s="16">
        <v>891780769</v>
      </c>
      <c r="B66" s="16" t="s">
        <v>54</v>
      </c>
      <c r="C66" s="14" t="s">
        <v>57</v>
      </c>
      <c r="D66" s="16" t="s">
        <v>60</v>
      </c>
      <c r="E66" s="1" t="s">
        <v>2326</v>
      </c>
      <c r="F66" s="16" t="s">
        <v>61</v>
      </c>
      <c r="G66" s="1" t="s">
        <v>69</v>
      </c>
      <c r="H66" s="1" t="s">
        <v>73</v>
      </c>
      <c r="I66" s="9">
        <v>35000000</v>
      </c>
      <c r="J66" s="94">
        <v>1</v>
      </c>
      <c r="K66" s="2">
        <v>3400000</v>
      </c>
      <c r="L66" s="2"/>
      <c r="M66" s="40">
        <f t="shared" si="2"/>
        <v>38400000</v>
      </c>
      <c r="N66" s="1">
        <v>1098775223</v>
      </c>
      <c r="O66" s="1" t="s">
        <v>2327</v>
      </c>
      <c r="P66" s="1" t="s">
        <v>2328</v>
      </c>
      <c r="Q66" s="3">
        <v>45048</v>
      </c>
      <c r="R66" s="3">
        <v>45054</v>
      </c>
      <c r="S66" s="3">
        <v>45339</v>
      </c>
      <c r="T66" s="35"/>
      <c r="U66" s="3"/>
      <c r="V66" s="3"/>
      <c r="W66" s="50"/>
      <c r="X66" s="9">
        <v>0</v>
      </c>
      <c r="Y66" s="9">
        <f t="shared" si="4"/>
        <v>38400000</v>
      </c>
      <c r="Z66" s="34">
        <f t="shared" si="1"/>
        <v>0</v>
      </c>
      <c r="AA66" s="1">
        <v>72005158</v>
      </c>
      <c r="AB66" s="1" t="s">
        <v>2272</v>
      </c>
      <c r="AC66" s="1"/>
      <c r="AD66" s="3"/>
      <c r="AE66" s="194"/>
      <c r="AF66" s="15" t="s">
        <v>2329</v>
      </c>
      <c r="AG66" s="15" t="s">
        <v>192</v>
      </c>
      <c r="AH66" s="15" t="s">
        <v>192</v>
      </c>
    </row>
    <row r="67" spans="1:34" s="4" customFormat="1" x14ac:dyDescent="0.25">
      <c r="A67" s="16">
        <v>891780770</v>
      </c>
      <c r="B67" s="16" t="s">
        <v>54</v>
      </c>
      <c r="C67" s="14" t="s">
        <v>57</v>
      </c>
      <c r="D67" s="16" t="s">
        <v>60</v>
      </c>
      <c r="E67" s="1" t="s">
        <v>2330</v>
      </c>
      <c r="F67" s="16" t="s">
        <v>61</v>
      </c>
      <c r="G67" s="1" t="s">
        <v>69</v>
      </c>
      <c r="H67" s="1" t="s">
        <v>73</v>
      </c>
      <c r="I67" s="9">
        <v>22000000</v>
      </c>
      <c r="J67" s="94">
        <v>1</v>
      </c>
      <c r="K67" s="2">
        <v>4100000</v>
      </c>
      <c r="L67" s="2"/>
      <c r="M67" s="40">
        <f t="shared" si="2"/>
        <v>26100000</v>
      </c>
      <c r="N67" s="1">
        <v>85464827</v>
      </c>
      <c r="O67" s="1" t="s">
        <v>2331</v>
      </c>
      <c r="P67" s="1" t="s">
        <v>2332</v>
      </c>
      <c r="Q67" s="3">
        <v>45051</v>
      </c>
      <c r="R67" s="3">
        <v>45054</v>
      </c>
      <c r="S67" s="3">
        <v>45339</v>
      </c>
      <c r="T67" s="35"/>
      <c r="U67" s="3"/>
      <c r="V67" s="3"/>
      <c r="W67" s="50"/>
      <c r="X67" s="9">
        <v>0</v>
      </c>
      <c r="Y67" s="9">
        <f t="shared" si="4"/>
        <v>26100000</v>
      </c>
      <c r="Z67" s="34">
        <f t="shared" si="1"/>
        <v>0</v>
      </c>
      <c r="AA67" s="1">
        <v>72005158</v>
      </c>
      <c r="AB67" s="1" t="s">
        <v>2272</v>
      </c>
      <c r="AC67" s="1"/>
      <c r="AD67" s="3"/>
      <c r="AE67" s="194"/>
      <c r="AF67" s="15" t="s">
        <v>2333</v>
      </c>
      <c r="AG67" s="15" t="s">
        <v>192</v>
      </c>
      <c r="AH67" s="15" t="s">
        <v>192</v>
      </c>
    </row>
    <row r="68" spans="1:34" s="4" customFormat="1" x14ac:dyDescent="0.25">
      <c r="A68" s="16">
        <v>891780771</v>
      </c>
      <c r="B68" s="16" t="s">
        <v>54</v>
      </c>
      <c r="C68" s="14" t="s">
        <v>57</v>
      </c>
      <c r="D68" s="16" t="s">
        <v>60</v>
      </c>
      <c r="E68" s="1" t="s">
        <v>2334</v>
      </c>
      <c r="F68" s="16" t="s">
        <v>61</v>
      </c>
      <c r="G68" s="1" t="s">
        <v>69</v>
      </c>
      <c r="H68" s="1" t="s">
        <v>79</v>
      </c>
      <c r="I68" s="9">
        <v>60000000</v>
      </c>
      <c r="J68" s="94"/>
      <c r="K68" s="2"/>
      <c r="L68" s="2"/>
      <c r="M68" s="40">
        <f t="shared" si="2"/>
        <v>60000000</v>
      </c>
      <c r="N68" s="1" t="s">
        <v>2335</v>
      </c>
      <c r="O68" s="1" t="s">
        <v>1666</v>
      </c>
      <c r="P68" s="1" t="s">
        <v>2336</v>
      </c>
      <c r="Q68" s="3">
        <v>45054</v>
      </c>
      <c r="R68" s="3">
        <v>45055</v>
      </c>
      <c r="S68" s="3">
        <v>45121</v>
      </c>
      <c r="T68" s="35"/>
      <c r="U68" s="3"/>
      <c r="V68" s="3"/>
      <c r="W68" s="50"/>
      <c r="X68" s="9">
        <v>0</v>
      </c>
      <c r="Y68" s="9">
        <f t="shared" si="4"/>
        <v>60000000</v>
      </c>
      <c r="Z68" s="34">
        <f t="shared" si="1"/>
        <v>0</v>
      </c>
      <c r="AA68" s="1">
        <v>72005158</v>
      </c>
      <c r="AB68" s="1" t="s">
        <v>2272</v>
      </c>
      <c r="AC68" s="1"/>
      <c r="AD68" s="3"/>
      <c r="AE68" s="194"/>
      <c r="AF68" s="15" t="s">
        <v>2337</v>
      </c>
      <c r="AG68" s="15" t="s">
        <v>192</v>
      </c>
      <c r="AH68" s="15" t="s">
        <v>191</v>
      </c>
    </row>
    <row r="69" spans="1:34" s="4" customFormat="1" x14ac:dyDescent="0.25">
      <c r="A69" s="16">
        <v>891780772</v>
      </c>
      <c r="B69" s="16" t="s">
        <v>54</v>
      </c>
      <c r="C69" s="14" t="s">
        <v>57</v>
      </c>
      <c r="D69" s="16" t="s">
        <v>60</v>
      </c>
      <c r="E69" s="1" t="s">
        <v>2338</v>
      </c>
      <c r="F69" s="16" t="s">
        <v>61</v>
      </c>
      <c r="G69" s="1" t="s">
        <v>69</v>
      </c>
      <c r="H69" s="1" t="s">
        <v>73</v>
      </c>
      <c r="I69" s="9">
        <v>11200000</v>
      </c>
      <c r="J69" s="94"/>
      <c r="K69" s="2"/>
      <c r="L69" s="2"/>
      <c r="M69" s="40">
        <f t="shared" si="2"/>
        <v>11200000</v>
      </c>
      <c r="N69" s="1">
        <v>1082372495</v>
      </c>
      <c r="O69" s="1" t="s">
        <v>2339</v>
      </c>
      <c r="P69" s="1" t="s">
        <v>2340</v>
      </c>
      <c r="Q69" s="3">
        <v>45055</v>
      </c>
      <c r="R69" s="3">
        <v>45057</v>
      </c>
      <c r="S69" s="3">
        <v>45177</v>
      </c>
      <c r="T69" s="35"/>
      <c r="U69" s="3"/>
      <c r="V69" s="3"/>
      <c r="W69" s="50"/>
      <c r="X69" s="9">
        <v>0</v>
      </c>
      <c r="Y69" s="9">
        <f t="shared" si="4"/>
        <v>11200000</v>
      </c>
      <c r="Z69" s="34">
        <f t="shared" ref="Z69:Z132" si="5">+(X69/M69)</f>
        <v>0</v>
      </c>
      <c r="AA69" s="1">
        <v>72005158</v>
      </c>
      <c r="AB69" s="1" t="s">
        <v>2272</v>
      </c>
      <c r="AC69" s="1"/>
      <c r="AD69" s="3"/>
      <c r="AE69" s="194"/>
      <c r="AF69" s="15" t="s">
        <v>2341</v>
      </c>
      <c r="AG69" s="15" t="s">
        <v>192</v>
      </c>
      <c r="AH69" s="15" t="s">
        <v>192</v>
      </c>
    </row>
    <row r="70" spans="1:34" s="4" customFormat="1" x14ac:dyDescent="0.25">
      <c r="A70" s="16">
        <v>891780773</v>
      </c>
      <c r="B70" s="16" t="s">
        <v>54</v>
      </c>
      <c r="C70" s="14" t="s">
        <v>57</v>
      </c>
      <c r="D70" s="16" t="s">
        <v>60</v>
      </c>
      <c r="E70" s="1" t="s">
        <v>2342</v>
      </c>
      <c r="F70" s="16" t="s">
        <v>61</v>
      </c>
      <c r="G70" s="1" t="s">
        <v>69</v>
      </c>
      <c r="H70" s="1" t="s">
        <v>73</v>
      </c>
      <c r="I70" s="9">
        <v>45500000</v>
      </c>
      <c r="J70" s="94"/>
      <c r="K70" s="2"/>
      <c r="L70" s="2"/>
      <c r="M70" s="40">
        <f t="shared" ref="M70:M133" si="6">I70+K70-L70</f>
        <v>45500000</v>
      </c>
      <c r="N70" s="1">
        <v>64703092</v>
      </c>
      <c r="O70" s="1" t="s">
        <v>2343</v>
      </c>
      <c r="P70" s="1" t="s">
        <v>2344</v>
      </c>
      <c r="Q70" s="3">
        <v>45071</v>
      </c>
      <c r="R70" s="3">
        <v>45071</v>
      </c>
      <c r="S70" s="3">
        <v>45339</v>
      </c>
      <c r="T70" s="35"/>
      <c r="U70" s="3"/>
      <c r="V70" s="3"/>
      <c r="W70" s="50"/>
      <c r="X70" s="9">
        <v>0</v>
      </c>
      <c r="Y70" s="9">
        <f t="shared" si="4"/>
        <v>45500000</v>
      </c>
      <c r="Z70" s="34">
        <f t="shared" si="5"/>
        <v>0</v>
      </c>
      <c r="AA70" s="1">
        <v>72005158</v>
      </c>
      <c r="AB70" s="1" t="s">
        <v>2272</v>
      </c>
      <c r="AC70" s="1"/>
      <c r="AD70" s="3"/>
      <c r="AE70" s="194"/>
      <c r="AF70" s="15" t="s">
        <v>2345</v>
      </c>
      <c r="AG70" s="15" t="s">
        <v>192</v>
      </c>
      <c r="AH70" s="15" t="s">
        <v>192</v>
      </c>
    </row>
    <row r="71" spans="1:34" s="4" customFormat="1" x14ac:dyDescent="0.25">
      <c r="A71" s="16">
        <v>891780774</v>
      </c>
      <c r="B71" s="16" t="s">
        <v>54</v>
      </c>
      <c r="C71" s="14" t="s">
        <v>57</v>
      </c>
      <c r="D71" s="16" t="s">
        <v>60</v>
      </c>
      <c r="E71" s="1" t="s">
        <v>2346</v>
      </c>
      <c r="F71" s="16" t="s">
        <v>61</v>
      </c>
      <c r="G71" s="1" t="s">
        <v>69</v>
      </c>
      <c r="H71" s="1" t="s">
        <v>73</v>
      </c>
      <c r="I71" s="9">
        <v>24000000</v>
      </c>
      <c r="J71" s="94"/>
      <c r="K71" s="2"/>
      <c r="L71" s="2"/>
      <c r="M71" s="40">
        <f t="shared" si="6"/>
        <v>24000000</v>
      </c>
      <c r="N71" s="1">
        <v>85474786</v>
      </c>
      <c r="O71" s="1" t="s">
        <v>2347</v>
      </c>
      <c r="P71" s="1" t="s">
        <v>2348</v>
      </c>
      <c r="Q71" s="3">
        <v>45071</v>
      </c>
      <c r="R71" s="3">
        <v>45072</v>
      </c>
      <c r="S71" s="3">
        <v>45339</v>
      </c>
      <c r="T71" s="35"/>
      <c r="U71" s="3"/>
      <c r="V71" s="3"/>
      <c r="W71" s="50"/>
      <c r="X71" s="9">
        <v>0</v>
      </c>
      <c r="Y71" s="9">
        <f t="shared" si="4"/>
        <v>24000000</v>
      </c>
      <c r="Z71" s="34">
        <f t="shared" si="5"/>
        <v>0</v>
      </c>
      <c r="AA71" s="1">
        <v>72005158</v>
      </c>
      <c r="AB71" s="1" t="s">
        <v>2272</v>
      </c>
      <c r="AC71" s="1"/>
      <c r="AD71" s="3"/>
      <c r="AE71" s="194"/>
      <c r="AF71" s="15" t="s">
        <v>2349</v>
      </c>
      <c r="AG71" s="15" t="s">
        <v>192</v>
      </c>
      <c r="AH71" s="15" t="s">
        <v>192</v>
      </c>
    </row>
    <row r="72" spans="1:34" s="4" customFormat="1" x14ac:dyDescent="0.25">
      <c r="A72" s="16">
        <v>891780775</v>
      </c>
      <c r="B72" s="16" t="s">
        <v>54</v>
      </c>
      <c r="C72" s="14" t="s">
        <v>57</v>
      </c>
      <c r="D72" s="16" t="s">
        <v>60</v>
      </c>
      <c r="E72" s="1" t="s">
        <v>2350</v>
      </c>
      <c r="F72" s="16" t="s">
        <v>61</v>
      </c>
      <c r="G72" s="1" t="s">
        <v>69</v>
      </c>
      <c r="H72" s="1" t="s">
        <v>73</v>
      </c>
      <c r="I72" s="9">
        <v>156000000</v>
      </c>
      <c r="J72" s="94"/>
      <c r="K72" s="2"/>
      <c r="L72" s="2"/>
      <c r="M72" s="40">
        <f t="shared" si="6"/>
        <v>156000000</v>
      </c>
      <c r="N72" s="1" t="s">
        <v>2351</v>
      </c>
      <c r="O72" s="1" t="s">
        <v>2352</v>
      </c>
      <c r="P72" s="1" t="s">
        <v>2353</v>
      </c>
      <c r="Q72" s="3">
        <v>45072</v>
      </c>
      <c r="R72" s="3">
        <v>45077</v>
      </c>
      <c r="S72" s="3">
        <v>45275</v>
      </c>
      <c r="T72" s="35"/>
      <c r="U72" s="3"/>
      <c r="V72" s="3"/>
      <c r="W72" s="50"/>
      <c r="X72" s="9">
        <v>0</v>
      </c>
      <c r="Y72" s="9">
        <f t="shared" si="4"/>
        <v>156000000</v>
      </c>
      <c r="Z72" s="34">
        <f t="shared" si="5"/>
        <v>0</v>
      </c>
      <c r="AA72" s="1">
        <v>72005158</v>
      </c>
      <c r="AB72" s="1" t="s">
        <v>2272</v>
      </c>
      <c r="AC72" s="1"/>
      <c r="AD72" s="3"/>
      <c r="AE72" s="194"/>
      <c r="AF72" s="15" t="s">
        <v>2354</v>
      </c>
      <c r="AG72" s="15" t="s">
        <v>192</v>
      </c>
      <c r="AH72" s="15" t="s">
        <v>191</v>
      </c>
    </row>
    <row r="73" spans="1:34" s="4" customFormat="1" x14ac:dyDescent="0.25">
      <c r="A73" s="16">
        <v>891780781</v>
      </c>
      <c r="B73" s="16" t="s">
        <v>54</v>
      </c>
      <c r="C73" s="14" t="s">
        <v>57</v>
      </c>
      <c r="D73" s="16" t="s">
        <v>60</v>
      </c>
      <c r="E73" s="1" t="s">
        <v>2355</v>
      </c>
      <c r="F73" s="16" t="s">
        <v>61</v>
      </c>
      <c r="G73" s="1" t="s">
        <v>69</v>
      </c>
      <c r="H73" s="1" t="s">
        <v>73</v>
      </c>
      <c r="I73" s="9">
        <v>31372923</v>
      </c>
      <c r="J73" s="94"/>
      <c r="K73" s="2"/>
      <c r="L73" s="2"/>
      <c r="M73" s="40">
        <f t="shared" si="6"/>
        <v>31372923</v>
      </c>
      <c r="N73" s="1" t="s">
        <v>2351</v>
      </c>
      <c r="O73" s="1" t="s">
        <v>2352</v>
      </c>
      <c r="P73" s="1" t="s">
        <v>2356</v>
      </c>
      <c r="Q73" s="3">
        <v>45082</v>
      </c>
      <c r="R73" s="3">
        <v>45084</v>
      </c>
      <c r="S73" s="3">
        <v>45105</v>
      </c>
      <c r="T73" s="35"/>
      <c r="U73" s="3"/>
      <c r="V73" s="3"/>
      <c r="W73" s="50"/>
      <c r="X73" s="9">
        <v>0</v>
      </c>
      <c r="Y73" s="9">
        <f t="shared" si="4"/>
        <v>31372923</v>
      </c>
      <c r="Z73" s="34">
        <f t="shared" si="5"/>
        <v>0</v>
      </c>
      <c r="AA73" s="1">
        <v>72005158</v>
      </c>
      <c r="AB73" s="1" t="s">
        <v>2272</v>
      </c>
      <c r="AC73" s="1"/>
      <c r="AD73" s="3"/>
      <c r="AE73" s="194"/>
      <c r="AF73" s="15" t="s">
        <v>2357</v>
      </c>
      <c r="AG73" s="15" t="s">
        <v>192</v>
      </c>
      <c r="AH73" s="15" t="s">
        <v>191</v>
      </c>
    </row>
    <row r="74" spans="1:34" s="4" customFormat="1" x14ac:dyDescent="0.25">
      <c r="A74" s="16">
        <v>891780782</v>
      </c>
      <c r="B74" s="16" t="s">
        <v>54</v>
      </c>
      <c r="C74" s="14" t="s">
        <v>57</v>
      </c>
      <c r="D74" s="16" t="s">
        <v>60</v>
      </c>
      <c r="E74" s="1" t="s">
        <v>2358</v>
      </c>
      <c r="F74" s="16" t="s">
        <v>61</v>
      </c>
      <c r="G74" s="1" t="s">
        <v>69</v>
      </c>
      <c r="H74" s="1" t="s">
        <v>73</v>
      </c>
      <c r="I74" s="9">
        <v>17045400</v>
      </c>
      <c r="J74" s="94"/>
      <c r="K74" s="2"/>
      <c r="L74" s="2"/>
      <c r="M74" s="40">
        <f t="shared" si="6"/>
        <v>17045400</v>
      </c>
      <c r="N74" s="1">
        <v>84454137</v>
      </c>
      <c r="O74" s="1" t="s">
        <v>2275</v>
      </c>
      <c r="P74" s="1" t="s">
        <v>2359</v>
      </c>
      <c r="Q74" s="3">
        <v>45085</v>
      </c>
      <c r="R74" s="3">
        <v>45086</v>
      </c>
      <c r="S74" s="3">
        <v>45105</v>
      </c>
      <c r="T74" s="35"/>
      <c r="U74" s="3"/>
      <c r="V74" s="3"/>
      <c r="W74" s="50"/>
      <c r="X74" s="9">
        <v>0</v>
      </c>
      <c r="Y74" s="9">
        <f t="shared" si="4"/>
        <v>17045400</v>
      </c>
      <c r="Z74" s="34">
        <f t="shared" si="5"/>
        <v>0</v>
      </c>
      <c r="AA74" s="1">
        <v>72005158</v>
      </c>
      <c r="AB74" s="1" t="s">
        <v>2272</v>
      </c>
      <c r="AC74" s="1"/>
      <c r="AD74" s="3"/>
      <c r="AE74" s="194"/>
      <c r="AF74" s="15" t="s">
        <v>2360</v>
      </c>
      <c r="AG74" s="15" t="s">
        <v>192</v>
      </c>
      <c r="AH74" s="15" t="s">
        <v>192</v>
      </c>
    </row>
    <row r="75" spans="1:34" s="4" customFormat="1" x14ac:dyDescent="0.25">
      <c r="A75" s="16">
        <v>891780776</v>
      </c>
      <c r="B75" s="16" t="s">
        <v>54</v>
      </c>
      <c r="C75" s="14" t="s">
        <v>57</v>
      </c>
      <c r="D75" s="16" t="s">
        <v>60</v>
      </c>
      <c r="E75" s="1" t="s">
        <v>2361</v>
      </c>
      <c r="F75" s="16" t="s">
        <v>61</v>
      </c>
      <c r="G75" s="1" t="s">
        <v>69</v>
      </c>
      <c r="H75" s="1" t="s">
        <v>73</v>
      </c>
      <c r="I75" s="9">
        <v>24000000</v>
      </c>
      <c r="J75" s="94"/>
      <c r="K75" s="2"/>
      <c r="L75" s="2"/>
      <c r="M75" s="40">
        <f t="shared" si="6"/>
        <v>24000000</v>
      </c>
      <c r="N75" s="1">
        <v>1082854051</v>
      </c>
      <c r="O75" s="1" t="s">
        <v>2362</v>
      </c>
      <c r="P75" s="1" t="s">
        <v>2363</v>
      </c>
      <c r="Q75" s="3">
        <v>45092</v>
      </c>
      <c r="R75" s="3">
        <v>45092</v>
      </c>
      <c r="S75" s="3">
        <v>45339</v>
      </c>
      <c r="T75" s="35"/>
      <c r="U75" s="3"/>
      <c r="V75" s="3"/>
      <c r="W75" s="50"/>
      <c r="X75" s="9">
        <v>0</v>
      </c>
      <c r="Y75" s="9">
        <f t="shared" si="4"/>
        <v>24000000</v>
      </c>
      <c r="Z75" s="34">
        <f t="shared" si="5"/>
        <v>0</v>
      </c>
      <c r="AA75" s="1">
        <v>57294316</v>
      </c>
      <c r="AB75" s="1" t="s">
        <v>2364</v>
      </c>
      <c r="AC75" s="1"/>
      <c r="AD75" s="3"/>
      <c r="AE75" s="194"/>
      <c r="AF75" s="15" t="s">
        <v>2365</v>
      </c>
      <c r="AG75" s="15" t="s">
        <v>192</v>
      </c>
      <c r="AH75" s="15" t="s">
        <v>192</v>
      </c>
    </row>
    <row r="76" spans="1:34" s="4" customFormat="1" x14ac:dyDescent="0.25">
      <c r="A76" s="16">
        <v>891780777</v>
      </c>
      <c r="B76" s="16" t="s">
        <v>54</v>
      </c>
      <c r="C76" s="14" t="s">
        <v>57</v>
      </c>
      <c r="D76" s="16" t="s">
        <v>60</v>
      </c>
      <c r="E76" s="1" t="s">
        <v>2366</v>
      </c>
      <c r="F76" s="16" t="s">
        <v>61</v>
      </c>
      <c r="G76" s="1" t="s">
        <v>69</v>
      </c>
      <c r="H76" s="1" t="s">
        <v>73</v>
      </c>
      <c r="I76" s="9">
        <v>9800000</v>
      </c>
      <c r="J76" s="94"/>
      <c r="K76" s="2"/>
      <c r="L76" s="2"/>
      <c r="M76" s="40">
        <f t="shared" si="6"/>
        <v>9800000</v>
      </c>
      <c r="N76" s="1">
        <v>1082954532</v>
      </c>
      <c r="O76" s="1" t="s">
        <v>2367</v>
      </c>
      <c r="P76" s="1" t="s">
        <v>2368</v>
      </c>
      <c r="Q76" s="3">
        <v>45092</v>
      </c>
      <c r="R76" s="3">
        <v>45092</v>
      </c>
      <c r="S76" s="3">
        <v>45199</v>
      </c>
      <c r="T76" s="35"/>
      <c r="U76" s="3"/>
      <c r="V76" s="3"/>
      <c r="W76" s="50"/>
      <c r="X76" s="9">
        <v>0</v>
      </c>
      <c r="Y76" s="9">
        <f t="shared" si="4"/>
        <v>9800000</v>
      </c>
      <c r="Z76" s="34">
        <f t="shared" si="5"/>
        <v>0</v>
      </c>
      <c r="AA76" s="1">
        <v>57294316</v>
      </c>
      <c r="AB76" s="1" t="s">
        <v>2364</v>
      </c>
      <c r="AC76" s="1"/>
      <c r="AD76" s="3"/>
      <c r="AE76" s="194"/>
      <c r="AF76" s="15" t="s">
        <v>2369</v>
      </c>
      <c r="AG76" s="15" t="s">
        <v>192</v>
      </c>
      <c r="AH76" s="15" t="s">
        <v>192</v>
      </c>
    </row>
    <row r="77" spans="1:34" s="4" customFormat="1" x14ac:dyDescent="0.25">
      <c r="A77" s="16">
        <v>891780778</v>
      </c>
      <c r="B77" s="16" t="s">
        <v>54</v>
      </c>
      <c r="C77" s="14" t="s">
        <v>57</v>
      </c>
      <c r="D77" s="16" t="s">
        <v>60</v>
      </c>
      <c r="E77" s="1" t="s">
        <v>2370</v>
      </c>
      <c r="F77" s="16" t="s">
        <v>61</v>
      </c>
      <c r="G77" s="1" t="s">
        <v>69</v>
      </c>
      <c r="H77" s="1" t="s">
        <v>73</v>
      </c>
      <c r="I77" s="9">
        <v>20000000</v>
      </c>
      <c r="J77" s="94"/>
      <c r="K77" s="2"/>
      <c r="L77" s="2"/>
      <c r="M77" s="40">
        <f t="shared" si="6"/>
        <v>20000000</v>
      </c>
      <c r="N77" s="1">
        <v>1082862374</v>
      </c>
      <c r="O77" s="1" t="s">
        <v>2371</v>
      </c>
      <c r="P77" s="1" t="s">
        <v>2372</v>
      </c>
      <c r="Q77" s="3">
        <v>45100</v>
      </c>
      <c r="R77" s="3">
        <v>45103</v>
      </c>
      <c r="S77" s="3">
        <v>45339</v>
      </c>
      <c r="T77" s="35"/>
      <c r="U77" s="3"/>
      <c r="V77" s="3"/>
      <c r="W77" s="50"/>
      <c r="X77" s="9">
        <v>0</v>
      </c>
      <c r="Y77" s="9">
        <f t="shared" si="4"/>
        <v>20000000</v>
      </c>
      <c r="Z77" s="34">
        <f t="shared" si="5"/>
        <v>0</v>
      </c>
      <c r="AA77" s="1">
        <v>57294316</v>
      </c>
      <c r="AB77" s="1" t="s">
        <v>2364</v>
      </c>
      <c r="AC77" s="1"/>
      <c r="AD77" s="3"/>
      <c r="AE77" s="194"/>
      <c r="AF77" s="15" t="s">
        <v>2373</v>
      </c>
      <c r="AG77" s="15" t="s">
        <v>192</v>
      </c>
      <c r="AH77" s="15" t="s">
        <v>192</v>
      </c>
    </row>
    <row r="78" spans="1:34" s="4" customFormat="1" x14ac:dyDescent="0.25">
      <c r="A78" s="16">
        <v>891780779</v>
      </c>
      <c r="B78" s="16" t="s">
        <v>54</v>
      </c>
      <c r="C78" s="14" t="s">
        <v>57</v>
      </c>
      <c r="D78" s="16" t="s">
        <v>60</v>
      </c>
      <c r="E78" s="1" t="s">
        <v>2374</v>
      </c>
      <c r="F78" s="16" t="s">
        <v>61</v>
      </c>
      <c r="G78" s="1" t="s">
        <v>69</v>
      </c>
      <c r="H78" s="1" t="s">
        <v>73</v>
      </c>
      <c r="I78" s="9">
        <v>22300000</v>
      </c>
      <c r="J78" s="94"/>
      <c r="K78" s="2"/>
      <c r="L78" s="2"/>
      <c r="M78" s="40">
        <f t="shared" si="6"/>
        <v>22300000</v>
      </c>
      <c r="N78" s="1" t="s">
        <v>2375</v>
      </c>
      <c r="O78" s="1" t="s">
        <v>2376</v>
      </c>
      <c r="P78" s="1" t="s">
        <v>2377</v>
      </c>
      <c r="Q78" s="3">
        <v>45098</v>
      </c>
      <c r="R78" s="3">
        <v>45099</v>
      </c>
      <c r="S78" s="3">
        <v>45343</v>
      </c>
      <c r="T78" s="35"/>
      <c r="U78" s="3"/>
      <c r="V78" s="3"/>
      <c r="W78" s="50"/>
      <c r="X78" s="9">
        <v>0</v>
      </c>
      <c r="Y78" s="9">
        <f t="shared" si="4"/>
        <v>22300000</v>
      </c>
      <c r="Z78" s="34">
        <f t="shared" si="5"/>
        <v>0</v>
      </c>
      <c r="AA78" s="1">
        <v>57294316</v>
      </c>
      <c r="AB78" s="1" t="s">
        <v>2364</v>
      </c>
      <c r="AC78" s="1"/>
      <c r="AD78" s="3"/>
      <c r="AE78" s="194"/>
      <c r="AF78" s="15" t="s">
        <v>2378</v>
      </c>
      <c r="AG78" s="15" t="s">
        <v>192</v>
      </c>
      <c r="AH78" s="15" t="s">
        <v>191</v>
      </c>
    </row>
    <row r="79" spans="1:34" s="4" customFormat="1" x14ac:dyDescent="0.25">
      <c r="A79" s="16">
        <v>891780780</v>
      </c>
      <c r="B79" s="16" t="s">
        <v>54</v>
      </c>
      <c r="C79" s="14" t="s">
        <v>57</v>
      </c>
      <c r="D79" s="16" t="s">
        <v>60</v>
      </c>
      <c r="E79" s="1" t="s">
        <v>2379</v>
      </c>
      <c r="F79" s="16" t="s">
        <v>61</v>
      </c>
      <c r="G79" s="1" t="s">
        <v>69</v>
      </c>
      <c r="H79" s="1" t="s">
        <v>79</v>
      </c>
      <c r="I79" s="9">
        <v>54061700</v>
      </c>
      <c r="J79" s="94"/>
      <c r="K79" s="2"/>
      <c r="L79" s="2"/>
      <c r="M79" s="40">
        <f t="shared" si="6"/>
        <v>54061700</v>
      </c>
      <c r="N79" s="1" t="s">
        <v>2335</v>
      </c>
      <c r="O79" s="1" t="s">
        <v>1666</v>
      </c>
      <c r="P79" s="1" t="s">
        <v>2380</v>
      </c>
      <c r="Q79" s="3">
        <v>45097</v>
      </c>
      <c r="R79" s="3">
        <v>45104</v>
      </c>
      <c r="S79" s="3">
        <v>45237</v>
      </c>
      <c r="T79" s="35"/>
      <c r="U79" s="3"/>
      <c r="V79" s="3"/>
      <c r="W79" s="50"/>
      <c r="X79" s="9">
        <v>0</v>
      </c>
      <c r="Y79" s="9">
        <f t="shared" si="4"/>
        <v>54061700</v>
      </c>
      <c r="Z79" s="34">
        <f t="shared" si="5"/>
        <v>0</v>
      </c>
      <c r="AA79" s="1">
        <v>57294316</v>
      </c>
      <c r="AB79" s="1" t="s">
        <v>2364</v>
      </c>
      <c r="AC79" s="1"/>
      <c r="AD79" s="3"/>
      <c r="AE79" s="194"/>
      <c r="AF79" s="15" t="s">
        <v>2381</v>
      </c>
      <c r="AG79" s="15" t="s">
        <v>192</v>
      </c>
      <c r="AH79" s="15" t="s">
        <v>191</v>
      </c>
    </row>
    <row r="80" spans="1:34" s="4" customFormat="1" x14ac:dyDescent="0.25">
      <c r="A80" s="16">
        <v>891780780</v>
      </c>
      <c r="B80" s="16" t="s">
        <v>54</v>
      </c>
      <c r="C80" s="14" t="s">
        <v>57</v>
      </c>
      <c r="D80" s="16" t="s">
        <v>60</v>
      </c>
      <c r="E80" s="1" t="s">
        <v>2382</v>
      </c>
      <c r="F80" s="16" t="s">
        <v>61</v>
      </c>
      <c r="G80" s="1" t="s">
        <v>69</v>
      </c>
      <c r="H80" s="1" t="s">
        <v>73</v>
      </c>
      <c r="I80" s="9">
        <v>14000000</v>
      </c>
      <c r="J80" s="94"/>
      <c r="K80" s="2"/>
      <c r="L80" s="2"/>
      <c r="M80" s="40">
        <f t="shared" si="6"/>
        <v>14000000</v>
      </c>
      <c r="N80" s="1">
        <v>1083044865</v>
      </c>
      <c r="O80" s="1" t="s">
        <v>2383</v>
      </c>
      <c r="P80" s="1" t="s">
        <v>2384</v>
      </c>
      <c r="Q80" s="3">
        <v>45121</v>
      </c>
      <c r="R80" s="3">
        <v>45121</v>
      </c>
      <c r="S80" s="3">
        <v>45339</v>
      </c>
      <c r="T80" s="35"/>
      <c r="U80" s="3"/>
      <c r="V80" s="3"/>
      <c r="W80" s="50"/>
      <c r="X80" s="9">
        <v>0</v>
      </c>
      <c r="Y80" s="9">
        <f t="shared" si="4"/>
        <v>14000000</v>
      </c>
      <c r="Z80" s="34">
        <f t="shared" si="5"/>
        <v>0</v>
      </c>
      <c r="AA80" s="1">
        <v>57294316</v>
      </c>
      <c r="AB80" s="1" t="s">
        <v>2364</v>
      </c>
      <c r="AC80" s="1"/>
      <c r="AD80" s="3"/>
      <c r="AE80" s="194"/>
      <c r="AF80" s="15" t="s">
        <v>2385</v>
      </c>
      <c r="AG80" s="15" t="s">
        <v>192</v>
      </c>
      <c r="AH80" s="15"/>
    </row>
    <row r="81" spans="1:34" s="4" customFormat="1" x14ac:dyDescent="0.25">
      <c r="A81" s="16">
        <v>891780780</v>
      </c>
      <c r="B81" s="16" t="s">
        <v>54</v>
      </c>
      <c r="C81" s="14" t="s">
        <v>57</v>
      </c>
      <c r="D81" s="16" t="s">
        <v>60</v>
      </c>
      <c r="E81" s="1" t="s">
        <v>2386</v>
      </c>
      <c r="F81" s="16" t="s">
        <v>61</v>
      </c>
      <c r="G81" s="1" t="s">
        <v>69</v>
      </c>
      <c r="H81" s="1" t="s">
        <v>73</v>
      </c>
      <c r="I81" s="9">
        <v>21000000</v>
      </c>
      <c r="J81" s="94"/>
      <c r="K81" s="2"/>
      <c r="L81" s="2"/>
      <c r="M81" s="40">
        <f t="shared" si="6"/>
        <v>21000000</v>
      </c>
      <c r="N81" s="1">
        <v>1082948831</v>
      </c>
      <c r="O81" s="1" t="s">
        <v>2387</v>
      </c>
      <c r="P81" s="1" t="s">
        <v>2388</v>
      </c>
      <c r="Q81" s="3">
        <v>45131</v>
      </c>
      <c r="R81" s="3">
        <v>45131</v>
      </c>
      <c r="S81" s="3">
        <v>45339</v>
      </c>
      <c r="T81" s="35"/>
      <c r="U81" s="3"/>
      <c r="V81" s="3"/>
      <c r="W81" s="50"/>
      <c r="X81" s="9">
        <v>0</v>
      </c>
      <c r="Y81" s="9">
        <f t="shared" si="4"/>
        <v>21000000</v>
      </c>
      <c r="Z81" s="34">
        <f t="shared" si="5"/>
        <v>0</v>
      </c>
      <c r="AA81" s="1">
        <v>57294316</v>
      </c>
      <c r="AB81" s="1" t="s">
        <v>2364</v>
      </c>
      <c r="AC81" s="1"/>
      <c r="AD81" s="3"/>
      <c r="AE81" s="194"/>
      <c r="AF81" s="15" t="s">
        <v>2389</v>
      </c>
      <c r="AG81" s="15" t="s">
        <v>192</v>
      </c>
      <c r="AH81" s="15"/>
    </row>
    <row r="82" spans="1:34" s="4" customFormat="1" x14ac:dyDescent="0.25">
      <c r="A82" s="16">
        <v>891780780</v>
      </c>
      <c r="B82" s="16" t="s">
        <v>54</v>
      </c>
      <c r="C82" s="14" t="s">
        <v>57</v>
      </c>
      <c r="D82" s="16" t="s">
        <v>60</v>
      </c>
      <c r="E82" s="1" t="s">
        <v>2390</v>
      </c>
      <c r="F82" s="16" t="s">
        <v>61</v>
      </c>
      <c r="G82" s="1" t="s">
        <v>69</v>
      </c>
      <c r="H82" s="1" t="s">
        <v>73</v>
      </c>
      <c r="I82" s="9">
        <v>4000000</v>
      </c>
      <c r="J82" s="94"/>
      <c r="K82" s="2"/>
      <c r="L82" s="2"/>
      <c r="M82" s="40">
        <f t="shared" si="6"/>
        <v>4000000</v>
      </c>
      <c r="N82" s="1">
        <v>57297436</v>
      </c>
      <c r="O82" s="1" t="s">
        <v>2319</v>
      </c>
      <c r="P82" s="1" t="s">
        <v>2391</v>
      </c>
      <c r="Q82" s="3">
        <v>45131</v>
      </c>
      <c r="R82" s="3">
        <v>45131</v>
      </c>
      <c r="S82" s="3">
        <v>45504</v>
      </c>
      <c r="T82" s="35"/>
      <c r="U82" s="3"/>
      <c r="V82" s="3"/>
      <c r="W82" s="50"/>
      <c r="X82" s="9">
        <v>0</v>
      </c>
      <c r="Y82" s="9">
        <f t="shared" si="4"/>
        <v>4000000</v>
      </c>
      <c r="Z82" s="34">
        <f t="shared" si="5"/>
        <v>0</v>
      </c>
      <c r="AA82" s="1">
        <v>57294316</v>
      </c>
      <c r="AB82" s="1" t="s">
        <v>2364</v>
      </c>
      <c r="AC82" s="1"/>
      <c r="AD82" s="3"/>
      <c r="AE82" s="194"/>
      <c r="AF82" s="15" t="s">
        <v>2392</v>
      </c>
      <c r="AG82" s="15" t="s">
        <v>192</v>
      </c>
      <c r="AH82" s="15"/>
    </row>
    <row r="83" spans="1:34" s="4" customFormat="1" x14ac:dyDescent="0.25">
      <c r="A83" s="16">
        <v>891780780</v>
      </c>
      <c r="B83" s="16" t="s">
        <v>54</v>
      </c>
      <c r="C83" s="14" t="s">
        <v>57</v>
      </c>
      <c r="D83" s="16" t="s">
        <v>60</v>
      </c>
      <c r="E83" s="1" t="s">
        <v>2393</v>
      </c>
      <c r="F83" s="16" t="s">
        <v>61</v>
      </c>
      <c r="G83" s="1" t="s">
        <v>69</v>
      </c>
      <c r="H83" s="1" t="s">
        <v>73</v>
      </c>
      <c r="I83" s="9">
        <v>18750000</v>
      </c>
      <c r="J83" s="94"/>
      <c r="K83" s="2"/>
      <c r="L83" s="2"/>
      <c r="M83" s="40">
        <f t="shared" si="6"/>
        <v>18750000</v>
      </c>
      <c r="N83" s="1">
        <v>1083022709</v>
      </c>
      <c r="O83" s="1" t="s">
        <v>2394</v>
      </c>
      <c r="P83" s="1" t="s">
        <v>2395</v>
      </c>
      <c r="Q83" s="3">
        <v>45121</v>
      </c>
      <c r="R83" s="3">
        <v>45121</v>
      </c>
      <c r="S83" s="3">
        <v>45504</v>
      </c>
      <c r="T83" s="35"/>
      <c r="U83" s="3"/>
      <c r="V83" s="3"/>
      <c r="W83" s="50"/>
      <c r="X83" s="9">
        <v>0</v>
      </c>
      <c r="Y83" s="9">
        <f t="shared" si="4"/>
        <v>18750000</v>
      </c>
      <c r="Z83" s="34">
        <f t="shared" si="5"/>
        <v>0</v>
      </c>
      <c r="AA83" s="1">
        <v>57294316</v>
      </c>
      <c r="AB83" s="1" t="s">
        <v>2364</v>
      </c>
      <c r="AC83" s="1"/>
      <c r="AD83" s="3"/>
      <c r="AE83" s="194"/>
      <c r="AF83" s="15" t="s">
        <v>2396</v>
      </c>
      <c r="AG83" s="15" t="s">
        <v>192</v>
      </c>
      <c r="AH83" s="15"/>
    </row>
    <row r="84" spans="1:34" s="4" customFormat="1" x14ac:dyDescent="0.25">
      <c r="A84" s="16">
        <v>891780580</v>
      </c>
      <c r="B84" s="16" t="s">
        <v>54</v>
      </c>
      <c r="C84" s="14" t="s">
        <v>57</v>
      </c>
      <c r="D84" s="16" t="s">
        <v>60</v>
      </c>
      <c r="E84" s="1" t="s">
        <v>2397</v>
      </c>
      <c r="F84" s="16" t="s">
        <v>61</v>
      </c>
      <c r="G84" s="1" t="s">
        <v>69</v>
      </c>
      <c r="H84" s="1" t="s">
        <v>73</v>
      </c>
      <c r="I84" s="9">
        <v>6000000</v>
      </c>
      <c r="J84" s="94"/>
      <c r="K84" s="2"/>
      <c r="L84" s="2"/>
      <c r="M84" s="40">
        <f t="shared" si="6"/>
        <v>6000000</v>
      </c>
      <c r="N84" s="1">
        <v>57299411</v>
      </c>
      <c r="O84" s="1" t="s">
        <v>2398</v>
      </c>
      <c r="P84" s="1" t="s">
        <v>2399</v>
      </c>
      <c r="Q84" s="3">
        <v>44970</v>
      </c>
      <c r="R84" s="3">
        <v>44970</v>
      </c>
      <c r="S84" s="3">
        <v>44985</v>
      </c>
      <c r="T84" s="35"/>
      <c r="U84" s="3"/>
      <c r="V84" s="3"/>
      <c r="W84" s="50"/>
      <c r="X84" s="9">
        <v>6000000</v>
      </c>
      <c r="Y84" s="9">
        <f t="shared" si="4"/>
        <v>0</v>
      </c>
      <c r="Z84" s="34">
        <f t="shared" si="5"/>
        <v>1</v>
      </c>
      <c r="AA84" s="1">
        <v>85471791</v>
      </c>
      <c r="AB84" s="1" t="s">
        <v>2182</v>
      </c>
      <c r="AC84" s="1"/>
      <c r="AD84" s="1"/>
      <c r="AE84" s="3"/>
      <c r="AF84" s="194" t="s">
        <v>2400</v>
      </c>
      <c r="AG84" s="15" t="s">
        <v>192</v>
      </c>
      <c r="AH84" s="15" t="s">
        <v>192</v>
      </c>
    </row>
    <row r="85" spans="1:34" s="4" customFormat="1" x14ac:dyDescent="0.25">
      <c r="A85" s="16">
        <v>891780581</v>
      </c>
      <c r="B85" s="16" t="s">
        <v>54</v>
      </c>
      <c r="C85" s="14" t="s">
        <v>57</v>
      </c>
      <c r="D85" s="16" t="s">
        <v>60</v>
      </c>
      <c r="E85" s="1" t="s">
        <v>2401</v>
      </c>
      <c r="F85" s="16" t="s">
        <v>61</v>
      </c>
      <c r="G85" s="1" t="s">
        <v>69</v>
      </c>
      <c r="H85" s="1" t="s">
        <v>73</v>
      </c>
      <c r="I85" s="9">
        <v>3400000</v>
      </c>
      <c r="J85" s="94"/>
      <c r="K85" s="2"/>
      <c r="L85" s="2"/>
      <c r="M85" s="40">
        <f t="shared" si="6"/>
        <v>3400000</v>
      </c>
      <c r="N85" s="1">
        <v>36722139</v>
      </c>
      <c r="O85" s="1" t="s">
        <v>2402</v>
      </c>
      <c r="P85" s="1" t="s">
        <v>2403</v>
      </c>
      <c r="Q85" s="3">
        <v>44970</v>
      </c>
      <c r="R85" s="3">
        <v>44970</v>
      </c>
      <c r="S85" s="3">
        <v>44977</v>
      </c>
      <c r="T85" s="35"/>
      <c r="U85" s="3"/>
      <c r="V85" s="3"/>
      <c r="W85" s="50"/>
      <c r="X85" s="9">
        <v>3400000</v>
      </c>
      <c r="Y85" s="9">
        <f t="shared" si="4"/>
        <v>0</v>
      </c>
      <c r="Z85" s="34">
        <f t="shared" si="5"/>
        <v>1</v>
      </c>
      <c r="AA85" s="1">
        <v>85471791</v>
      </c>
      <c r="AB85" s="1" t="s">
        <v>2182</v>
      </c>
      <c r="AC85" s="1"/>
      <c r="AD85" s="1"/>
      <c r="AE85" s="3"/>
      <c r="AF85" s="194" t="s">
        <v>2404</v>
      </c>
      <c r="AG85" s="15" t="s">
        <v>192</v>
      </c>
      <c r="AH85" s="15" t="s">
        <v>192</v>
      </c>
    </row>
    <row r="86" spans="1:34" s="4" customFormat="1" x14ac:dyDescent="0.25">
      <c r="A86" s="16">
        <v>891780582</v>
      </c>
      <c r="B86" s="16" t="s">
        <v>54</v>
      </c>
      <c r="C86" s="14" t="s">
        <v>57</v>
      </c>
      <c r="D86" s="16" t="s">
        <v>60</v>
      </c>
      <c r="E86" s="1" t="s">
        <v>2405</v>
      </c>
      <c r="F86" s="16" t="s">
        <v>61</v>
      </c>
      <c r="G86" s="1" t="s">
        <v>69</v>
      </c>
      <c r="H86" s="1" t="s">
        <v>73</v>
      </c>
      <c r="I86" s="9">
        <v>15300000</v>
      </c>
      <c r="J86" s="94"/>
      <c r="K86" s="2"/>
      <c r="L86" s="2"/>
      <c r="M86" s="40">
        <f t="shared" si="6"/>
        <v>15300000</v>
      </c>
      <c r="N86" s="1">
        <v>7140330</v>
      </c>
      <c r="O86" s="1" t="s">
        <v>2406</v>
      </c>
      <c r="P86" s="1" t="s">
        <v>2407</v>
      </c>
      <c r="Q86" s="3">
        <v>44971</v>
      </c>
      <c r="R86" s="3">
        <v>44971</v>
      </c>
      <c r="S86" s="3">
        <v>45076</v>
      </c>
      <c r="T86" s="35"/>
      <c r="U86" s="3"/>
      <c r="V86" s="3"/>
      <c r="W86" s="50"/>
      <c r="X86" s="9">
        <v>15300000</v>
      </c>
      <c r="Y86" s="9">
        <f t="shared" si="4"/>
        <v>0</v>
      </c>
      <c r="Z86" s="34">
        <f t="shared" si="5"/>
        <v>1</v>
      </c>
      <c r="AA86" s="1">
        <v>57435262</v>
      </c>
      <c r="AB86" s="1" t="s">
        <v>2408</v>
      </c>
      <c r="AC86" s="1"/>
      <c r="AD86" s="1"/>
      <c r="AE86" s="3"/>
      <c r="AF86" s="194" t="s">
        <v>2409</v>
      </c>
      <c r="AG86" s="15" t="s">
        <v>192</v>
      </c>
      <c r="AH86" s="15" t="s">
        <v>192</v>
      </c>
    </row>
    <row r="87" spans="1:34" s="4" customFormat="1" x14ac:dyDescent="0.25">
      <c r="A87" s="16">
        <v>891780583</v>
      </c>
      <c r="B87" s="16" t="s">
        <v>54</v>
      </c>
      <c r="C87" s="14" t="s">
        <v>57</v>
      </c>
      <c r="D87" s="16" t="s">
        <v>60</v>
      </c>
      <c r="E87" s="1" t="s">
        <v>2410</v>
      </c>
      <c r="F87" s="16" t="s">
        <v>61</v>
      </c>
      <c r="G87" s="1" t="s">
        <v>69</v>
      </c>
      <c r="H87" s="1" t="s">
        <v>73</v>
      </c>
      <c r="I87" s="9">
        <v>15300000</v>
      </c>
      <c r="J87" s="94"/>
      <c r="K87" s="2"/>
      <c r="L87" s="2"/>
      <c r="M87" s="40">
        <f t="shared" si="6"/>
        <v>15300000</v>
      </c>
      <c r="N87" s="1">
        <v>85154455</v>
      </c>
      <c r="O87" s="1" t="s">
        <v>2411</v>
      </c>
      <c r="P87" s="1" t="s">
        <v>2412</v>
      </c>
      <c r="Q87" s="3">
        <v>44971</v>
      </c>
      <c r="R87" s="3">
        <v>44971</v>
      </c>
      <c r="S87" s="3">
        <v>45076</v>
      </c>
      <c r="T87" s="35"/>
      <c r="U87" s="3"/>
      <c r="V87" s="3"/>
      <c r="W87" s="50"/>
      <c r="X87" s="9">
        <v>15300000</v>
      </c>
      <c r="Y87" s="9">
        <f t="shared" si="4"/>
        <v>0</v>
      </c>
      <c r="Z87" s="34">
        <f t="shared" si="5"/>
        <v>1</v>
      </c>
      <c r="AA87" s="1">
        <v>57435262</v>
      </c>
      <c r="AB87" s="1" t="s">
        <v>2408</v>
      </c>
      <c r="AC87" s="1"/>
      <c r="AD87" s="1"/>
      <c r="AE87" s="3"/>
      <c r="AF87" s="194" t="s">
        <v>2413</v>
      </c>
      <c r="AG87" s="15" t="s">
        <v>192</v>
      </c>
      <c r="AH87" s="15" t="s">
        <v>192</v>
      </c>
    </row>
    <row r="88" spans="1:34" s="4" customFormat="1" x14ac:dyDescent="0.25">
      <c r="A88" s="16">
        <v>891780584</v>
      </c>
      <c r="B88" s="16" t="s">
        <v>54</v>
      </c>
      <c r="C88" s="14" t="s">
        <v>57</v>
      </c>
      <c r="D88" s="16" t="s">
        <v>60</v>
      </c>
      <c r="E88" s="1" t="s">
        <v>2414</v>
      </c>
      <c r="F88" s="16" t="s">
        <v>61</v>
      </c>
      <c r="G88" s="1" t="s">
        <v>69</v>
      </c>
      <c r="H88" s="1" t="s">
        <v>73</v>
      </c>
      <c r="I88" s="9">
        <v>15300000</v>
      </c>
      <c r="J88" s="94"/>
      <c r="K88" s="2"/>
      <c r="L88" s="2"/>
      <c r="M88" s="40">
        <f t="shared" si="6"/>
        <v>15300000</v>
      </c>
      <c r="N88" s="1">
        <v>12613225</v>
      </c>
      <c r="O88" s="1" t="s">
        <v>2415</v>
      </c>
      <c r="P88" s="1" t="s">
        <v>2416</v>
      </c>
      <c r="Q88" s="3">
        <v>44971</v>
      </c>
      <c r="R88" s="3">
        <v>44971</v>
      </c>
      <c r="S88" s="3">
        <v>45076</v>
      </c>
      <c r="T88" s="35"/>
      <c r="U88" s="3"/>
      <c r="V88" s="3"/>
      <c r="W88" s="50"/>
      <c r="X88" s="9">
        <v>15300000</v>
      </c>
      <c r="Y88" s="9">
        <f t="shared" si="4"/>
        <v>0</v>
      </c>
      <c r="Z88" s="34">
        <f t="shared" si="5"/>
        <v>1</v>
      </c>
      <c r="AA88" s="1">
        <v>85449357</v>
      </c>
      <c r="AB88" s="1" t="s">
        <v>2417</v>
      </c>
      <c r="AC88" s="1"/>
      <c r="AD88" s="1"/>
      <c r="AE88" s="3"/>
      <c r="AF88" s="194" t="s">
        <v>2418</v>
      </c>
      <c r="AG88" s="15" t="s">
        <v>192</v>
      </c>
      <c r="AH88" s="15" t="s">
        <v>192</v>
      </c>
    </row>
    <row r="89" spans="1:34" s="4" customFormat="1" x14ac:dyDescent="0.25">
      <c r="A89" s="16">
        <v>891780585</v>
      </c>
      <c r="B89" s="16" t="s">
        <v>54</v>
      </c>
      <c r="C89" s="14" t="s">
        <v>57</v>
      </c>
      <c r="D89" s="16" t="s">
        <v>60</v>
      </c>
      <c r="E89" s="1" t="s">
        <v>2419</v>
      </c>
      <c r="F89" s="16" t="s">
        <v>61</v>
      </c>
      <c r="G89" s="1" t="s">
        <v>69</v>
      </c>
      <c r="H89" s="1" t="s">
        <v>73</v>
      </c>
      <c r="I89" s="9">
        <v>15300000</v>
      </c>
      <c r="J89" s="94"/>
      <c r="K89" s="2"/>
      <c r="L89" s="2"/>
      <c r="M89" s="40">
        <f t="shared" si="6"/>
        <v>15300000</v>
      </c>
      <c r="N89" s="1">
        <v>1082903282</v>
      </c>
      <c r="O89" s="1" t="s">
        <v>2420</v>
      </c>
      <c r="P89" s="1" t="s">
        <v>2421</v>
      </c>
      <c r="Q89" s="3">
        <v>44971</v>
      </c>
      <c r="R89" s="3">
        <v>44971</v>
      </c>
      <c r="S89" s="3">
        <v>45076</v>
      </c>
      <c r="T89" s="35"/>
      <c r="U89" s="3"/>
      <c r="V89" s="3"/>
      <c r="W89" s="50"/>
      <c r="X89" s="9">
        <v>15300000</v>
      </c>
      <c r="Y89" s="9">
        <f t="shared" si="4"/>
        <v>0</v>
      </c>
      <c r="Z89" s="34">
        <f t="shared" si="5"/>
        <v>1</v>
      </c>
      <c r="AA89" s="1">
        <v>85449357</v>
      </c>
      <c r="AB89" s="1" t="s">
        <v>2417</v>
      </c>
      <c r="AC89" s="1"/>
      <c r="AD89" s="1"/>
      <c r="AE89" s="3"/>
      <c r="AF89" s="194" t="s">
        <v>2422</v>
      </c>
      <c r="AG89" s="15" t="s">
        <v>192</v>
      </c>
      <c r="AH89" s="15" t="s">
        <v>192</v>
      </c>
    </row>
    <row r="90" spans="1:34" s="4" customFormat="1" x14ac:dyDescent="0.25">
      <c r="A90" s="16">
        <v>891780586</v>
      </c>
      <c r="B90" s="16" t="s">
        <v>54</v>
      </c>
      <c r="C90" s="14" t="s">
        <v>57</v>
      </c>
      <c r="D90" s="16" t="s">
        <v>60</v>
      </c>
      <c r="E90" s="1" t="s">
        <v>2423</v>
      </c>
      <c r="F90" s="16" t="s">
        <v>61</v>
      </c>
      <c r="G90" s="1" t="s">
        <v>69</v>
      </c>
      <c r="H90" s="1" t="s">
        <v>73</v>
      </c>
      <c r="I90" s="9">
        <v>15300000</v>
      </c>
      <c r="J90" s="94"/>
      <c r="K90" s="2"/>
      <c r="L90" s="2"/>
      <c r="M90" s="40">
        <f t="shared" si="6"/>
        <v>15300000</v>
      </c>
      <c r="N90" s="1">
        <v>36725462</v>
      </c>
      <c r="O90" s="1" t="s">
        <v>2424</v>
      </c>
      <c r="P90" s="1" t="s">
        <v>2425</v>
      </c>
      <c r="Q90" s="3">
        <v>44971</v>
      </c>
      <c r="R90" s="3">
        <v>44971</v>
      </c>
      <c r="S90" s="3">
        <v>45076</v>
      </c>
      <c r="T90" s="35"/>
      <c r="U90" s="3"/>
      <c r="V90" s="3"/>
      <c r="W90" s="50"/>
      <c r="X90" s="9">
        <v>15300000</v>
      </c>
      <c r="Y90" s="9">
        <f t="shared" si="4"/>
        <v>0</v>
      </c>
      <c r="Z90" s="34">
        <f t="shared" si="5"/>
        <v>1</v>
      </c>
      <c r="AA90" s="1">
        <v>36694483</v>
      </c>
      <c r="AB90" s="1" t="s">
        <v>551</v>
      </c>
      <c r="AC90" s="1"/>
      <c r="AD90" s="1"/>
      <c r="AE90" s="3"/>
      <c r="AF90" s="194" t="s">
        <v>2426</v>
      </c>
      <c r="AG90" s="15" t="s">
        <v>192</v>
      </c>
      <c r="AH90" s="15" t="s">
        <v>192</v>
      </c>
    </row>
    <row r="91" spans="1:34" s="4" customFormat="1" x14ac:dyDescent="0.25">
      <c r="A91" s="16">
        <v>891780587</v>
      </c>
      <c r="B91" s="16" t="s">
        <v>54</v>
      </c>
      <c r="C91" s="14" t="s">
        <v>57</v>
      </c>
      <c r="D91" s="16" t="s">
        <v>60</v>
      </c>
      <c r="E91" s="1" t="s">
        <v>2427</v>
      </c>
      <c r="F91" s="16" t="s">
        <v>61</v>
      </c>
      <c r="G91" s="1" t="s">
        <v>69</v>
      </c>
      <c r="H91" s="1" t="s">
        <v>73</v>
      </c>
      <c r="I91" s="9">
        <v>15300000</v>
      </c>
      <c r="J91" s="94"/>
      <c r="K91" s="2"/>
      <c r="L91" s="2"/>
      <c r="M91" s="40">
        <f t="shared" si="6"/>
        <v>15300000</v>
      </c>
      <c r="N91" s="1">
        <v>1082986157</v>
      </c>
      <c r="O91" s="1" t="s">
        <v>2428</v>
      </c>
      <c r="P91" s="1" t="s">
        <v>2429</v>
      </c>
      <c r="Q91" s="3">
        <v>44971</v>
      </c>
      <c r="R91" s="3">
        <v>44971</v>
      </c>
      <c r="S91" s="3">
        <v>45076</v>
      </c>
      <c r="T91" s="35"/>
      <c r="U91" s="3"/>
      <c r="V91" s="3"/>
      <c r="W91" s="50"/>
      <c r="X91" s="9">
        <v>15300000</v>
      </c>
      <c r="Y91" s="9">
        <f t="shared" si="4"/>
        <v>0</v>
      </c>
      <c r="Z91" s="34">
        <f t="shared" si="5"/>
        <v>1</v>
      </c>
      <c r="AA91" s="1">
        <v>36694483</v>
      </c>
      <c r="AB91" s="1" t="s">
        <v>551</v>
      </c>
      <c r="AC91" s="1"/>
      <c r="AD91" s="1"/>
      <c r="AE91" s="3"/>
      <c r="AF91" s="194" t="s">
        <v>2430</v>
      </c>
      <c r="AG91" s="15" t="s">
        <v>192</v>
      </c>
      <c r="AH91" s="15" t="s">
        <v>192</v>
      </c>
    </row>
    <row r="92" spans="1:34" s="4" customFormat="1" x14ac:dyDescent="0.25">
      <c r="A92" s="16">
        <v>891780588</v>
      </c>
      <c r="B92" s="16" t="s">
        <v>54</v>
      </c>
      <c r="C92" s="14" t="s">
        <v>57</v>
      </c>
      <c r="D92" s="16" t="s">
        <v>60</v>
      </c>
      <c r="E92" s="1" t="s">
        <v>2431</v>
      </c>
      <c r="F92" s="16" t="s">
        <v>61</v>
      </c>
      <c r="G92" s="1" t="s">
        <v>69</v>
      </c>
      <c r="H92" s="1" t="s">
        <v>73</v>
      </c>
      <c r="I92" s="9">
        <v>11250000</v>
      </c>
      <c r="J92" s="94"/>
      <c r="K92" s="2"/>
      <c r="L92" s="2"/>
      <c r="M92" s="40">
        <f t="shared" si="6"/>
        <v>11250000</v>
      </c>
      <c r="N92" s="1">
        <v>57416391</v>
      </c>
      <c r="O92" s="1" t="s">
        <v>2432</v>
      </c>
      <c r="P92" s="1" t="s">
        <v>2433</v>
      </c>
      <c r="Q92" s="3">
        <v>44971</v>
      </c>
      <c r="R92" s="3">
        <v>44971</v>
      </c>
      <c r="S92" s="3">
        <v>45076</v>
      </c>
      <c r="T92" s="35"/>
      <c r="U92" s="3"/>
      <c r="V92" s="3"/>
      <c r="W92" s="50"/>
      <c r="X92" s="9">
        <v>11250000</v>
      </c>
      <c r="Y92" s="9">
        <f t="shared" si="4"/>
        <v>0</v>
      </c>
      <c r="Z92" s="34">
        <f t="shared" si="5"/>
        <v>1</v>
      </c>
      <c r="AA92" s="1">
        <v>57294316</v>
      </c>
      <c r="AB92" s="1" t="s">
        <v>2434</v>
      </c>
      <c r="AC92" s="1"/>
      <c r="AD92" s="1"/>
      <c r="AE92" s="3"/>
      <c r="AF92" s="194" t="s">
        <v>2435</v>
      </c>
      <c r="AG92" s="15" t="s">
        <v>192</v>
      </c>
      <c r="AH92" s="15" t="s">
        <v>192</v>
      </c>
    </row>
    <row r="93" spans="1:34" s="4" customFormat="1" x14ac:dyDescent="0.25">
      <c r="A93" s="16">
        <v>891780589</v>
      </c>
      <c r="B93" s="16" t="s">
        <v>54</v>
      </c>
      <c r="C93" s="14" t="s">
        <v>57</v>
      </c>
      <c r="D93" s="16" t="s">
        <v>60</v>
      </c>
      <c r="E93" s="1" t="s">
        <v>2436</v>
      </c>
      <c r="F93" s="16" t="s">
        <v>61</v>
      </c>
      <c r="G93" s="1" t="s">
        <v>69</v>
      </c>
      <c r="H93" s="1" t="s">
        <v>73</v>
      </c>
      <c r="I93" s="9">
        <v>13950000</v>
      </c>
      <c r="J93" s="94"/>
      <c r="K93" s="2"/>
      <c r="L93" s="2"/>
      <c r="M93" s="40">
        <f t="shared" si="6"/>
        <v>13950000</v>
      </c>
      <c r="N93" s="1">
        <v>1083024560</v>
      </c>
      <c r="O93" s="1" t="s">
        <v>2437</v>
      </c>
      <c r="P93" s="1" t="s">
        <v>2438</v>
      </c>
      <c r="Q93" s="3">
        <v>44971</v>
      </c>
      <c r="R93" s="3">
        <v>44971</v>
      </c>
      <c r="S93" s="3">
        <v>45076</v>
      </c>
      <c r="T93" s="35"/>
      <c r="U93" s="3"/>
      <c r="V93" s="3"/>
      <c r="W93" s="50"/>
      <c r="X93" s="9">
        <v>13950000</v>
      </c>
      <c r="Y93" s="9">
        <f t="shared" si="4"/>
        <v>0</v>
      </c>
      <c r="Z93" s="34">
        <f t="shared" si="5"/>
        <v>1</v>
      </c>
      <c r="AA93" s="1">
        <v>85449357</v>
      </c>
      <c r="AB93" s="1" t="s">
        <v>2417</v>
      </c>
      <c r="AC93" s="1"/>
      <c r="AD93" s="1"/>
      <c r="AE93" s="3"/>
      <c r="AF93" s="194" t="s">
        <v>2439</v>
      </c>
      <c r="AG93" s="15" t="s">
        <v>192</v>
      </c>
      <c r="AH93" s="15" t="s">
        <v>192</v>
      </c>
    </row>
    <row r="94" spans="1:34" s="4" customFormat="1" x14ac:dyDescent="0.25">
      <c r="A94" s="16">
        <v>891780590</v>
      </c>
      <c r="B94" s="16" t="s">
        <v>54</v>
      </c>
      <c r="C94" s="14" t="s">
        <v>57</v>
      </c>
      <c r="D94" s="16" t="s">
        <v>60</v>
      </c>
      <c r="E94" s="1" t="s">
        <v>2440</v>
      </c>
      <c r="F94" s="16" t="s">
        <v>61</v>
      </c>
      <c r="G94" s="1" t="s">
        <v>69</v>
      </c>
      <c r="H94" s="1" t="s">
        <v>73</v>
      </c>
      <c r="I94" s="9">
        <v>15300000</v>
      </c>
      <c r="J94" s="94"/>
      <c r="K94" s="2"/>
      <c r="L94" s="2"/>
      <c r="M94" s="40">
        <f t="shared" si="6"/>
        <v>15300000</v>
      </c>
      <c r="N94" s="1">
        <v>1082950843</v>
      </c>
      <c r="O94" s="1" t="s">
        <v>2441</v>
      </c>
      <c r="P94" s="1" t="s">
        <v>2442</v>
      </c>
      <c r="Q94" s="3">
        <v>44979</v>
      </c>
      <c r="R94" s="3">
        <v>44979</v>
      </c>
      <c r="S94" s="3">
        <v>45076</v>
      </c>
      <c r="T94" s="35"/>
      <c r="U94" s="3"/>
      <c r="V94" s="3"/>
      <c r="W94" s="50"/>
      <c r="X94" s="9">
        <v>15300000</v>
      </c>
      <c r="Y94" s="9">
        <f t="shared" si="4"/>
        <v>0</v>
      </c>
      <c r="Z94" s="34">
        <f t="shared" si="5"/>
        <v>1</v>
      </c>
      <c r="AA94" s="1">
        <v>57294316</v>
      </c>
      <c r="AB94" s="1" t="s">
        <v>2434</v>
      </c>
      <c r="AC94" s="1"/>
      <c r="AD94" s="1"/>
      <c r="AE94" s="3"/>
      <c r="AF94" s="194" t="s">
        <v>2443</v>
      </c>
      <c r="AG94" s="15" t="s">
        <v>192</v>
      </c>
      <c r="AH94" s="15" t="s">
        <v>192</v>
      </c>
    </row>
    <row r="95" spans="1:34" s="4" customFormat="1" x14ac:dyDescent="0.25">
      <c r="A95" s="16">
        <v>891780591</v>
      </c>
      <c r="B95" s="16" t="s">
        <v>54</v>
      </c>
      <c r="C95" s="14" t="s">
        <v>57</v>
      </c>
      <c r="D95" s="16" t="s">
        <v>60</v>
      </c>
      <c r="E95" s="1" t="s">
        <v>2444</v>
      </c>
      <c r="F95" s="16" t="s">
        <v>61</v>
      </c>
      <c r="G95" s="1" t="s">
        <v>69</v>
      </c>
      <c r="H95" s="1" t="s">
        <v>73</v>
      </c>
      <c r="I95" s="9">
        <v>15300000</v>
      </c>
      <c r="J95" s="94"/>
      <c r="K95" s="2"/>
      <c r="L95" s="2"/>
      <c r="M95" s="40">
        <f t="shared" si="6"/>
        <v>15300000</v>
      </c>
      <c r="N95" s="1">
        <v>1082942381</v>
      </c>
      <c r="O95" s="1" t="s">
        <v>2445</v>
      </c>
      <c r="P95" s="1" t="s">
        <v>2446</v>
      </c>
      <c r="Q95" s="3">
        <v>44979</v>
      </c>
      <c r="R95" s="3">
        <v>44979</v>
      </c>
      <c r="S95" s="3">
        <v>45076</v>
      </c>
      <c r="T95" s="35"/>
      <c r="U95" s="3"/>
      <c r="V95" s="3"/>
      <c r="W95" s="50"/>
      <c r="X95" s="9">
        <v>15300000</v>
      </c>
      <c r="Y95" s="9">
        <f t="shared" si="4"/>
        <v>0</v>
      </c>
      <c r="Z95" s="34">
        <f t="shared" si="5"/>
        <v>1</v>
      </c>
      <c r="AA95" s="1">
        <v>57294316</v>
      </c>
      <c r="AB95" s="1" t="s">
        <v>2434</v>
      </c>
      <c r="AC95" s="1"/>
      <c r="AD95" s="1"/>
      <c r="AE95" s="3"/>
      <c r="AF95" s="194" t="s">
        <v>2447</v>
      </c>
      <c r="AG95" s="15" t="s">
        <v>192</v>
      </c>
      <c r="AH95" s="15" t="s">
        <v>192</v>
      </c>
    </row>
    <row r="96" spans="1:34" s="4" customFormat="1" x14ac:dyDescent="0.25">
      <c r="A96" s="16">
        <v>891780592</v>
      </c>
      <c r="B96" s="16" t="s">
        <v>54</v>
      </c>
      <c r="C96" s="14" t="s">
        <v>57</v>
      </c>
      <c r="D96" s="16" t="s">
        <v>60</v>
      </c>
      <c r="E96" s="1" t="s">
        <v>2448</v>
      </c>
      <c r="F96" s="16" t="s">
        <v>61</v>
      </c>
      <c r="G96" s="1" t="s">
        <v>69</v>
      </c>
      <c r="H96" s="1" t="s">
        <v>73</v>
      </c>
      <c r="I96" s="9">
        <v>20250000</v>
      </c>
      <c r="J96" s="94"/>
      <c r="K96" s="2"/>
      <c r="L96" s="2"/>
      <c r="M96" s="40">
        <f t="shared" si="6"/>
        <v>20250000</v>
      </c>
      <c r="N96" s="1">
        <v>1082999611</v>
      </c>
      <c r="O96" s="1" t="s">
        <v>2449</v>
      </c>
      <c r="P96" s="1" t="s">
        <v>2450</v>
      </c>
      <c r="Q96" s="3">
        <v>44980</v>
      </c>
      <c r="R96" s="3">
        <v>44980</v>
      </c>
      <c r="S96" s="3">
        <v>45076</v>
      </c>
      <c r="T96" s="35"/>
      <c r="U96" s="3"/>
      <c r="V96" s="3"/>
      <c r="W96" s="50"/>
      <c r="X96" s="9">
        <v>20250000</v>
      </c>
      <c r="Y96" s="9">
        <f t="shared" si="4"/>
        <v>0</v>
      </c>
      <c r="Z96" s="34">
        <f t="shared" si="5"/>
        <v>1</v>
      </c>
      <c r="AA96" s="1">
        <v>85471791</v>
      </c>
      <c r="AB96" s="1" t="s">
        <v>2182</v>
      </c>
      <c r="AC96" s="1"/>
      <c r="AD96" s="1"/>
      <c r="AE96" s="3"/>
      <c r="AF96" s="194" t="s">
        <v>2451</v>
      </c>
      <c r="AG96" s="15" t="s">
        <v>192</v>
      </c>
      <c r="AH96" s="15" t="s">
        <v>192</v>
      </c>
    </row>
    <row r="97" spans="1:34" s="4" customFormat="1" x14ac:dyDescent="0.25">
      <c r="A97" s="16">
        <v>891780593</v>
      </c>
      <c r="B97" s="16" t="s">
        <v>54</v>
      </c>
      <c r="C97" s="14" t="s">
        <v>57</v>
      </c>
      <c r="D97" s="16" t="s">
        <v>60</v>
      </c>
      <c r="E97" s="1" t="s">
        <v>2452</v>
      </c>
      <c r="F97" s="16" t="s">
        <v>61</v>
      </c>
      <c r="G97" s="1" t="s">
        <v>69</v>
      </c>
      <c r="H97" s="1" t="s">
        <v>73</v>
      </c>
      <c r="I97" s="9">
        <v>20250000</v>
      </c>
      <c r="J97" s="94"/>
      <c r="K97" s="2"/>
      <c r="L97" s="2"/>
      <c r="M97" s="40">
        <f t="shared" si="6"/>
        <v>20250000</v>
      </c>
      <c r="N97" s="1">
        <v>1082927824</v>
      </c>
      <c r="O97" s="1" t="s">
        <v>2453</v>
      </c>
      <c r="P97" s="1" t="s">
        <v>2454</v>
      </c>
      <c r="Q97" s="3">
        <v>44980</v>
      </c>
      <c r="R97" s="3">
        <v>44980</v>
      </c>
      <c r="S97" s="3">
        <v>45076</v>
      </c>
      <c r="T97" s="35"/>
      <c r="U97" s="3"/>
      <c r="V97" s="3"/>
      <c r="W97" s="50"/>
      <c r="X97" s="9">
        <v>20250000</v>
      </c>
      <c r="Y97" s="9">
        <f t="shared" si="4"/>
        <v>0</v>
      </c>
      <c r="Z97" s="34">
        <f t="shared" si="5"/>
        <v>1</v>
      </c>
      <c r="AA97" s="1">
        <v>85471791</v>
      </c>
      <c r="AB97" s="1" t="s">
        <v>2182</v>
      </c>
      <c r="AC97" s="1"/>
      <c r="AD97" s="1"/>
      <c r="AE97" s="3"/>
      <c r="AF97" s="194" t="s">
        <v>2455</v>
      </c>
      <c r="AG97" s="15" t="s">
        <v>192</v>
      </c>
      <c r="AH97" s="15" t="s">
        <v>192</v>
      </c>
    </row>
    <row r="98" spans="1:34" s="4" customFormat="1" x14ac:dyDescent="0.25">
      <c r="A98" s="16">
        <v>891780594</v>
      </c>
      <c r="B98" s="16" t="s">
        <v>54</v>
      </c>
      <c r="C98" s="14" t="s">
        <v>57</v>
      </c>
      <c r="D98" s="16" t="s">
        <v>60</v>
      </c>
      <c r="E98" s="1" t="s">
        <v>2456</v>
      </c>
      <c r="F98" s="16" t="s">
        <v>61</v>
      </c>
      <c r="G98" s="1" t="s">
        <v>69</v>
      </c>
      <c r="H98" s="1" t="s">
        <v>73</v>
      </c>
      <c r="I98" s="9">
        <v>20250000</v>
      </c>
      <c r="J98" s="94"/>
      <c r="K98" s="2"/>
      <c r="L98" s="2"/>
      <c r="M98" s="40">
        <f t="shared" si="6"/>
        <v>20250000</v>
      </c>
      <c r="N98" s="1">
        <v>1082948644</v>
      </c>
      <c r="O98" s="1" t="s">
        <v>2457</v>
      </c>
      <c r="P98" s="1" t="s">
        <v>2458</v>
      </c>
      <c r="Q98" s="3">
        <v>44980</v>
      </c>
      <c r="R98" s="3">
        <v>44980</v>
      </c>
      <c r="S98" s="3">
        <v>45076</v>
      </c>
      <c r="T98" s="35"/>
      <c r="U98" s="3"/>
      <c r="V98" s="3"/>
      <c r="W98" s="50"/>
      <c r="X98" s="9">
        <v>20250000</v>
      </c>
      <c r="Y98" s="9">
        <f t="shared" ref="Y98:Y107" si="7">M98-X98</f>
        <v>0</v>
      </c>
      <c r="Z98" s="34">
        <f t="shared" si="5"/>
        <v>1</v>
      </c>
      <c r="AA98" s="1">
        <v>85471791</v>
      </c>
      <c r="AB98" s="1" t="s">
        <v>2182</v>
      </c>
      <c r="AC98" s="1"/>
      <c r="AD98" s="1"/>
      <c r="AE98" s="3"/>
      <c r="AF98" s="194" t="s">
        <v>2459</v>
      </c>
      <c r="AG98" s="15" t="s">
        <v>192</v>
      </c>
      <c r="AH98" s="15" t="s">
        <v>192</v>
      </c>
    </row>
    <row r="99" spans="1:34" s="4" customFormat="1" x14ac:dyDescent="0.25">
      <c r="A99" s="16">
        <v>891780595</v>
      </c>
      <c r="B99" s="16" t="s">
        <v>54</v>
      </c>
      <c r="C99" s="14" t="s">
        <v>57</v>
      </c>
      <c r="D99" s="16" t="s">
        <v>60</v>
      </c>
      <c r="E99" s="1" t="s">
        <v>2460</v>
      </c>
      <c r="F99" s="16" t="s">
        <v>61</v>
      </c>
      <c r="G99" s="1" t="s">
        <v>69</v>
      </c>
      <c r="H99" s="1" t="s">
        <v>73</v>
      </c>
      <c r="I99" s="9">
        <v>11250000</v>
      </c>
      <c r="J99" s="94"/>
      <c r="K99" s="2"/>
      <c r="L99" s="2"/>
      <c r="M99" s="40">
        <f t="shared" si="6"/>
        <v>11250000</v>
      </c>
      <c r="N99" s="1">
        <v>1083035488</v>
      </c>
      <c r="O99" s="1" t="s">
        <v>2461</v>
      </c>
      <c r="P99" s="1" t="s">
        <v>2462</v>
      </c>
      <c r="Q99" s="3">
        <v>44980</v>
      </c>
      <c r="R99" s="3">
        <v>44980</v>
      </c>
      <c r="S99" s="3">
        <v>45076</v>
      </c>
      <c r="T99" s="35"/>
      <c r="U99" s="3"/>
      <c r="V99" s="3"/>
      <c r="W99" s="50"/>
      <c r="X99" s="9">
        <v>11250000</v>
      </c>
      <c r="Y99" s="9">
        <f t="shared" si="7"/>
        <v>0</v>
      </c>
      <c r="Z99" s="34">
        <f t="shared" si="5"/>
        <v>1</v>
      </c>
      <c r="AA99" s="1">
        <v>72004252</v>
      </c>
      <c r="AB99" s="1" t="s">
        <v>994</v>
      </c>
      <c r="AC99" s="1"/>
      <c r="AD99" s="1"/>
      <c r="AE99" s="3"/>
      <c r="AF99" s="194" t="s">
        <v>2451</v>
      </c>
      <c r="AG99" s="15" t="s">
        <v>192</v>
      </c>
      <c r="AH99" s="15" t="s">
        <v>192</v>
      </c>
    </row>
    <row r="100" spans="1:34" s="4" customFormat="1" x14ac:dyDescent="0.25">
      <c r="A100" s="16">
        <v>891780596</v>
      </c>
      <c r="B100" s="16" t="s">
        <v>54</v>
      </c>
      <c r="C100" s="14" t="s">
        <v>57</v>
      </c>
      <c r="D100" s="16" t="s">
        <v>60</v>
      </c>
      <c r="E100" s="1" t="s">
        <v>2463</v>
      </c>
      <c r="F100" s="16" t="s">
        <v>61</v>
      </c>
      <c r="G100" s="1" t="s">
        <v>69</v>
      </c>
      <c r="H100" s="1" t="s">
        <v>73</v>
      </c>
      <c r="I100" s="9">
        <v>7130000</v>
      </c>
      <c r="J100" s="94">
        <v>1</v>
      </c>
      <c r="K100" s="2">
        <v>3400000</v>
      </c>
      <c r="L100" s="2"/>
      <c r="M100" s="40">
        <f t="shared" si="6"/>
        <v>10530000</v>
      </c>
      <c r="N100" s="1">
        <v>1082951210</v>
      </c>
      <c r="O100" s="1" t="s">
        <v>2464</v>
      </c>
      <c r="P100" s="1" t="s">
        <v>2465</v>
      </c>
      <c r="Q100" s="3">
        <v>44970</v>
      </c>
      <c r="R100" s="3">
        <v>44970</v>
      </c>
      <c r="S100" s="3">
        <v>45016</v>
      </c>
      <c r="T100" s="35" t="s">
        <v>192</v>
      </c>
      <c r="U100" s="3"/>
      <c r="V100" s="3"/>
      <c r="W100" s="50">
        <v>45046</v>
      </c>
      <c r="X100" s="9">
        <v>10530000</v>
      </c>
      <c r="Y100" s="9">
        <f t="shared" si="7"/>
        <v>0</v>
      </c>
      <c r="Z100" s="34">
        <f t="shared" si="5"/>
        <v>1</v>
      </c>
      <c r="AA100" s="1">
        <v>12564670</v>
      </c>
      <c r="AB100" s="1" t="s">
        <v>2466</v>
      </c>
      <c r="AC100" s="1"/>
      <c r="AD100" s="1"/>
      <c r="AE100" s="3"/>
      <c r="AF100" s="194" t="s">
        <v>2467</v>
      </c>
      <c r="AG100" s="15" t="s">
        <v>192</v>
      </c>
      <c r="AH100" s="15" t="s">
        <v>192</v>
      </c>
    </row>
    <row r="101" spans="1:34" s="4" customFormat="1" x14ac:dyDescent="0.25">
      <c r="A101" s="16">
        <v>891780597</v>
      </c>
      <c r="B101" s="16" t="s">
        <v>54</v>
      </c>
      <c r="C101" s="14" t="s">
        <v>57</v>
      </c>
      <c r="D101" s="16" t="s">
        <v>60</v>
      </c>
      <c r="E101" s="1" t="s">
        <v>2468</v>
      </c>
      <c r="F101" s="16" t="s">
        <v>61</v>
      </c>
      <c r="G101" s="1" t="s">
        <v>69</v>
      </c>
      <c r="H101" s="1" t="s">
        <v>73</v>
      </c>
      <c r="I101" s="9">
        <v>6800000</v>
      </c>
      <c r="J101" s="94">
        <v>1</v>
      </c>
      <c r="K101" s="2">
        <v>3400000</v>
      </c>
      <c r="L101" s="2"/>
      <c r="M101" s="40">
        <f t="shared" si="6"/>
        <v>10200000</v>
      </c>
      <c r="N101" s="1">
        <v>85470058</v>
      </c>
      <c r="O101" s="1" t="s">
        <v>2469</v>
      </c>
      <c r="P101" s="1" t="s">
        <v>2470</v>
      </c>
      <c r="Q101" s="3">
        <v>44970</v>
      </c>
      <c r="R101" s="3">
        <v>44970</v>
      </c>
      <c r="S101" s="3">
        <v>45016</v>
      </c>
      <c r="T101" s="35" t="s">
        <v>192</v>
      </c>
      <c r="U101" s="3"/>
      <c r="V101" s="3"/>
      <c r="W101" s="50">
        <v>45046</v>
      </c>
      <c r="X101" s="9">
        <v>10200000</v>
      </c>
      <c r="Y101" s="9">
        <f t="shared" si="7"/>
        <v>0</v>
      </c>
      <c r="Z101" s="34">
        <f t="shared" si="5"/>
        <v>1</v>
      </c>
      <c r="AA101" s="1">
        <v>12564670</v>
      </c>
      <c r="AB101" s="1" t="s">
        <v>2466</v>
      </c>
      <c r="AC101" s="1"/>
      <c r="AD101" s="1"/>
      <c r="AE101" s="3"/>
      <c r="AF101" s="194" t="s">
        <v>2471</v>
      </c>
      <c r="AG101" s="15" t="s">
        <v>192</v>
      </c>
      <c r="AH101" s="15" t="s">
        <v>192</v>
      </c>
    </row>
    <row r="102" spans="1:34" s="4" customFormat="1" x14ac:dyDescent="0.25">
      <c r="A102" s="16">
        <v>891780598</v>
      </c>
      <c r="B102" s="16" t="s">
        <v>54</v>
      </c>
      <c r="C102" s="14" t="s">
        <v>57</v>
      </c>
      <c r="D102" s="16" t="s">
        <v>60</v>
      </c>
      <c r="E102" s="1" t="s">
        <v>2472</v>
      </c>
      <c r="F102" s="16" t="s">
        <v>61</v>
      </c>
      <c r="G102" s="1" t="s">
        <v>69</v>
      </c>
      <c r="H102" s="1" t="s">
        <v>73</v>
      </c>
      <c r="I102" s="9">
        <v>15000000</v>
      </c>
      <c r="J102" s="94">
        <v>1</v>
      </c>
      <c r="K102" s="2">
        <v>4100000</v>
      </c>
      <c r="L102" s="2"/>
      <c r="M102" s="40">
        <f t="shared" si="6"/>
        <v>19100000</v>
      </c>
      <c r="N102" s="1">
        <v>1082902907</v>
      </c>
      <c r="O102" s="1" t="s">
        <v>2473</v>
      </c>
      <c r="P102" s="1" t="s">
        <v>2474</v>
      </c>
      <c r="Q102" s="3">
        <v>44974</v>
      </c>
      <c r="R102" s="3">
        <v>44974</v>
      </c>
      <c r="S102" s="3">
        <v>45016</v>
      </c>
      <c r="T102" s="35" t="s">
        <v>192</v>
      </c>
      <c r="U102" s="3"/>
      <c r="V102" s="3"/>
      <c r="W102" s="50">
        <v>45046</v>
      </c>
      <c r="X102" s="9">
        <v>19100000</v>
      </c>
      <c r="Y102" s="9">
        <f t="shared" si="7"/>
        <v>0</v>
      </c>
      <c r="Z102" s="34">
        <f t="shared" si="5"/>
        <v>1</v>
      </c>
      <c r="AA102" s="1">
        <v>12564670</v>
      </c>
      <c r="AB102" s="1" t="s">
        <v>2466</v>
      </c>
      <c r="AC102" s="1"/>
      <c r="AD102" s="1"/>
      <c r="AE102" s="3"/>
      <c r="AF102" s="194" t="s">
        <v>2475</v>
      </c>
      <c r="AG102" s="15" t="s">
        <v>192</v>
      </c>
      <c r="AH102" s="15" t="s">
        <v>192</v>
      </c>
    </row>
    <row r="103" spans="1:34" s="4" customFormat="1" x14ac:dyDescent="0.25">
      <c r="A103" s="16">
        <v>891780599</v>
      </c>
      <c r="B103" s="16" t="s">
        <v>54</v>
      </c>
      <c r="C103" s="14" t="s">
        <v>57</v>
      </c>
      <c r="D103" s="16" t="s">
        <v>60</v>
      </c>
      <c r="E103" s="1" t="s">
        <v>2476</v>
      </c>
      <c r="F103" s="16" t="s">
        <v>61</v>
      </c>
      <c r="G103" s="1" t="s">
        <v>69</v>
      </c>
      <c r="H103" s="1" t="s">
        <v>73</v>
      </c>
      <c r="I103" s="9">
        <v>15300000</v>
      </c>
      <c r="J103" s="94"/>
      <c r="K103" s="2"/>
      <c r="L103" s="2"/>
      <c r="M103" s="40">
        <f t="shared" si="6"/>
        <v>15300000</v>
      </c>
      <c r="N103" s="1">
        <v>1081827299</v>
      </c>
      <c r="O103" s="1" t="s">
        <v>2477</v>
      </c>
      <c r="P103" s="1" t="s">
        <v>2478</v>
      </c>
      <c r="Q103" s="3">
        <v>44987</v>
      </c>
      <c r="R103" s="3">
        <v>44987</v>
      </c>
      <c r="S103" s="3">
        <v>45076</v>
      </c>
      <c r="T103" s="35"/>
      <c r="U103" s="3"/>
      <c r="V103" s="3"/>
      <c r="W103" s="50"/>
      <c r="X103" s="9">
        <v>15300000</v>
      </c>
      <c r="Y103" s="9">
        <f t="shared" si="7"/>
        <v>0</v>
      </c>
      <c r="Z103" s="34">
        <f t="shared" si="5"/>
        <v>1</v>
      </c>
      <c r="AA103" s="1">
        <v>72004252</v>
      </c>
      <c r="AB103" s="1" t="s">
        <v>994</v>
      </c>
      <c r="AC103" s="1"/>
      <c r="AD103" s="1"/>
      <c r="AE103" s="3"/>
      <c r="AF103" s="194" t="s">
        <v>2479</v>
      </c>
      <c r="AG103" s="15" t="s">
        <v>192</v>
      </c>
      <c r="AH103" s="15" t="s">
        <v>192</v>
      </c>
    </row>
    <row r="104" spans="1:34" s="4" customFormat="1" x14ac:dyDescent="0.25">
      <c r="A104" s="16">
        <v>891780600</v>
      </c>
      <c r="B104" s="16" t="s">
        <v>54</v>
      </c>
      <c r="C104" s="14" t="s">
        <v>57</v>
      </c>
      <c r="D104" s="16" t="s">
        <v>60</v>
      </c>
      <c r="E104" s="1" t="s">
        <v>2480</v>
      </c>
      <c r="F104" s="16" t="s">
        <v>61</v>
      </c>
      <c r="G104" s="1" t="s">
        <v>69</v>
      </c>
      <c r="H104" s="1" t="s">
        <v>73</v>
      </c>
      <c r="I104" s="9">
        <v>13950000</v>
      </c>
      <c r="J104" s="94"/>
      <c r="K104" s="2"/>
      <c r="L104" s="2"/>
      <c r="M104" s="40">
        <f t="shared" si="6"/>
        <v>13950000</v>
      </c>
      <c r="N104" s="1">
        <v>1045743528</v>
      </c>
      <c r="O104" s="1" t="s">
        <v>2481</v>
      </c>
      <c r="P104" s="1" t="s">
        <v>2482</v>
      </c>
      <c r="Q104" s="3">
        <v>44988</v>
      </c>
      <c r="R104" s="3">
        <v>44988</v>
      </c>
      <c r="S104" s="3">
        <v>45076</v>
      </c>
      <c r="T104" s="35"/>
      <c r="U104" s="3"/>
      <c r="V104" s="3"/>
      <c r="W104" s="50"/>
      <c r="X104" s="9">
        <v>13950000</v>
      </c>
      <c r="Y104" s="9">
        <f t="shared" si="7"/>
        <v>0</v>
      </c>
      <c r="Z104" s="34">
        <f t="shared" si="5"/>
        <v>1</v>
      </c>
      <c r="AA104" s="1">
        <v>57294316</v>
      </c>
      <c r="AB104" s="1" t="s">
        <v>2434</v>
      </c>
      <c r="AC104" s="1"/>
      <c r="AD104" s="1"/>
      <c r="AE104" s="3"/>
      <c r="AF104" s="194" t="s">
        <v>2483</v>
      </c>
      <c r="AG104" s="15" t="s">
        <v>192</v>
      </c>
      <c r="AH104" s="15" t="s">
        <v>192</v>
      </c>
    </row>
    <row r="105" spans="1:34" s="4" customFormat="1" x14ac:dyDescent="0.25">
      <c r="A105" s="16">
        <v>891780601</v>
      </c>
      <c r="B105" s="16" t="s">
        <v>54</v>
      </c>
      <c r="C105" s="14" t="s">
        <v>57</v>
      </c>
      <c r="D105" s="16" t="s">
        <v>60</v>
      </c>
      <c r="E105" s="1" t="s">
        <v>2484</v>
      </c>
      <c r="F105" s="16" t="s">
        <v>61</v>
      </c>
      <c r="G105" s="1" t="s">
        <v>69</v>
      </c>
      <c r="H105" s="1" t="s">
        <v>73</v>
      </c>
      <c r="I105" s="9">
        <v>13600000</v>
      </c>
      <c r="J105" s="94"/>
      <c r="K105" s="2"/>
      <c r="L105" s="2"/>
      <c r="M105" s="40">
        <f t="shared" si="6"/>
        <v>13600000</v>
      </c>
      <c r="N105" s="1">
        <v>1082972449</v>
      </c>
      <c r="O105" s="1" t="s">
        <v>2485</v>
      </c>
      <c r="P105" s="1" t="s">
        <v>2486</v>
      </c>
      <c r="Q105" s="3">
        <v>44992</v>
      </c>
      <c r="R105" s="3">
        <v>44992</v>
      </c>
      <c r="S105" s="3">
        <v>45107</v>
      </c>
      <c r="T105" s="35"/>
      <c r="U105" s="3"/>
      <c r="V105" s="3"/>
      <c r="W105" s="50"/>
      <c r="X105" s="9">
        <v>13600000</v>
      </c>
      <c r="Y105" s="9">
        <f t="shared" si="7"/>
        <v>0</v>
      </c>
      <c r="Z105" s="34">
        <f t="shared" si="5"/>
        <v>1</v>
      </c>
      <c r="AA105" s="1">
        <v>85471791</v>
      </c>
      <c r="AB105" s="1" t="s">
        <v>2487</v>
      </c>
      <c r="AC105" s="1"/>
      <c r="AD105" s="1"/>
      <c r="AE105" s="3"/>
      <c r="AF105" s="194" t="s">
        <v>2488</v>
      </c>
      <c r="AG105" s="15" t="s">
        <v>192</v>
      </c>
      <c r="AH105" s="15" t="s">
        <v>192</v>
      </c>
    </row>
    <row r="106" spans="1:34" s="4" customFormat="1" x14ac:dyDescent="0.25">
      <c r="A106" s="16">
        <v>891780602</v>
      </c>
      <c r="B106" s="16" t="s">
        <v>54</v>
      </c>
      <c r="C106" s="14" t="s">
        <v>57</v>
      </c>
      <c r="D106" s="16" t="s">
        <v>60</v>
      </c>
      <c r="E106" s="1" t="s">
        <v>2489</v>
      </c>
      <c r="F106" s="16" t="s">
        <v>61</v>
      </c>
      <c r="G106" s="1" t="s">
        <v>69</v>
      </c>
      <c r="H106" s="1" t="s">
        <v>73</v>
      </c>
      <c r="I106" s="9">
        <v>18000000</v>
      </c>
      <c r="J106" s="94"/>
      <c r="K106" s="2"/>
      <c r="L106" s="2"/>
      <c r="M106" s="40">
        <f t="shared" si="6"/>
        <v>18000000</v>
      </c>
      <c r="N106" s="1">
        <v>1082907949</v>
      </c>
      <c r="O106" s="1" t="s">
        <v>2490</v>
      </c>
      <c r="P106" s="1" t="s">
        <v>2491</v>
      </c>
      <c r="Q106" s="3">
        <v>44995</v>
      </c>
      <c r="R106" s="3">
        <v>44995</v>
      </c>
      <c r="S106" s="3">
        <v>45092</v>
      </c>
      <c r="T106" s="35"/>
      <c r="U106" s="3"/>
      <c r="V106" s="3"/>
      <c r="W106" s="50"/>
      <c r="X106" s="9">
        <v>18000000</v>
      </c>
      <c r="Y106" s="9">
        <f t="shared" si="7"/>
        <v>0</v>
      </c>
      <c r="Z106" s="34">
        <f t="shared" si="5"/>
        <v>1</v>
      </c>
      <c r="AA106" s="1">
        <v>85471791</v>
      </c>
      <c r="AB106" s="1" t="s">
        <v>2487</v>
      </c>
      <c r="AC106" s="1"/>
      <c r="AD106" s="1"/>
      <c r="AE106" s="3"/>
      <c r="AF106" s="194" t="s">
        <v>2492</v>
      </c>
      <c r="AG106" s="15" t="s">
        <v>192</v>
      </c>
      <c r="AH106" s="15" t="s">
        <v>192</v>
      </c>
    </row>
    <row r="107" spans="1:34" s="4" customFormat="1" x14ac:dyDescent="0.25">
      <c r="A107" s="16">
        <v>891780603</v>
      </c>
      <c r="B107" s="16" t="s">
        <v>54</v>
      </c>
      <c r="C107" s="14" t="s">
        <v>57</v>
      </c>
      <c r="D107" s="16" t="s">
        <v>60</v>
      </c>
      <c r="E107" s="1" t="s">
        <v>2493</v>
      </c>
      <c r="F107" s="16" t="s">
        <v>61</v>
      </c>
      <c r="G107" s="1" t="s">
        <v>69</v>
      </c>
      <c r="H107" s="1" t="s">
        <v>73</v>
      </c>
      <c r="I107" s="9">
        <v>13600000</v>
      </c>
      <c r="J107" s="94"/>
      <c r="K107" s="2"/>
      <c r="L107" s="2"/>
      <c r="M107" s="40">
        <f t="shared" si="6"/>
        <v>13600000</v>
      </c>
      <c r="N107" s="1">
        <v>1083029651</v>
      </c>
      <c r="O107" s="1" t="s">
        <v>2494</v>
      </c>
      <c r="P107" s="1" t="s">
        <v>2495</v>
      </c>
      <c r="Q107" s="3">
        <v>45026</v>
      </c>
      <c r="R107" s="3">
        <v>45026</v>
      </c>
      <c r="S107" s="3">
        <v>45107</v>
      </c>
      <c r="T107" s="35"/>
      <c r="U107" s="3"/>
      <c r="V107" s="3"/>
      <c r="W107" s="50"/>
      <c r="X107" s="9">
        <v>13600000</v>
      </c>
      <c r="Y107" s="9">
        <f t="shared" si="7"/>
        <v>0</v>
      </c>
      <c r="Z107" s="34">
        <f t="shared" si="5"/>
        <v>1</v>
      </c>
      <c r="AA107" s="1">
        <v>1082870070</v>
      </c>
      <c r="AB107" s="1" t="s">
        <v>2496</v>
      </c>
      <c r="AC107" s="1"/>
      <c r="AD107" s="1"/>
      <c r="AE107" s="3"/>
      <c r="AF107" s="194" t="s">
        <v>2497</v>
      </c>
      <c r="AG107" s="15" t="s">
        <v>192</v>
      </c>
      <c r="AH107" s="15" t="s">
        <v>192</v>
      </c>
    </row>
    <row r="108" spans="1:34" s="4" customFormat="1" x14ac:dyDescent="0.25">
      <c r="A108" s="16">
        <v>891780604</v>
      </c>
      <c r="B108" s="16" t="s">
        <v>54</v>
      </c>
      <c r="C108" s="14" t="s">
        <v>57</v>
      </c>
      <c r="D108" s="16" t="s">
        <v>60</v>
      </c>
      <c r="E108" s="1" t="s">
        <v>2498</v>
      </c>
      <c r="F108" s="16" t="s">
        <v>61</v>
      </c>
      <c r="G108" s="1" t="s">
        <v>69</v>
      </c>
      <c r="H108" s="1" t="s">
        <v>73</v>
      </c>
      <c r="I108" s="9">
        <v>9600000</v>
      </c>
      <c r="J108" s="94"/>
      <c r="K108" s="2"/>
      <c r="L108" s="2"/>
      <c r="M108" s="40">
        <f t="shared" si="6"/>
        <v>9600000</v>
      </c>
      <c r="N108" s="1">
        <v>19620110</v>
      </c>
      <c r="O108" s="1" t="s">
        <v>2499</v>
      </c>
      <c r="P108" s="1" t="s">
        <v>2500</v>
      </c>
      <c r="Q108" s="3">
        <v>45034</v>
      </c>
      <c r="R108" s="3">
        <v>45034</v>
      </c>
      <c r="S108" s="3">
        <v>45138</v>
      </c>
      <c r="T108" s="35"/>
      <c r="U108" s="3"/>
      <c r="V108" s="3"/>
      <c r="W108" s="50"/>
      <c r="X108" s="9">
        <v>4800000</v>
      </c>
      <c r="Y108" s="9">
        <v>4800000</v>
      </c>
      <c r="Z108" s="34">
        <f t="shared" si="5"/>
        <v>0.5</v>
      </c>
      <c r="AA108" s="1">
        <v>36669284</v>
      </c>
      <c r="AB108" s="1" t="s">
        <v>2501</v>
      </c>
      <c r="AC108" s="1"/>
      <c r="AD108" s="1"/>
      <c r="AE108" s="3"/>
      <c r="AF108" s="194" t="s">
        <v>2502</v>
      </c>
      <c r="AG108" s="15" t="s">
        <v>192</v>
      </c>
      <c r="AH108" s="15" t="s">
        <v>192</v>
      </c>
    </row>
    <row r="109" spans="1:34" s="4" customFormat="1" x14ac:dyDescent="0.25">
      <c r="A109" s="16">
        <v>891780605</v>
      </c>
      <c r="B109" s="16" t="s">
        <v>54</v>
      </c>
      <c r="C109" s="14" t="s">
        <v>57</v>
      </c>
      <c r="D109" s="16" t="s">
        <v>60</v>
      </c>
      <c r="E109" s="1" t="s">
        <v>2503</v>
      </c>
      <c r="F109" s="16" t="s">
        <v>61</v>
      </c>
      <c r="G109" s="1" t="s">
        <v>69</v>
      </c>
      <c r="H109" s="1" t="s">
        <v>73</v>
      </c>
      <c r="I109" s="9">
        <v>2500000</v>
      </c>
      <c r="J109" s="94"/>
      <c r="K109" s="2"/>
      <c r="L109" s="2"/>
      <c r="M109" s="40">
        <f t="shared" si="6"/>
        <v>2500000</v>
      </c>
      <c r="N109" s="1">
        <v>7729736</v>
      </c>
      <c r="O109" s="1" t="s">
        <v>2504</v>
      </c>
      <c r="P109" s="1" t="s">
        <v>2505</v>
      </c>
      <c r="Q109" s="3">
        <v>45034</v>
      </c>
      <c r="R109" s="3">
        <v>45034</v>
      </c>
      <c r="S109" s="3">
        <v>45049</v>
      </c>
      <c r="T109" s="35"/>
      <c r="U109" s="3"/>
      <c r="V109" s="3"/>
      <c r="W109" s="50"/>
      <c r="X109" s="9">
        <v>2500000</v>
      </c>
      <c r="Y109" s="9">
        <f>M109-X109</f>
        <v>0</v>
      </c>
      <c r="Z109" s="34">
        <f t="shared" si="5"/>
        <v>1</v>
      </c>
      <c r="AA109" s="1">
        <v>36669284</v>
      </c>
      <c r="AB109" s="1" t="s">
        <v>2501</v>
      </c>
      <c r="AC109" s="1"/>
      <c r="AD109" s="1"/>
      <c r="AE109" s="3"/>
      <c r="AF109" s="194" t="s">
        <v>2506</v>
      </c>
      <c r="AG109" s="15" t="s">
        <v>192</v>
      </c>
      <c r="AH109" s="15" t="s">
        <v>192</v>
      </c>
    </row>
    <row r="110" spans="1:34" s="4" customFormat="1" x14ac:dyDescent="0.25">
      <c r="A110" s="16">
        <v>891780606</v>
      </c>
      <c r="B110" s="16" t="s">
        <v>54</v>
      </c>
      <c r="C110" s="14" t="s">
        <v>57</v>
      </c>
      <c r="D110" s="16" t="s">
        <v>60</v>
      </c>
      <c r="E110" s="1" t="s">
        <v>2507</v>
      </c>
      <c r="F110" s="16" t="s">
        <v>61</v>
      </c>
      <c r="G110" s="1" t="s">
        <v>69</v>
      </c>
      <c r="H110" s="1" t="s">
        <v>73</v>
      </c>
      <c r="I110" s="9">
        <v>8400000</v>
      </c>
      <c r="J110" s="94"/>
      <c r="K110" s="2"/>
      <c r="L110" s="2"/>
      <c r="M110" s="40">
        <f t="shared" si="6"/>
        <v>8400000</v>
      </c>
      <c r="N110" s="1">
        <v>1081928917</v>
      </c>
      <c r="O110" s="1" t="s">
        <v>2508</v>
      </c>
      <c r="P110" s="1" t="s">
        <v>2509</v>
      </c>
      <c r="Q110" s="3">
        <v>45036</v>
      </c>
      <c r="R110" s="3">
        <v>45036</v>
      </c>
      <c r="S110" s="3">
        <v>45107</v>
      </c>
      <c r="T110" s="35"/>
      <c r="U110" s="3"/>
      <c r="V110" s="3"/>
      <c r="W110" s="50"/>
      <c r="X110" s="9">
        <v>0</v>
      </c>
      <c r="Y110" s="9">
        <v>8400000</v>
      </c>
      <c r="Z110" s="34">
        <f t="shared" si="5"/>
        <v>0</v>
      </c>
      <c r="AA110" s="1">
        <v>85467461</v>
      </c>
      <c r="AB110" s="1" t="s">
        <v>2510</v>
      </c>
      <c r="AC110" s="1"/>
      <c r="AD110" s="1"/>
      <c r="AE110" s="3"/>
      <c r="AF110" s="194" t="s">
        <v>2511</v>
      </c>
      <c r="AG110" s="15" t="s">
        <v>192</v>
      </c>
      <c r="AH110" s="15" t="s">
        <v>192</v>
      </c>
    </row>
    <row r="111" spans="1:34" s="4" customFormat="1" x14ac:dyDescent="0.25">
      <c r="A111" s="16">
        <v>891780607</v>
      </c>
      <c r="B111" s="16" t="s">
        <v>54</v>
      </c>
      <c r="C111" s="14" t="s">
        <v>57</v>
      </c>
      <c r="D111" s="16" t="s">
        <v>60</v>
      </c>
      <c r="E111" s="1" t="s">
        <v>2512</v>
      </c>
      <c r="F111" s="16" t="s">
        <v>61</v>
      </c>
      <c r="G111" s="1" t="s">
        <v>69</v>
      </c>
      <c r="H111" s="1" t="s">
        <v>73</v>
      </c>
      <c r="I111" s="9">
        <v>8800000</v>
      </c>
      <c r="J111" s="94"/>
      <c r="K111" s="2"/>
      <c r="L111" s="2"/>
      <c r="M111" s="40">
        <f t="shared" si="6"/>
        <v>8800000</v>
      </c>
      <c r="N111" s="1">
        <v>36667206</v>
      </c>
      <c r="O111" s="1" t="s">
        <v>2513</v>
      </c>
      <c r="P111" s="1" t="s">
        <v>2514</v>
      </c>
      <c r="Q111" s="3">
        <v>45041</v>
      </c>
      <c r="R111" s="3">
        <v>45041</v>
      </c>
      <c r="S111" s="3">
        <v>45138</v>
      </c>
      <c r="T111" s="35"/>
      <c r="U111" s="3"/>
      <c r="V111" s="3"/>
      <c r="W111" s="50"/>
      <c r="X111" s="9">
        <v>4400000</v>
      </c>
      <c r="Y111" s="9">
        <v>4400000</v>
      </c>
      <c r="Z111" s="34">
        <f t="shared" si="5"/>
        <v>0.5</v>
      </c>
      <c r="AA111" s="1">
        <v>85467461</v>
      </c>
      <c r="AB111" s="1" t="s">
        <v>2510</v>
      </c>
      <c r="AC111" s="1"/>
      <c r="AD111" s="1"/>
      <c r="AE111" s="3"/>
      <c r="AF111" s="194" t="s">
        <v>2515</v>
      </c>
      <c r="AG111" s="15" t="s">
        <v>192</v>
      </c>
      <c r="AH111" s="15" t="s">
        <v>192</v>
      </c>
    </row>
    <row r="112" spans="1:34" s="4" customFormat="1" x14ac:dyDescent="0.25">
      <c r="A112" s="16">
        <v>891780608</v>
      </c>
      <c r="B112" s="16" t="s">
        <v>54</v>
      </c>
      <c r="C112" s="14" t="s">
        <v>57</v>
      </c>
      <c r="D112" s="16" t="s">
        <v>60</v>
      </c>
      <c r="E112" s="1" t="s">
        <v>2516</v>
      </c>
      <c r="F112" s="16" t="s">
        <v>61</v>
      </c>
      <c r="G112" s="1" t="s">
        <v>69</v>
      </c>
      <c r="H112" s="1" t="s">
        <v>73</v>
      </c>
      <c r="I112" s="9">
        <v>8400000</v>
      </c>
      <c r="J112" s="94"/>
      <c r="K112" s="2"/>
      <c r="L112" s="2"/>
      <c r="M112" s="40">
        <f t="shared" si="6"/>
        <v>8400000</v>
      </c>
      <c r="N112" s="1">
        <v>57107014</v>
      </c>
      <c r="O112" s="1" t="s">
        <v>2517</v>
      </c>
      <c r="P112" s="1" t="s">
        <v>2518</v>
      </c>
      <c r="Q112" s="3">
        <v>45048</v>
      </c>
      <c r="R112" s="3">
        <v>45048</v>
      </c>
      <c r="S112" s="3">
        <v>45138</v>
      </c>
      <c r="T112" s="35"/>
      <c r="U112" s="3"/>
      <c r="V112" s="3"/>
      <c r="W112" s="50"/>
      <c r="X112" s="9">
        <v>5600000</v>
      </c>
      <c r="Y112" s="9">
        <v>2800000</v>
      </c>
      <c r="Z112" s="34">
        <f t="shared" si="5"/>
        <v>0.66666666666666663</v>
      </c>
      <c r="AA112" s="1">
        <v>36669284</v>
      </c>
      <c r="AB112" s="1" t="s">
        <v>2501</v>
      </c>
      <c r="AC112" s="1"/>
      <c r="AD112" s="1"/>
      <c r="AE112" s="3"/>
      <c r="AF112" s="194" t="s">
        <v>2519</v>
      </c>
      <c r="AG112" s="15" t="s">
        <v>192</v>
      </c>
      <c r="AH112" s="15" t="s">
        <v>192</v>
      </c>
    </row>
    <row r="113" spans="1:34" s="4" customFormat="1" x14ac:dyDescent="0.25">
      <c r="A113" s="16">
        <v>891780609</v>
      </c>
      <c r="B113" s="16" t="s">
        <v>54</v>
      </c>
      <c r="C113" s="14" t="s">
        <v>57</v>
      </c>
      <c r="D113" s="16" t="s">
        <v>60</v>
      </c>
      <c r="E113" s="1" t="s">
        <v>2520</v>
      </c>
      <c r="F113" s="16" t="s">
        <v>61</v>
      </c>
      <c r="G113" s="1" t="s">
        <v>69</v>
      </c>
      <c r="H113" s="1" t="s">
        <v>73</v>
      </c>
      <c r="I113" s="9">
        <v>7000000</v>
      </c>
      <c r="J113" s="94"/>
      <c r="K113" s="2"/>
      <c r="L113" s="2"/>
      <c r="M113" s="40">
        <f t="shared" si="6"/>
        <v>7000000</v>
      </c>
      <c r="N113" s="1">
        <v>19267228</v>
      </c>
      <c r="O113" s="1" t="s">
        <v>2521</v>
      </c>
      <c r="P113" s="1" t="s">
        <v>2522</v>
      </c>
      <c r="Q113" s="3">
        <v>45050</v>
      </c>
      <c r="R113" s="3">
        <v>45050</v>
      </c>
      <c r="S113" s="3">
        <v>45092</v>
      </c>
      <c r="T113" s="35"/>
      <c r="U113" s="3"/>
      <c r="V113" s="3"/>
      <c r="W113" s="50"/>
      <c r="X113" s="9">
        <v>7000000</v>
      </c>
      <c r="Y113" s="9">
        <f>M113-X113</f>
        <v>0</v>
      </c>
      <c r="Z113" s="34">
        <f t="shared" si="5"/>
        <v>1</v>
      </c>
      <c r="AA113" s="1">
        <v>85467461</v>
      </c>
      <c r="AB113" s="1" t="s">
        <v>2510</v>
      </c>
      <c r="AC113" s="1"/>
      <c r="AD113" s="1"/>
      <c r="AE113" s="3"/>
      <c r="AF113" s="194" t="s">
        <v>2523</v>
      </c>
      <c r="AG113" s="15" t="s">
        <v>192</v>
      </c>
      <c r="AH113" s="15" t="s">
        <v>192</v>
      </c>
    </row>
    <row r="114" spans="1:34" s="4" customFormat="1" x14ac:dyDescent="0.25">
      <c r="A114" s="16">
        <v>891780610</v>
      </c>
      <c r="B114" s="16" t="s">
        <v>54</v>
      </c>
      <c r="C114" s="14" t="s">
        <v>57</v>
      </c>
      <c r="D114" s="16" t="s">
        <v>60</v>
      </c>
      <c r="E114" s="1" t="s">
        <v>2524</v>
      </c>
      <c r="F114" s="16" t="s">
        <v>61</v>
      </c>
      <c r="G114" s="1" t="s">
        <v>69</v>
      </c>
      <c r="H114" s="1" t="s">
        <v>73</v>
      </c>
      <c r="I114" s="9">
        <v>12000000</v>
      </c>
      <c r="J114" s="94"/>
      <c r="K114" s="2"/>
      <c r="L114" s="2"/>
      <c r="M114" s="40">
        <f t="shared" si="6"/>
        <v>12000000</v>
      </c>
      <c r="N114" s="1">
        <v>1083029274</v>
      </c>
      <c r="O114" s="1" t="s">
        <v>2525</v>
      </c>
      <c r="P114" s="1" t="s">
        <v>2526</v>
      </c>
      <c r="Q114" s="3">
        <v>45051</v>
      </c>
      <c r="R114" s="3">
        <v>45051</v>
      </c>
      <c r="S114" s="3">
        <v>45138</v>
      </c>
      <c r="T114" s="35"/>
      <c r="U114" s="3"/>
      <c r="V114" s="3"/>
      <c r="W114" s="50"/>
      <c r="X114" s="9">
        <v>9000000</v>
      </c>
      <c r="Y114" s="9">
        <v>3000000</v>
      </c>
      <c r="Z114" s="34">
        <f t="shared" si="5"/>
        <v>0.75</v>
      </c>
      <c r="AA114" s="1">
        <v>85467461</v>
      </c>
      <c r="AB114" s="1" t="s">
        <v>2510</v>
      </c>
      <c r="AC114" s="1"/>
      <c r="AD114" s="1"/>
      <c r="AE114" s="3"/>
      <c r="AF114" s="194" t="s">
        <v>2527</v>
      </c>
      <c r="AG114" s="15" t="s">
        <v>192</v>
      </c>
      <c r="AH114" s="15" t="s">
        <v>192</v>
      </c>
    </row>
    <row r="115" spans="1:34" s="4" customFormat="1" x14ac:dyDescent="0.25">
      <c r="A115" s="16">
        <v>891780611</v>
      </c>
      <c r="B115" s="16" t="s">
        <v>54</v>
      </c>
      <c r="C115" s="14" t="s">
        <v>57</v>
      </c>
      <c r="D115" s="16" t="s">
        <v>60</v>
      </c>
      <c r="E115" s="1" t="s">
        <v>2528</v>
      </c>
      <c r="F115" s="16" t="s">
        <v>61</v>
      </c>
      <c r="G115" s="1" t="s">
        <v>69</v>
      </c>
      <c r="H115" s="1" t="s">
        <v>73</v>
      </c>
      <c r="I115" s="9">
        <v>3000000</v>
      </c>
      <c r="J115" s="94"/>
      <c r="K115" s="2"/>
      <c r="L115" s="2"/>
      <c r="M115" s="40">
        <f t="shared" si="6"/>
        <v>3000000</v>
      </c>
      <c r="N115" s="1">
        <v>72001881</v>
      </c>
      <c r="O115" s="1" t="s">
        <v>2529</v>
      </c>
      <c r="P115" s="1" t="s">
        <v>2530</v>
      </c>
      <c r="Q115" s="3">
        <v>45058</v>
      </c>
      <c r="R115" s="3">
        <v>45058</v>
      </c>
      <c r="S115" s="3">
        <v>45087</v>
      </c>
      <c r="T115" s="35"/>
      <c r="U115" s="3"/>
      <c r="V115" s="3"/>
      <c r="W115" s="50"/>
      <c r="X115" s="9">
        <v>3000000</v>
      </c>
      <c r="Y115" s="9">
        <f t="shared" ref="Y115:Y116" si="8">M115-X115</f>
        <v>0</v>
      </c>
      <c r="Z115" s="34">
        <f t="shared" si="5"/>
        <v>1</v>
      </c>
      <c r="AA115" s="1">
        <v>85471791</v>
      </c>
      <c r="AB115" s="1" t="s">
        <v>2487</v>
      </c>
      <c r="AC115" s="1"/>
      <c r="AD115" s="1"/>
      <c r="AE115" s="3"/>
      <c r="AF115" s="194" t="s">
        <v>2531</v>
      </c>
      <c r="AG115" s="15" t="s">
        <v>192</v>
      </c>
      <c r="AH115" s="15" t="s">
        <v>192</v>
      </c>
    </row>
    <row r="116" spans="1:34" s="4" customFormat="1" x14ac:dyDescent="0.25">
      <c r="A116" s="16">
        <v>891780612</v>
      </c>
      <c r="B116" s="16" t="s">
        <v>54</v>
      </c>
      <c r="C116" s="14" t="s">
        <v>57</v>
      </c>
      <c r="D116" s="16" t="s">
        <v>60</v>
      </c>
      <c r="E116" s="1" t="s">
        <v>2532</v>
      </c>
      <c r="F116" s="16" t="s">
        <v>61</v>
      </c>
      <c r="G116" s="1" t="s">
        <v>69</v>
      </c>
      <c r="H116" s="1" t="s">
        <v>73</v>
      </c>
      <c r="I116" s="9">
        <v>6900000</v>
      </c>
      <c r="J116" s="94"/>
      <c r="K116" s="2"/>
      <c r="L116" s="2"/>
      <c r="M116" s="40">
        <f t="shared" si="6"/>
        <v>6900000</v>
      </c>
      <c r="N116" s="1">
        <v>72006457</v>
      </c>
      <c r="O116" s="1" t="s">
        <v>2533</v>
      </c>
      <c r="P116" s="1" t="s">
        <v>2534</v>
      </c>
      <c r="Q116" s="3">
        <v>45058</v>
      </c>
      <c r="R116" s="3">
        <v>45058</v>
      </c>
      <c r="S116" s="3">
        <v>45107</v>
      </c>
      <c r="T116" s="35"/>
      <c r="U116" s="3"/>
      <c r="V116" s="3"/>
      <c r="W116" s="50"/>
      <c r="X116" s="9">
        <v>6900000</v>
      </c>
      <c r="Y116" s="9">
        <f t="shared" si="8"/>
        <v>0</v>
      </c>
      <c r="Z116" s="34">
        <f t="shared" si="5"/>
        <v>1</v>
      </c>
      <c r="AA116" s="1">
        <v>85471791</v>
      </c>
      <c r="AB116" s="1" t="s">
        <v>2487</v>
      </c>
      <c r="AC116" s="1"/>
      <c r="AD116" s="1"/>
      <c r="AE116" s="3"/>
      <c r="AF116" s="194" t="s">
        <v>2535</v>
      </c>
      <c r="AG116" s="15" t="s">
        <v>192</v>
      </c>
      <c r="AH116" s="15" t="s">
        <v>192</v>
      </c>
    </row>
    <row r="117" spans="1:34" s="4" customFormat="1" x14ac:dyDescent="0.25">
      <c r="A117" s="16">
        <v>891780613</v>
      </c>
      <c r="B117" s="16" t="s">
        <v>54</v>
      </c>
      <c r="C117" s="14" t="s">
        <v>57</v>
      </c>
      <c r="D117" s="16" t="s">
        <v>60</v>
      </c>
      <c r="E117" s="1" t="s">
        <v>2536</v>
      </c>
      <c r="F117" s="16" t="s">
        <v>61</v>
      </c>
      <c r="G117" s="1" t="s">
        <v>69</v>
      </c>
      <c r="H117" s="1" t="s">
        <v>73</v>
      </c>
      <c r="I117" s="9">
        <v>17000000</v>
      </c>
      <c r="J117" s="94"/>
      <c r="K117" s="2"/>
      <c r="L117" s="2"/>
      <c r="M117" s="40">
        <f t="shared" si="6"/>
        <v>17000000</v>
      </c>
      <c r="N117" s="1">
        <v>85470058</v>
      </c>
      <c r="O117" s="1" t="s">
        <v>2469</v>
      </c>
      <c r="P117" s="1" t="s">
        <v>2537</v>
      </c>
      <c r="Q117" s="3">
        <v>45061</v>
      </c>
      <c r="R117" s="3">
        <v>45061</v>
      </c>
      <c r="S117" s="3">
        <v>45188</v>
      </c>
      <c r="T117" s="35"/>
      <c r="U117" s="3"/>
      <c r="V117" s="3"/>
      <c r="W117" s="50"/>
      <c r="X117" s="9">
        <v>6800000</v>
      </c>
      <c r="Y117" s="9">
        <v>10200000</v>
      </c>
      <c r="Z117" s="34">
        <f t="shared" si="5"/>
        <v>0.4</v>
      </c>
      <c r="AA117" s="1">
        <v>12564670</v>
      </c>
      <c r="AB117" s="1" t="s">
        <v>2466</v>
      </c>
      <c r="AC117" s="1"/>
      <c r="AD117" s="1"/>
      <c r="AE117" s="3"/>
      <c r="AF117" s="194" t="s">
        <v>2538</v>
      </c>
      <c r="AG117" s="15" t="s">
        <v>192</v>
      </c>
      <c r="AH117" s="15" t="s">
        <v>192</v>
      </c>
    </row>
    <row r="118" spans="1:34" s="4" customFormat="1" x14ac:dyDescent="0.25">
      <c r="A118" s="16">
        <v>891780614</v>
      </c>
      <c r="B118" s="16" t="s">
        <v>54</v>
      </c>
      <c r="C118" s="14" t="s">
        <v>57</v>
      </c>
      <c r="D118" s="16" t="s">
        <v>60</v>
      </c>
      <c r="E118" s="1" t="s">
        <v>2539</v>
      </c>
      <c r="F118" s="16" t="s">
        <v>61</v>
      </c>
      <c r="G118" s="1" t="s">
        <v>69</v>
      </c>
      <c r="H118" s="1" t="s">
        <v>73</v>
      </c>
      <c r="I118" s="9">
        <v>17000000</v>
      </c>
      <c r="J118" s="94"/>
      <c r="K118" s="2"/>
      <c r="L118" s="2"/>
      <c r="M118" s="40">
        <f t="shared" si="6"/>
        <v>17000000</v>
      </c>
      <c r="N118" s="1">
        <v>1082951210</v>
      </c>
      <c r="O118" s="1" t="s">
        <v>2464</v>
      </c>
      <c r="P118" s="1" t="s">
        <v>2540</v>
      </c>
      <c r="Q118" s="3">
        <v>45061</v>
      </c>
      <c r="R118" s="3">
        <v>45061</v>
      </c>
      <c r="S118" s="3">
        <v>45188</v>
      </c>
      <c r="T118" s="35"/>
      <c r="U118" s="3"/>
      <c r="V118" s="3"/>
      <c r="W118" s="50"/>
      <c r="X118" s="9">
        <v>6800000</v>
      </c>
      <c r="Y118" s="9">
        <v>10200000</v>
      </c>
      <c r="Z118" s="34">
        <f t="shared" si="5"/>
        <v>0.4</v>
      </c>
      <c r="AA118" s="1">
        <v>12564670</v>
      </c>
      <c r="AB118" s="1" t="s">
        <v>2466</v>
      </c>
      <c r="AC118" s="1"/>
      <c r="AD118" s="1"/>
      <c r="AE118" s="3"/>
      <c r="AF118" s="194" t="s">
        <v>2541</v>
      </c>
      <c r="AG118" s="15" t="s">
        <v>192</v>
      </c>
      <c r="AH118" s="15" t="s">
        <v>192</v>
      </c>
    </row>
    <row r="119" spans="1:34" s="4" customFormat="1" x14ac:dyDescent="0.25">
      <c r="A119" s="16">
        <v>891780615</v>
      </c>
      <c r="B119" s="16" t="s">
        <v>54</v>
      </c>
      <c r="C119" s="14" t="s">
        <v>57</v>
      </c>
      <c r="D119" s="16" t="s">
        <v>60</v>
      </c>
      <c r="E119" s="1" t="s">
        <v>2542</v>
      </c>
      <c r="F119" s="16" t="s">
        <v>61</v>
      </c>
      <c r="G119" s="1" t="s">
        <v>69</v>
      </c>
      <c r="H119" s="1" t="s">
        <v>73</v>
      </c>
      <c r="I119" s="9">
        <v>5097960</v>
      </c>
      <c r="J119" s="94"/>
      <c r="K119" s="2"/>
      <c r="L119" s="2"/>
      <c r="M119" s="40">
        <f t="shared" si="6"/>
        <v>5097960</v>
      </c>
      <c r="N119" s="1" t="s">
        <v>2375</v>
      </c>
      <c r="O119" s="1" t="s">
        <v>2543</v>
      </c>
      <c r="P119" s="1" t="s">
        <v>2544</v>
      </c>
      <c r="Q119" s="3">
        <v>45063</v>
      </c>
      <c r="R119" s="3">
        <v>45063</v>
      </c>
      <c r="S119" s="3">
        <v>45122</v>
      </c>
      <c r="T119" s="35"/>
      <c r="U119" s="3"/>
      <c r="V119" s="3"/>
      <c r="W119" s="50"/>
      <c r="X119" s="9">
        <v>0</v>
      </c>
      <c r="Y119" s="9">
        <v>5097960</v>
      </c>
      <c r="Z119" s="34">
        <f t="shared" si="5"/>
        <v>0</v>
      </c>
      <c r="AA119" s="1">
        <v>85471791</v>
      </c>
      <c r="AB119" s="1" t="s">
        <v>2487</v>
      </c>
      <c r="AC119" s="1"/>
      <c r="AD119" s="1"/>
      <c r="AE119" s="3"/>
      <c r="AF119" s="194" t="s">
        <v>2545</v>
      </c>
      <c r="AG119" s="15" t="s">
        <v>192</v>
      </c>
      <c r="AH119" s="15" t="s">
        <v>191</v>
      </c>
    </row>
    <row r="120" spans="1:34" s="4" customFormat="1" x14ac:dyDescent="0.25">
      <c r="A120" s="16">
        <v>891780616</v>
      </c>
      <c r="B120" s="16" t="s">
        <v>54</v>
      </c>
      <c r="C120" s="14" t="s">
        <v>57</v>
      </c>
      <c r="D120" s="16" t="s">
        <v>60</v>
      </c>
      <c r="E120" s="1" t="s">
        <v>2546</v>
      </c>
      <c r="F120" s="16" t="s">
        <v>61</v>
      </c>
      <c r="G120" s="1" t="s">
        <v>69</v>
      </c>
      <c r="H120" s="1" t="s">
        <v>73</v>
      </c>
      <c r="I120" s="9">
        <v>24900000</v>
      </c>
      <c r="J120" s="94"/>
      <c r="K120" s="2"/>
      <c r="L120" s="2"/>
      <c r="M120" s="40">
        <f t="shared" si="6"/>
        <v>24900000</v>
      </c>
      <c r="N120" s="1">
        <v>1082902907</v>
      </c>
      <c r="O120" s="1" t="s">
        <v>2473</v>
      </c>
      <c r="P120" s="1" t="s">
        <v>2547</v>
      </c>
      <c r="Q120" s="3">
        <v>45079</v>
      </c>
      <c r="R120" s="3">
        <v>45079</v>
      </c>
      <c r="S120" s="3">
        <v>45188</v>
      </c>
      <c r="T120" s="35"/>
      <c r="U120" s="3"/>
      <c r="V120" s="3"/>
      <c r="W120" s="50"/>
      <c r="X120" s="9">
        <v>6225000</v>
      </c>
      <c r="Y120" s="9">
        <v>18675000</v>
      </c>
      <c r="Z120" s="34">
        <f t="shared" si="5"/>
        <v>0.25</v>
      </c>
      <c r="AA120" s="1">
        <v>12564670</v>
      </c>
      <c r="AB120" s="1" t="s">
        <v>2466</v>
      </c>
      <c r="AC120" s="1"/>
      <c r="AD120" s="1"/>
      <c r="AE120" s="3"/>
      <c r="AF120" s="194" t="s">
        <v>2548</v>
      </c>
      <c r="AG120" s="15" t="s">
        <v>192</v>
      </c>
      <c r="AH120" s="15"/>
    </row>
    <row r="121" spans="1:34" s="4" customFormat="1" x14ac:dyDescent="0.25">
      <c r="A121" s="16">
        <v>891780617</v>
      </c>
      <c r="B121" s="16" t="s">
        <v>54</v>
      </c>
      <c r="C121" s="14" t="s">
        <v>57</v>
      </c>
      <c r="D121" s="16" t="s">
        <v>60</v>
      </c>
      <c r="E121" s="1" t="s">
        <v>2549</v>
      </c>
      <c r="F121" s="16" t="s">
        <v>61</v>
      </c>
      <c r="G121" s="1" t="s">
        <v>69</v>
      </c>
      <c r="H121" s="1" t="s">
        <v>73</v>
      </c>
      <c r="I121" s="9">
        <v>15000000</v>
      </c>
      <c r="J121" s="94"/>
      <c r="K121" s="2"/>
      <c r="L121" s="2"/>
      <c r="M121" s="40">
        <f t="shared" si="6"/>
        <v>15000000</v>
      </c>
      <c r="N121" s="1">
        <v>1082948644</v>
      </c>
      <c r="O121" s="1" t="s">
        <v>2457</v>
      </c>
      <c r="P121" s="1" t="s">
        <v>2550</v>
      </c>
      <c r="Q121" s="3">
        <v>45091</v>
      </c>
      <c r="R121" s="3">
        <v>45091</v>
      </c>
      <c r="S121" s="3">
        <v>45230</v>
      </c>
      <c r="T121" s="35"/>
      <c r="U121" s="3"/>
      <c r="V121" s="3"/>
      <c r="W121" s="50"/>
      <c r="X121" s="9">
        <v>3000000</v>
      </c>
      <c r="Y121" s="9">
        <v>12000000</v>
      </c>
      <c r="Z121" s="34">
        <f t="shared" si="5"/>
        <v>0.2</v>
      </c>
      <c r="AA121" s="1">
        <v>85471791</v>
      </c>
      <c r="AB121" s="1" t="s">
        <v>2487</v>
      </c>
      <c r="AC121" s="1"/>
      <c r="AD121" s="1"/>
      <c r="AE121" s="3"/>
      <c r="AF121" s="194" t="s">
        <v>2551</v>
      </c>
      <c r="AG121" s="15" t="s">
        <v>192</v>
      </c>
      <c r="AH121" s="15"/>
    </row>
    <row r="122" spans="1:34" s="4" customFormat="1" x14ac:dyDescent="0.25">
      <c r="A122" s="16">
        <v>891780618</v>
      </c>
      <c r="B122" s="16" t="s">
        <v>54</v>
      </c>
      <c r="C122" s="14" t="s">
        <v>57</v>
      </c>
      <c r="D122" s="16" t="s">
        <v>60</v>
      </c>
      <c r="E122" s="1" t="s">
        <v>2552</v>
      </c>
      <c r="F122" s="16" t="s">
        <v>61</v>
      </c>
      <c r="G122" s="1" t="s">
        <v>69</v>
      </c>
      <c r="H122" s="1" t="s">
        <v>73</v>
      </c>
      <c r="I122" s="9">
        <v>20000000</v>
      </c>
      <c r="J122" s="94"/>
      <c r="K122" s="2"/>
      <c r="L122" s="2"/>
      <c r="M122" s="40">
        <f t="shared" si="6"/>
        <v>20000000</v>
      </c>
      <c r="N122" s="1">
        <v>1082999611</v>
      </c>
      <c r="O122" s="1" t="s">
        <v>2449</v>
      </c>
      <c r="P122" s="1" t="s">
        <v>2553</v>
      </c>
      <c r="Q122" s="3">
        <v>45091</v>
      </c>
      <c r="R122" s="3">
        <v>45091</v>
      </c>
      <c r="S122" s="3">
        <v>45230</v>
      </c>
      <c r="T122" s="35"/>
      <c r="U122" s="3"/>
      <c r="V122" s="3"/>
      <c r="W122" s="50"/>
      <c r="X122" s="9">
        <v>4000000</v>
      </c>
      <c r="Y122" s="9">
        <v>16000000</v>
      </c>
      <c r="Z122" s="34">
        <f t="shared" si="5"/>
        <v>0.2</v>
      </c>
      <c r="AA122" s="1">
        <v>85471791</v>
      </c>
      <c r="AB122" s="1" t="s">
        <v>2487</v>
      </c>
      <c r="AC122" s="1"/>
      <c r="AD122" s="1"/>
      <c r="AE122" s="3"/>
      <c r="AF122" s="194" t="s">
        <v>2554</v>
      </c>
      <c r="AG122" s="15" t="s">
        <v>192</v>
      </c>
      <c r="AH122" s="15"/>
    </row>
    <row r="123" spans="1:34" s="4" customFormat="1" x14ac:dyDescent="0.25">
      <c r="A123" s="16">
        <v>891780619</v>
      </c>
      <c r="B123" s="16" t="s">
        <v>54</v>
      </c>
      <c r="C123" s="14" t="s">
        <v>57</v>
      </c>
      <c r="D123" s="16" t="s">
        <v>60</v>
      </c>
      <c r="E123" s="1" t="s">
        <v>2555</v>
      </c>
      <c r="F123" s="16" t="s">
        <v>61</v>
      </c>
      <c r="G123" s="1" t="s">
        <v>69</v>
      </c>
      <c r="H123" s="1" t="s">
        <v>73</v>
      </c>
      <c r="I123" s="9">
        <v>20000000</v>
      </c>
      <c r="J123" s="94"/>
      <c r="K123" s="2"/>
      <c r="L123" s="2"/>
      <c r="M123" s="40">
        <f t="shared" si="6"/>
        <v>20000000</v>
      </c>
      <c r="N123" s="1">
        <v>1082927824</v>
      </c>
      <c r="O123" s="1" t="s">
        <v>2453</v>
      </c>
      <c r="P123" s="1" t="s">
        <v>2556</v>
      </c>
      <c r="Q123" s="3">
        <v>45091</v>
      </c>
      <c r="R123" s="3">
        <v>45091</v>
      </c>
      <c r="S123" s="3">
        <v>45230</v>
      </c>
      <c r="T123" s="35"/>
      <c r="U123" s="3"/>
      <c r="V123" s="3"/>
      <c r="W123" s="50"/>
      <c r="X123" s="9">
        <v>4000000</v>
      </c>
      <c r="Y123" s="9">
        <v>16000000</v>
      </c>
      <c r="Z123" s="34">
        <f t="shared" si="5"/>
        <v>0.2</v>
      </c>
      <c r="AA123" s="1">
        <v>85471791</v>
      </c>
      <c r="AB123" s="1" t="s">
        <v>2487</v>
      </c>
      <c r="AC123" s="1"/>
      <c r="AD123" s="1"/>
      <c r="AE123" s="3"/>
      <c r="AF123" s="194" t="s">
        <v>2557</v>
      </c>
      <c r="AG123" s="15" t="s">
        <v>192</v>
      </c>
      <c r="AH123" s="15"/>
    </row>
    <row r="124" spans="1:34" s="4" customFormat="1" x14ac:dyDescent="0.25">
      <c r="A124" s="16">
        <v>891780620</v>
      </c>
      <c r="B124" s="16" t="s">
        <v>54</v>
      </c>
      <c r="C124" s="14" t="s">
        <v>57</v>
      </c>
      <c r="D124" s="16" t="s">
        <v>60</v>
      </c>
      <c r="E124" s="1" t="s">
        <v>2558</v>
      </c>
      <c r="F124" s="16" t="s">
        <v>61</v>
      </c>
      <c r="G124" s="1" t="s">
        <v>69</v>
      </c>
      <c r="H124" s="1" t="s">
        <v>73</v>
      </c>
      <c r="I124" s="9">
        <v>10200000</v>
      </c>
      <c r="J124" s="94"/>
      <c r="K124" s="2"/>
      <c r="L124" s="2"/>
      <c r="M124" s="40">
        <f t="shared" si="6"/>
        <v>10200000</v>
      </c>
      <c r="N124" s="1">
        <v>85154455</v>
      </c>
      <c r="O124" s="1" t="s">
        <v>2411</v>
      </c>
      <c r="P124" s="1" t="s">
        <v>2559</v>
      </c>
      <c r="Q124" s="3">
        <v>45092</v>
      </c>
      <c r="R124" s="3">
        <v>45092</v>
      </c>
      <c r="S124" s="3">
        <v>45168</v>
      </c>
      <c r="T124" s="35"/>
      <c r="U124" s="3"/>
      <c r="V124" s="3"/>
      <c r="W124" s="50"/>
      <c r="X124" s="9">
        <v>6800000</v>
      </c>
      <c r="Y124" s="9">
        <v>3400000</v>
      </c>
      <c r="Z124" s="34">
        <f t="shared" si="5"/>
        <v>0.66666666666666663</v>
      </c>
      <c r="AA124" s="1">
        <v>57435262</v>
      </c>
      <c r="AB124" s="1" t="s">
        <v>2408</v>
      </c>
      <c r="AC124" s="1"/>
      <c r="AD124" s="1"/>
      <c r="AE124" s="3"/>
      <c r="AF124" s="194" t="s">
        <v>2560</v>
      </c>
      <c r="AG124" s="15" t="s">
        <v>192</v>
      </c>
      <c r="AH124" s="15"/>
    </row>
    <row r="125" spans="1:34" s="4" customFormat="1" x14ac:dyDescent="0.25">
      <c r="A125" s="16">
        <v>891780621</v>
      </c>
      <c r="B125" s="16" t="s">
        <v>54</v>
      </c>
      <c r="C125" s="14" t="s">
        <v>57</v>
      </c>
      <c r="D125" s="16" t="s">
        <v>60</v>
      </c>
      <c r="E125" s="1" t="s">
        <v>2561</v>
      </c>
      <c r="F125" s="16" t="s">
        <v>61</v>
      </c>
      <c r="G125" s="1" t="s">
        <v>69</v>
      </c>
      <c r="H125" s="1" t="s">
        <v>73</v>
      </c>
      <c r="I125" s="9">
        <v>10200000</v>
      </c>
      <c r="J125" s="94"/>
      <c r="K125" s="2"/>
      <c r="L125" s="2"/>
      <c r="M125" s="40">
        <f t="shared" si="6"/>
        <v>10200000</v>
      </c>
      <c r="N125" s="1">
        <v>7140330</v>
      </c>
      <c r="O125" s="1" t="s">
        <v>2406</v>
      </c>
      <c r="P125" s="1" t="s">
        <v>2562</v>
      </c>
      <c r="Q125" s="3">
        <v>45092</v>
      </c>
      <c r="R125" s="3">
        <v>45092</v>
      </c>
      <c r="S125" s="3">
        <v>45168</v>
      </c>
      <c r="T125" s="35"/>
      <c r="U125" s="3"/>
      <c r="V125" s="3"/>
      <c r="W125" s="50"/>
      <c r="X125" s="9">
        <v>3400000</v>
      </c>
      <c r="Y125" s="9">
        <v>6800000</v>
      </c>
      <c r="Z125" s="34">
        <f t="shared" si="5"/>
        <v>0.33333333333333331</v>
      </c>
      <c r="AA125" s="1">
        <v>57435262</v>
      </c>
      <c r="AB125" s="1" t="s">
        <v>2408</v>
      </c>
      <c r="AC125" s="1"/>
      <c r="AD125" s="1"/>
      <c r="AE125" s="3"/>
      <c r="AF125" s="194" t="s">
        <v>2563</v>
      </c>
      <c r="AG125" s="15" t="s">
        <v>192</v>
      </c>
      <c r="AH125" s="15"/>
    </row>
    <row r="126" spans="1:34" s="4" customFormat="1" x14ac:dyDescent="0.25">
      <c r="A126" s="16">
        <v>891780622</v>
      </c>
      <c r="B126" s="16" t="s">
        <v>54</v>
      </c>
      <c r="C126" s="14" t="s">
        <v>57</v>
      </c>
      <c r="D126" s="16" t="s">
        <v>60</v>
      </c>
      <c r="E126" s="1" t="s">
        <v>2564</v>
      </c>
      <c r="F126" s="16" t="s">
        <v>61</v>
      </c>
      <c r="G126" s="1" t="s">
        <v>69</v>
      </c>
      <c r="H126" s="1" t="s">
        <v>73</v>
      </c>
      <c r="I126" s="9">
        <v>10000000</v>
      </c>
      <c r="J126" s="94"/>
      <c r="K126" s="2"/>
      <c r="L126" s="2"/>
      <c r="M126" s="40">
        <f t="shared" si="6"/>
        <v>10000000</v>
      </c>
      <c r="N126" s="1">
        <v>57416391</v>
      </c>
      <c r="O126" s="1" t="s">
        <v>2565</v>
      </c>
      <c r="P126" s="1" t="s">
        <v>2566</v>
      </c>
      <c r="Q126" s="3">
        <v>45092</v>
      </c>
      <c r="R126" s="3">
        <v>45092</v>
      </c>
      <c r="S126" s="3">
        <v>45199</v>
      </c>
      <c r="T126" s="35"/>
      <c r="U126" s="3"/>
      <c r="V126" s="3"/>
      <c r="W126" s="50"/>
      <c r="X126" s="9">
        <v>2500000</v>
      </c>
      <c r="Y126" s="9">
        <v>7500000</v>
      </c>
      <c r="Z126" s="34">
        <f t="shared" si="5"/>
        <v>0.25</v>
      </c>
      <c r="AA126" s="1">
        <v>57294316</v>
      </c>
      <c r="AB126" s="1" t="s">
        <v>2434</v>
      </c>
      <c r="AC126" s="1"/>
      <c r="AD126" s="1"/>
      <c r="AE126" s="3"/>
      <c r="AF126" s="194" t="s">
        <v>2567</v>
      </c>
      <c r="AG126" s="15" t="s">
        <v>192</v>
      </c>
      <c r="AH126" s="15"/>
    </row>
    <row r="127" spans="1:34" s="4" customFormat="1" x14ac:dyDescent="0.25">
      <c r="A127" s="16">
        <v>891780623</v>
      </c>
      <c r="B127" s="16" t="s">
        <v>54</v>
      </c>
      <c r="C127" s="14" t="s">
        <v>57</v>
      </c>
      <c r="D127" s="16" t="s">
        <v>60</v>
      </c>
      <c r="E127" s="1" t="s">
        <v>2568</v>
      </c>
      <c r="F127" s="16" t="s">
        <v>61</v>
      </c>
      <c r="G127" s="1" t="s">
        <v>69</v>
      </c>
      <c r="H127" s="1" t="s">
        <v>73</v>
      </c>
      <c r="I127" s="9">
        <v>12400000</v>
      </c>
      <c r="J127" s="94"/>
      <c r="K127" s="2"/>
      <c r="L127" s="2"/>
      <c r="M127" s="40">
        <f t="shared" si="6"/>
        <v>12400000</v>
      </c>
      <c r="N127" s="1">
        <v>1045743528</v>
      </c>
      <c r="O127" s="1" t="s">
        <v>2569</v>
      </c>
      <c r="P127" s="1" t="s">
        <v>2570</v>
      </c>
      <c r="Q127" s="3">
        <v>45092</v>
      </c>
      <c r="R127" s="3">
        <v>45092</v>
      </c>
      <c r="S127" s="3">
        <v>45199</v>
      </c>
      <c r="T127" s="35"/>
      <c r="U127" s="3"/>
      <c r="V127" s="3"/>
      <c r="W127" s="50"/>
      <c r="X127" s="9">
        <v>3100000</v>
      </c>
      <c r="Y127" s="9">
        <v>9300000</v>
      </c>
      <c r="Z127" s="34">
        <f t="shared" si="5"/>
        <v>0.25</v>
      </c>
      <c r="AA127" s="1">
        <v>57294316</v>
      </c>
      <c r="AB127" s="1" t="s">
        <v>2434</v>
      </c>
      <c r="AC127" s="1"/>
      <c r="AD127" s="1"/>
      <c r="AE127" s="3"/>
      <c r="AF127" s="194" t="s">
        <v>2571</v>
      </c>
      <c r="AG127" s="15" t="s">
        <v>192</v>
      </c>
      <c r="AH127" s="15"/>
    </row>
    <row r="128" spans="1:34" s="4" customFormat="1" x14ac:dyDescent="0.25">
      <c r="A128" s="16">
        <v>891780624</v>
      </c>
      <c r="B128" s="16" t="s">
        <v>54</v>
      </c>
      <c r="C128" s="14" t="s">
        <v>57</v>
      </c>
      <c r="D128" s="16" t="s">
        <v>60</v>
      </c>
      <c r="E128" s="1" t="s">
        <v>2572</v>
      </c>
      <c r="F128" s="16" t="s">
        <v>61</v>
      </c>
      <c r="G128" s="1" t="s">
        <v>69</v>
      </c>
      <c r="H128" s="1" t="s">
        <v>73</v>
      </c>
      <c r="I128" s="9">
        <v>10200000</v>
      </c>
      <c r="J128" s="94"/>
      <c r="K128" s="2"/>
      <c r="L128" s="2"/>
      <c r="M128" s="40">
        <f t="shared" si="6"/>
        <v>10200000</v>
      </c>
      <c r="N128" s="1">
        <v>12613225</v>
      </c>
      <c r="O128" s="1" t="s">
        <v>2415</v>
      </c>
      <c r="P128" s="1" t="s">
        <v>2573</v>
      </c>
      <c r="Q128" s="3">
        <v>45092</v>
      </c>
      <c r="R128" s="3">
        <v>45092</v>
      </c>
      <c r="S128" s="3">
        <v>45168</v>
      </c>
      <c r="T128" s="35"/>
      <c r="U128" s="3"/>
      <c r="V128" s="3"/>
      <c r="W128" s="50"/>
      <c r="X128" s="9">
        <v>6800000</v>
      </c>
      <c r="Y128" s="9">
        <v>3400000</v>
      </c>
      <c r="Z128" s="34">
        <f t="shared" si="5"/>
        <v>0.66666666666666663</v>
      </c>
      <c r="AA128" s="1">
        <v>85449357</v>
      </c>
      <c r="AB128" s="1" t="s">
        <v>2417</v>
      </c>
      <c r="AC128" s="1"/>
      <c r="AD128" s="1"/>
      <c r="AE128" s="3"/>
      <c r="AF128" s="194" t="s">
        <v>2574</v>
      </c>
      <c r="AG128" s="15" t="s">
        <v>192</v>
      </c>
      <c r="AH128" s="15"/>
    </row>
    <row r="129" spans="1:34" s="4" customFormat="1" x14ac:dyDescent="0.25">
      <c r="A129" s="16">
        <v>891780625</v>
      </c>
      <c r="B129" s="16" t="s">
        <v>54</v>
      </c>
      <c r="C129" s="14" t="s">
        <v>57</v>
      </c>
      <c r="D129" s="16" t="s">
        <v>60</v>
      </c>
      <c r="E129" s="1" t="s">
        <v>2575</v>
      </c>
      <c r="F129" s="16" t="s">
        <v>61</v>
      </c>
      <c r="G129" s="1" t="s">
        <v>69</v>
      </c>
      <c r="H129" s="1" t="s">
        <v>73</v>
      </c>
      <c r="I129" s="9">
        <v>10200000</v>
      </c>
      <c r="J129" s="94"/>
      <c r="K129" s="2"/>
      <c r="L129" s="2"/>
      <c r="M129" s="40">
        <f t="shared" si="6"/>
        <v>10200000</v>
      </c>
      <c r="N129" s="1">
        <v>1082903282</v>
      </c>
      <c r="O129" s="1" t="s">
        <v>2420</v>
      </c>
      <c r="P129" s="1" t="s">
        <v>2576</v>
      </c>
      <c r="Q129" s="3">
        <v>45092</v>
      </c>
      <c r="R129" s="3">
        <v>45092</v>
      </c>
      <c r="S129" s="3">
        <v>45168</v>
      </c>
      <c r="T129" s="35"/>
      <c r="U129" s="3"/>
      <c r="V129" s="3"/>
      <c r="W129" s="50"/>
      <c r="X129" s="9">
        <v>6800000</v>
      </c>
      <c r="Y129" s="9">
        <v>3400000</v>
      </c>
      <c r="Z129" s="34">
        <f t="shared" si="5"/>
        <v>0.66666666666666663</v>
      </c>
      <c r="AA129" s="1">
        <v>85449357</v>
      </c>
      <c r="AB129" s="1" t="s">
        <v>2417</v>
      </c>
      <c r="AC129" s="1"/>
      <c r="AD129" s="1"/>
      <c r="AE129" s="3"/>
      <c r="AF129" s="194" t="s">
        <v>2577</v>
      </c>
      <c r="AG129" s="15" t="s">
        <v>192</v>
      </c>
      <c r="AH129" s="15"/>
    </row>
    <row r="130" spans="1:34" s="4" customFormat="1" x14ac:dyDescent="0.25">
      <c r="A130" s="16">
        <v>891780626</v>
      </c>
      <c r="B130" s="16" t="s">
        <v>54</v>
      </c>
      <c r="C130" s="14" t="s">
        <v>57</v>
      </c>
      <c r="D130" s="16" t="s">
        <v>60</v>
      </c>
      <c r="E130" s="1" t="s">
        <v>2578</v>
      </c>
      <c r="F130" s="16" t="s">
        <v>61</v>
      </c>
      <c r="G130" s="1" t="s">
        <v>69</v>
      </c>
      <c r="H130" s="1" t="s">
        <v>73</v>
      </c>
      <c r="I130" s="9">
        <v>7500000</v>
      </c>
      <c r="J130" s="94"/>
      <c r="K130" s="2"/>
      <c r="L130" s="2"/>
      <c r="M130" s="40">
        <f t="shared" si="6"/>
        <v>7500000</v>
      </c>
      <c r="N130" s="1">
        <v>1083035488</v>
      </c>
      <c r="O130" s="1" t="s">
        <v>2461</v>
      </c>
      <c r="P130" s="1" t="s">
        <v>2579</v>
      </c>
      <c r="Q130" s="3">
        <v>45092</v>
      </c>
      <c r="R130" s="3">
        <v>45092</v>
      </c>
      <c r="S130" s="3">
        <v>45168</v>
      </c>
      <c r="T130" s="35"/>
      <c r="U130" s="3"/>
      <c r="V130" s="3"/>
      <c r="W130" s="50"/>
      <c r="X130" s="9">
        <v>5000000</v>
      </c>
      <c r="Y130" s="9">
        <v>2500000</v>
      </c>
      <c r="Z130" s="34">
        <f t="shared" si="5"/>
        <v>0.66666666666666663</v>
      </c>
      <c r="AA130" s="1">
        <v>72004252</v>
      </c>
      <c r="AB130" s="1" t="s">
        <v>994</v>
      </c>
      <c r="AC130" s="1"/>
      <c r="AD130" s="1"/>
      <c r="AE130" s="3"/>
      <c r="AF130" s="194" t="s">
        <v>2580</v>
      </c>
      <c r="AG130" s="15" t="s">
        <v>192</v>
      </c>
      <c r="AH130" s="15"/>
    </row>
    <row r="131" spans="1:34" s="4" customFormat="1" x14ac:dyDescent="0.25">
      <c r="A131" s="16">
        <v>891780627</v>
      </c>
      <c r="B131" s="16" t="s">
        <v>54</v>
      </c>
      <c r="C131" s="14" t="s">
        <v>57</v>
      </c>
      <c r="D131" s="16" t="s">
        <v>60</v>
      </c>
      <c r="E131" s="1" t="s">
        <v>2581</v>
      </c>
      <c r="F131" s="16" t="s">
        <v>61</v>
      </c>
      <c r="G131" s="1" t="s">
        <v>69</v>
      </c>
      <c r="H131" s="1" t="s">
        <v>73</v>
      </c>
      <c r="I131" s="9">
        <v>10200000</v>
      </c>
      <c r="J131" s="94"/>
      <c r="K131" s="2"/>
      <c r="L131" s="2"/>
      <c r="M131" s="40">
        <f t="shared" si="6"/>
        <v>10200000</v>
      </c>
      <c r="N131" s="1">
        <v>1081827299</v>
      </c>
      <c r="O131" s="1" t="s">
        <v>2477</v>
      </c>
      <c r="P131" s="1" t="s">
        <v>2582</v>
      </c>
      <c r="Q131" s="3">
        <v>45092</v>
      </c>
      <c r="R131" s="3">
        <v>45092</v>
      </c>
      <c r="S131" s="3">
        <v>45168</v>
      </c>
      <c r="T131" s="35"/>
      <c r="U131" s="3"/>
      <c r="V131" s="3"/>
      <c r="W131" s="50"/>
      <c r="X131" s="9">
        <v>6800000</v>
      </c>
      <c r="Y131" s="9">
        <v>3400000</v>
      </c>
      <c r="Z131" s="34">
        <f t="shared" si="5"/>
        <v>0.66666666666666663</v>
      </c>
      <c r="AA131" s="1">
        <v>72004252</v>
      </c>
      <c r="AB131" s="1" t="s">
        <v>994</v>
      </c>
      <c r="AC131" s="1"/>
      <c r="AD131" s="1"/>
      <c r="AE131" s="3"/>
      <c r="AF131" s="194" t="s">
        <v>2583</v>
      </c>
      <c r="AG131" s="15" t="s">
        <v>192</v>
      </c>
      <c r="AH131" s="15"/>
    </row>
    <row r="132" spans="1:34" s="4" customFormat="1" x14ac:dyDescent="0.25">
      <c r="A132" s="16">
        <v>891780628</v>
      </c>
      <c r="B132" s="16" t="s">
        <v>54</v>
      </c>
      <c r="C132" s="14" t="s">
        <v>57</v>
      </c>
      <c r="D132" s="16" t="s">
        <v>60</v>
      </c>
      <c r="E132" s="1" t="s">
        <v>2584</v>
      </c>
      <c r="F132" s="16" t="s">
        <v>61</v>
      </c>
      <c r="G132" s="1" t="s">
        <v>69</v>
      </c>
      <c r="H132" s="1" t="s">
        <v>73</v>
      </c>
      <c r="I132" s="9">
        <v>10200000</v>
      </c>
      <c r="J132" s="94"/>
      <c r="K132" s="2"/>
      <c r="L132" s="2"/>
      <c r="M132" s="40">
        <f t="shared" si="6"/>
        <v>10200000</v>
      </c>
      <c r="N132" s="1">
        <v>36725462</v>
      </c>
      <c r="O132" s="1" t="s">
        <v>2585</v>
      </c>
      <c r="P132" s="1" t="s">
        <v>2586</v>
      </c>
      <c r="Q132" s="3">
        <v>45092</v>
      </c>
      <c r="R132" s="3">
        <v>45092</v>
      </c>
      <c r="S132" s="3">
        <v>45168</v>
      </c>
      <c r="T132" s="35"/>
      <c r="U132" s="3"/>
      <c r="V132" s="3"/>
      <c r="W132" s="50"/>
      <c r="X132" s="9">
        <v>3400000</v>
      </c>
      <c r="Y132" s="9">
        <v>6800000</v>
      </c>
      <c r="Z132" s="34">
        <f t="shared" si="5"/>
        <v>0.33333333333333331</v>
      </c>
      <c r="AA132" s="1">
        <v>36694483</v>
      </c>
      <c r="AB132" s="1" t="s">
        <v>551</v>
      </c>
      <c r="AC132" s="1"/>
      <c r="AD132" s="1"/>
      <c r="AE132" s="3"/>
      <c r="AF132" s="194" t="s">
        <v>2587</v>
      </c>
      <c r="AG132" s="15" t="s">
        <v>192</v>
      </c>
      <c r="AH132" s="15"/>
    </row>
    <row r="133" spans="1:34" s="4" customFormat="1" x14ac:dyDescent="0.25">
      <c r="A133" s="16">
        <v>891780629</v>
      </c>
      <c r="B133" s="16" t="s">
        <v>54</v>
      </c>
      <c r="C133" s="14" t="s">
        <v>57</v>
      </c>
      <c r="D133" s="16" t="s">
        <v>60</v>
      </c>
      <c r="E133" s="1" t="s">
        <v>2588</v>
      </c>
      <c r="F133" s="16" t="s">
        <v>61</v>
      </c>
      <c r="G133" s="1" t="s">
        <v>69</v>
      </c>
      <c r="H133" s="1" t="s">
        <v>73</v>
      </c>
      <c r="I133" s="9">
        <v>9300000</v>
      </c>
      <c r="J133" s="94"/>
      <c r="K133" s="2"/>
      <c r="L133" s="2"/>
      <c r="M133" s="40">
        <f t="shared" si="6"/>
        <v>9300000</v>
      </c>
      <c r="N133" s="1">
        <v>1083024560</v>
      </c>
      <c r="O133" s="1" t="s">
        <v>2589</v>
      </c>
      <c r="P133" s="1" t="s">
        <v>2590</v>
      </c>
      <c r="Q133" s="3">
        <v>45092</v>
      </c>
      <c r="R133" s="3">
        <v>45092</v>
      </c>
      <c r="S133" s="3">
        <v>45168</v>
      </c>
      <c r="T133" s="35"/>
      <c r="U133" s="3"/>
      <c r="V133" s="3"/>
      <c r="W133" s="50"/>
      <c r="X133" s="9">
        <v>3100000</v>
      </c>
      <c r="Y133" s="9">
        <v>6200000</v>
      </c>
      <c r="Z133" s="34">
        <f t="shared" ref="Z133:Z196" si="9">+(X133/M133)</f>
        <v>0.33333333333333331</v>
      </c>
      <c r="AA133" s="1">
        <v>36694483</v>
      </c>
      <c r="AB133" s="1" t="s">
        <v>551</v>
      </c>
      <c r="AC133" s="1"/>
      <c r="AD133" s="1"/>
      <c r="AE133" s="3"/>
      <c r="AF133" s="194" t="s">
        <v>2591</v>
      </c>
      <c r="AG133" s="15" t="s">
        <v>192</v>
      </c>
      <c r="AH133" s="15"/>
    </row>
    <row r="134" spans="1:34" s="4" customFormat="1" x14ac:dyDescent="0.25">
      <c r="A134" s="16">
        <v>891780630</v>
      </c>
      <c r="B134" s="16" t="s">
        <v>54</v>
      </c>
      <c r="C134" s="14" t="s">
        <v>57</v>
      </c>
      <c r="D134" s="16" t="s">
        <v>60</v>
      </c>
      <c r="E134" s="1" t="s">
        <v>2592</v>
      </c>
      <c r="F134" s="16" t="s">
        <v>61</v>
      </c>
      <c r="G134" s="1" t="s">
        <v>69</v>
      </c>
      <c r="H134" s="1" t="s">
        <v>73</v>
      </c>
      <c r="I134" s="9">
        <v>10200000</v>
      </c>
      <c r="J134" s="94"/>
      <c r="K134" s="2"/>
      <c r="L134" s="2"/>
      <c r="M134" s="40">
        <f t="shared" ref="M134:M197" si="10">I134+K134-L134</f>
        <v>10200000</v>
      </c>
      <c r="N134" s="1">
        <v>1082986157</v>
      </c>
      <c r="O134" s="1" t="s">
        <v>2593</v>
      </c>
      <c r="P134" s="1" t="s">
        <v>2594</v>
      </c>
      <c r="Q134" s="3">
        <v>45092</v>
      </c>
      <c r="R134" s="3">
        <v>45092</v>
      </c>
      <c r="S134" s="3">
        <v>45168</v>
      </c>
      <c r="T134" s="35"/>
      <c r="U134" s="3"/>
      <c r="V134" s="3"/>
      <c r="W134" s="50"/>
      <c r="X134" s="9">
        <v>6800000</v>
      </c>
      <c r="Y134" s="9">
        <v>3400000</v>
      </c>
      <c r="Z134" s="34">
        <f t="shared" si="9"/>
        <v>0.66666666666666663</v>
      </c>
      <c r="AA134" s="1">
        <v>36694483</v>
      </c>
      <c r="AB134" s="1" t="s">
        <v>551</v>
      </c>
      <c r="AC134" s="1"/>
      <c r="AD134" s="1"/>
      <c r="AE134" s="3"/>
      <c r="AF134" s="194" t="s">
        <v>2595</v>
      </c>
      <c r="AG134" s="15" t="s">
        <v>192</v>
      </c>
      <c r="AH134" s="15"/>
    </row>
    <row r="135" spans="1:34" s="4" customFormat="1" x14ac:dyDescent="0.25">
      <c r="A135" s="16">
        <v>891780631</v>
      </c>
      <c r="B135" s="16" t="s">
        <v>54</v>
      </c>
      <c r="C135" s="14" t="s">
        <v>57</v>
      </c>
      <c r="D135" s="16" t="s">
        <v>60</v>
      </c>
      <c r="E135" s="1" t="s">
        <v>2596</v>
      </c>
      <c r="F135" s="16" t="s">
        <v>61</v>
      </c>
      <c r="G135" s="1" t="s">
        <v>69</v>
      </c>
      <c r="H135" s="1" t="s">
        <v>73</v>
      </c>
      <c r="I135" s="9">
        <v>2800000</v>
      </c>
      <c r="J135" s="94"/>
      <c r="K135" s="2"/>
      <c r="L135" s="2"/>
      <c r="M135" s="40">
        <f t="shared" si="10"/>
        <v>2800000</v>
      </c>
      <c r="N135" s="1">
        <v>1118868814</v>
      </c>
      <c r="O135" s="1" t="s">
        <v>804</v>
      </c>
      <c r="P135" s="1" t="s">
        <v>2597</v>
      </c>
      <c r="Q135" s="3">
        <v>45097</v>
      </c>
      <c r="R135" s="3">
        <v>45097</v>
      </c>
      <c r="S135" s="3">
        <v>45107</v>
      </c>
      <c r="T135" s="35"/>
      <c r="U135" s="3"/>
      <c r="V135" s="3"/>
      <c r="W135" s="50"/>
      <c r="X135" s="9">
        <v>2800000</v>
      </c>
      <c r="Y135" s="9">
        <f>M135-X135</f>
        <v>0</v>
      </c>
      <c r="Z135" s="34">
        <f t="shared" si="9"/>
        <v>1</v>
      </c>
      <c r="AA135" s="1">
        <v>52705148</v>
      </c>
      <c r="AB135" s="1" t="s">
        <v>2598</v>
      </c>
      <c r="AC135" s="1"/>
      <c r="AD135" s="1"/>
      <c r="AE135" s="3"/>
      <c r="AF135" s="194" t="s">
        <v>2599</v>
      </c>
      <c r="AG135" s="15" t="s">
        <v>192</v>
      </c>
      <c r="AH135" s="15"/>
    </row>
    <row r="136" spans="1:34" s="4" customFormat="1" x14ac:dyDescent="0.25">
      <c r="A136" s="16">
        <v>891780632</v>
      </c>
      <c r="B136" s="16" t="s">
        <v>54</v>
      </c>
      <c r="C136" s="14" t="s">
        <v>57</v>
      </c>
      <c r="D136" s="16" t="s">
        <v>60</v>
      </c>
      <c r="E136" s="1" t="s">
        <v>2600</v>
      </c>
      <c r="F136" s="16" t="s">
        <v>61</v>
      </c>
      <c r="G136" s="1" t="s">
        <v>69</v>
      </c>
      <c r="H136" s="1" t="s">
        <v>73</v>
      </c>
      <c r="I136" s="9">
        <v>17000000</v>
      </c>
      <c r="J136" s="94"/>
      <c r="K136" s="2"/>
      <c r="L136" s="2"/>
      <c r="M136" s="40">
        <f t="shared" si="10"/>
        <v>17000000</v>
      </c>
      <c r="N136" s="1">
        <v>1082972449</v>
      </c>
      <c r="O136" s="1" t="s">
        <v>2485</v>
      </c>
      <c r="P136" s="1" t="s">
        <v>2601</v>
      </c>
      <c r="Q136" s="3">
        <v>45107</v>
      </c>
      <c r="R136" s="3">
        <v>45108</v>
      </c>
      <c r="S136" s="3">
        <v>45260</v>
      </c>
      <c r="T136" s="35"/>
      <c r="U136" s="3"/>
      <c r="V136" s="3"/>
      <c r="W136" s="50"/>
      <c r="X136" s="9">
        <v>3400000</v>
      </c>
      <c r="Y136" s="9">
        <v>13600000</v>
      </c>
      <c r="Z136" s="34">
        <f t="shared" si="9"/>
        <v>0.2</v>
      </c>
      <c r="AA136" s="1">
        <v>85471791</v>
      </c>
      <c r="AB136" s="1" t="s">
        <v>2487</v>
      </c>
      <c r="AC136" s="1"/>
      <c r="AD136" s="1"/>
      <c r="AE136" s="3"/>
      <c r="AF136" s="194" t="s">
        <v>2602</v>
      </c>
      <c r="AG136" s="15" t="s">
        <v>192</v>
      </c>
      <c r="AH136" s="15"/>
    </row>
    <row r="137" spans="1:34" s="4" customFormat="1" x14ac:dyDescent="0.25">
      <c r="A137" s="16">
        <v>891780633</v>
      </c>
      <c r="B137" s="16" t="s">
        <v>54</v>
      </c>
      <c r="C137" s="14" t="s">
        <v>57</v>
      </c>
      <c r="D137" s="16" t="s">
        <v>60</v>
      </c>
      <c r="E137" s="1" t="s">
        <v>2603</v>
      </c>
      <c r="F137" s="16" t="s">
        <v>61</v>
      </c>
      <c r="G137" s="1" t="s">
        <v>69</v>
      </c>
      <c r="H137" s="1" t="s">
        <v>73</v>
      </c>
      <c r="I137" s="9">
        <v>11500000</v>
      </c>
      <c r="J137" s="94"/>
      <c r="K137" s="2"/>
      <c r="L137" s="2"/>
      <c r="M137" s="40">
        <f t="shared" si="10"/>
        <v>11500000</v>
      </c>
      <c r="N137" s="1">
        <v>85155728</v>
      </c>
      <c r="O137" s="1" t="s">
        <v>2604</v>
      </c>
      <c r="P137" s="1" t="s">
        <v>2605</v>
      </c>
      <c r="Q137" s="3">
        <v>45107</v>
      </c>
      <c r="R137" s="3">
        <v>45111</v>
      </c>
      <c r="S137" s="3">
        <v>45199</v>
      </c>
      <c r="T137" s="35"/>
      <c r="U137" s="3"/>
      <c r="V137" s="3"/>
      <c r="W137" s="50"/>
      <c r="X137" s="9">
        <v>0</v>
      </c>
      <c r="Y137" s="9">
        <v>11500000</v>
      </c>
      <c r="Z137" s="34">
        <f t="shared" si="9"/>
        <v>0</v>
      </c>
      <c r="AA137" s="1">
        <v>72221403</v>
      </c>
      <c r="AB137" s="1" t="s">
        <v>2259</v>
      </c>
      <c r="AC137" s="1"/>
      <c r="AD137" s="1"/>
      <c r="AE137" s="3"/>
      <c r="AF137" s="194" t="s">
        <v>2606</v>
      </c>
      <c r="AG137" s="15" t="s">
        <v>192</v>
      </c>
      <c r="AH137" s="15"/>
    </row>
    <row r="138" spans="1:34" s="4" customFormat="1" x14ac:dyDescent="0.25">
      <c r="A138" s="16">
        <v>891780113</v>
      </c>
      <c r="B138" s="16" t="s">
        <v>54</v>
      </c>
      <c r="C138" s="14" t="s">
        <v>57</v>
      </c>
      <c r="D138" s="16" t="s">
        <v>60</v>
      </c>
      <c r="E138" s="1" t="s">
        <v>2607</v>
      </c>
      <c r="F138" s="16" t="s">
        <v>61</v>
      </c>
      <c r="G138" s="1" t="s">
        <v>69</v>
      </c>
      <c r="H138" s="1" t="s">
        <v>73</v>
      </c>
      <c r="I138" s="9">
        <v>900000</v>
      </c>
      <c r="J138" s="94"/>
      <c r="K138" s="2"/>
      <c r="L138" s="2"/>
      <c r="M138" s="40">
        <f t="shared" si="10"/>
        <v>900000</v>
      </c>
      <c r="N138" s="1">
        <v>72261067</v>
      </c>
      <c r="O138" s="1" t="s">
        <v>2608</v>
      </c>
      <c r="P138" s="1" t="s">
        <v>2609</v>
      </c>
      <c r="Q138" s="3">
        <v>45126</v>
      </c>
      <c r="R138" s="3">
        <v>45126</v>
      </c>
      <c r="S138" s="3">
        <v>45138</v>
      </c>
      <c r="T138" s="35"/>
      <c r="U138" s="3"/>
      <c r="V138" s="3"/>
      <c r="W138" s="50"/>
      <c r="X138" s="9">
        <v>0</v>
      </c>
      <c r="Y138" s="9">
        <v>900000</v>
      </c>
      <c r="Z138" s="34">
        <f t="shared" si="9"/>
        <v>0</v>
      </c>
      <c r="AA138" s="1">
        <v>72221403</v>
      </c>
      <c r="AB138" s="1" t="s">
        <v>2259</v>
      </c>
      <c r="AC138" s="1"/>
      <c r="AD138" s="1"/>
      <c r="AE138" s="3"/>
      <c r="AF138" s="194" t="s">
        <v>2610</v>
      </c>
      <c r="AG138" s="15" t="s">
        <v>192</v>
      </c>
      <c r="AH138" s="15"/>
    </row>
    <row r="139" spans="1:34" s="4" customFormat="1" x14ac:dyDescent="0.25">
      <c r="A139" s="16">
        <v>891780113</v>
      </c>
      <c r="B139" s="16" t="s">
        <v>54</v>
      </c>
      <c r="C139" s="14" t="s">
        <v>57</v>
      </c>
      <c r="D139" s="16" t="s">
        <v>60</v>
      </c>
      <c r="E139" s="1" t="s">
        <v>2611</v>
      </c>
      <c r="F139" s="16" t="s">
        <v>61</v>
      </c>
      <c r="G139" s="1" t="s">
        <v>69</v>
      </c>
      <c r="H139" s="1" t="s">
        <v>73</v>
      </c>
      <c r="I139" s="9">
        <v>9000000</v>
      </c>
      <c r="J139" s="94"/>
      <c r="K139" s="2"/>
      <c r="L139" s="2"/>
      <c r="M139" s="40">
        <f t="shared" si="10"/>
        <v>9000000</v>
      </c>
      <c r="N139" s="1" t="s">
        <v>2612</v>
      </c>
      <c r="O139" s="1" t="s">
        <v>2613</v>
      </c>
      <c r="P139" s="1" t="s">
        <v>2614</v>
      </c>
      <c r="Q139" s="3">
        <v>45134</v>
      </c>
      <c r="R139" s="3">
        <v>45134</v>
      </c>
      <c r="S139" s="3">
        <v>45126</v>
      </c>
      <c r="T139" s="35"/>
      <c r="U139" s="3"/>
      <c r="V139" s="3"/>
      <c r="W139" s="50"/>
      <c r="X139" s="9">
        <v>0</v>
      </c>
      <c r="Y139" s="9">
        <v>9000000</v>
      </c>
      <c r="Z139" s="34">
        <f t="shared" si="9"/>
        <v>0</v>
      </c>
      <c r="AA139" s="1">
        <v>12564670</v>
      </c>
      <c r="AB139" s="1" t="s">
        <v>2466</v>
      </c>
      <c r="AC139" s="1"/>
      <c r="AD139" s="1"/>
      <c r="AE139" s="3"/>
      <c r="AF139" s="194" t="s">
        <v>2615</v>
      </c>
      <c r="AG139" s="15" t="s">
        <v>192</v>
      </c>
      <c r="AH139" s="15"/>
    </row>
    <row r="140" spans="1:34" s="4" customFormat="1" x14ac:dyDescent="0.25">
      <c r="A140" s="16">
        <v>891780113</v>
      </c>
      <c r="B140" s="16" t="s">
        <v>54</v>
      </c>
      <c r="C140" s="14" t="s">
        <v>57</v>
      </c>
      <c r="D140" s="16" t="s">
        <v>60</v>
      </c>
      <c r="E140" s="1" t="s">
        <v>2616</v>
      </c>
      <c r="F140" s="16" t="s">
        <v>61</v>
      </c>
      <c r="G140" s="1" t="s">
        <v>69</v>
      </c>
      <c r="H140" s="1" t="s">
        <v>73</v>
      </c>
      <c r="I140" s="9">
        <v>13600000</v>
      </c>
      <c r="J140" s="94"/>
      <c r="K140" s="2"/>
      <c r="L140" s="2"/>
      <c r="M140" s="40">
        <f t="shared" si="10"/>
        <v>13600000</v>
      </c>
      <c r="N140" s="1">
        <v>1082942381</v>
      </c>
      <c r="O140" s="1" t="s">
        <v>2445</v>
      </c>
      <c r="P140" s="1" t="s">
        <v>2617</v>
      </c>
      <c r="Q140" s="3">
        <v>45134</v>
      </c>
      <c r="R140" s="3">
        <v>45139</v>
      </c>
      <c r="S140" s="3">
        <v>45260</v>
      </c>
      <c r="T140" s="35"/>
      <c r="U140" s="3"/>
      <c r="V140" s="3"/>
      <c r="W140" s="50"/>
      <c r="X140" s="9">
        <v>0</v>
      </c>
      <c r="Y140" s="9">
        <v>13600000</v>
      </c>
      <c r="Z140" s="34">
        <f t="shared" si="9"/>
        <v>0</v>
      </c>
      <c r="AA140" s="1">
        <v>57294316</v>
      </c>
      <c r="AB140" s="1" t="s">
        <v>2434</v>
      </c>
      <c r="AC140" s="1"/>
      <c r="AD140" s="1"/>
      <c r="AE140" s="3"/>
      <c r="AF140" s="194" t="s">
        <v>2618</v>
      </c>
      <c r="AG140" s="15" t="s">
        <v>2619</v>
      </c>
      <c r="AH140" s="15"/>
    </row>
    <row r="141" spans="1:34" s="4" customFormat="1" x14ac:dyDescent="0.25">
      <c r="A141" s="16">
        <v>891780113</v>
      </c>
      <c r="B141" s="16" t="s">
        <v>54</v>
      </c>
      <c r="C141" s="14" t="s">
        <v>57</v>
      </c>
      <c r="D141" s="16" t="s">
        <v>60</v>
      </c>
      <c r="E141" s="1" t="s">
        <v>2620</v>
      </c>
      <c r="F141" s="16" t="s">
        <v>61</v>
      </c>
      <c r="G141" s="1" t="s">
        <v>69</v>
      </c>
      <c r="H141" s="1" t="s">
        <v>73</v>
      </c>
      <c r="I141" s="9">
        <v>13600000</v>
      </c>
      <c r="J141" s="94"/>
      <c r="K141" s="2"/>
      <c r="L141" s="2"/>
      <c r="M141" s="40">
        <f t="shared" si="10"/>
        <v>13600000</v>
      </c>
      <c r="N141" s="1">
        <v>1082950843</v>
      </c>
      <c r="O141" s="1" t="s">
        <v>2441</v>
      </c>
      <c r="P141" s="1" t="s">
        <v>2621</v>
      </c>
      <c r="Q141" s="3">
        <v>45134</v>
      </c>
      <c r="R141" s="3">
        <v>45139</v>
      </c>
      <c r="S141" s="3">
        <v>45260</v>
      </c>
      <c r="T141" s="35"/>
      <c r="U141" s="3"/>
      <c r="V141" s="3"/>
      <c r="W141" s="50"/>
      <c r="X141" s="9">
        <v>0</v>
      </c>
      <c r="Y141" s="9">
        <v>13600000</v>
      </c>
      <c r="Z141" s="34">
        <f t="shared" si="9"/>
        <v>0</v>
      </c>
      <c r="AA141" s="1">
        <v>57294316</v>
      </c>
      <c r="AB141" s="1" t="s">
        <v>2434</v>
      </c>
      <c r="AC141" s="1"/>
      <c r="AD141" s="1"/>
      <c r="AE141" s="3"/>
      <c r="AF141" s="194" t="s">
        <v>2622</v>
      </c>
      <c r="AG141" s="15" t="s">
        <v>2619</v>
      </c>
      <c r="AH141" s="15"/>
    </row>
    <row r="142" spans="1:34" s="4" customFormat="1" x14ac:dyDescent="0.25">
      <c r="A142" s="16">
        <v>891780113</v>
      </c>
      <c r="B142" s="16" t="s">
        <v>54</v>
      </c>
      <c r="C142" s="14" t="s">
        <v>57</v>
      </c>
      <c r="D142" s="16" t="s">
        <v>60</v>
      </c>
      <c r="E142" s="1" t="s">
        <v>2623</v>
      </c>
      <c r="F142" s="16" t="s">
        <v>61</v>
      </c>
      <c r="G142" s="1" t="s">
        <v>69</v>
      </c>
      <c r="H142" s="1" t="s">
        <v>73</v>
      </c>
      <c r="I142" s="9">
        <v>2160000</v>
      </c>
      <c r="J142" s="94"/>
      <c r="K142" s="2"/>
      <c r="L142" s="2"/>
      <c r="M142" s="40">
        <f t="shared" si="10"/>
        <v>2160000</v>
      </c>
      <c r="N142" s="1">
        <v>72006457</v>
      </c>
      <c r="O142" s="1" t="s">
        <v>2624</v>
      </c>
      <c r="P142" s="1" t="s">
        <v>2625</v>
      </c>
      <c r="Q142" s="3">
        <v>45134</v>
      </c>
      <c r="R142" s="3">
        <v>45139</v>
      </c>
      <c r="S142" s="3">
        <v>45159</v>
      </c>
      <c r="T142" s="35"/>
      <c r="U142" s="3"/>
      <c r="V142" s="3"/>
      <c r="W142" s="50"/>
      <c r="X142" s="9">
        <v>0</v>
      </c>
      <c r="Y142" s="9">
        <v>2160000</v>
      </c>
      <c r="Z142" s="34">
        <f t="shared" si="9"/>
        <v>0</v>
      </c>
      <c r="AA142" s="1">
        <v>72221403</v>
      </c>
      <c r="AB142" s="1" t="s">
        <v>2259</v>
      </c>
      <c r="AC142" s="1"/>
      <c r="AD142" s="1"/>
      <c r="AE142" s="3"/>
      <c r="AF142" s="194" t="s">
        <v>2626</v>
      </c>
      <c r="AG142" s="15" t="s">
        <v>2619</v>
      </c>
      <c r="AH142" s="15"/>
    </row>
    <row r="143" spans="1:34" s="4" customFormat="1" x14ac:dyDescent="0.25">
      <c r="A143" s="16">
        <v>891780113</v>
      </c>
      <c r="B143" s="16" t="s">
        <v>54</v>
      </c>
      <c r="C143" s="14" t="s">
        <v>2627</v>
      </c>
      <c r="D143" s="16" t="s">
        <v>60</v>
      </c>
      <c r="E143" s="1" t="s">
        <v>2628</v>
      </c>
      <c r="F143" s="16" t="s">
        <v>61</v>
      </c>
      <c r="G143" s="1" t="s">
        <v>69</v>
      </c>
      <c r="H143" s="1" t="s">
        <v>2629</v>
      </c>
      <c r="I143" s="9">
        <v>22979040</v>
      </c>
      <c r="J143" s="94"/>
      <c r="K143" s="2"/>
      <c r="L143" s="2"/>
      <c r="M143" s="40">
        <f t="shared" si="10"/>
        <v>22979040</v>
      </c>
      <c r="N143" s="1">
        <v>1082838731</v>
      </c>
      <c r="O143" s="1" t="s">
        <v>2630</v>
      </c>
      <c r="P143" s="1" t="s">
        <v>2631</v>
      </c>
      <c r="Q143" s="3">
        <v>44964</v>
      </c>
      <c r="R143" s="3">
        <v>44964</v>
      </c>
      <c r="S143" s="3">
        <v>45275</v>
      </c>
      <c r="T143" s="35"/>
      <c r="U143" s="3"/>
      <c r="V143" s="3"/>
      <c r="W143" s="50"/>
      <c r="X143" s="9">
        <v>10942400</v>
      </c>
      <c r="Y143" s="9">
        <v>12036640</v>
      </c>
      <c r="Z143" s="34">
        <f t="shared" si="9"/>
        <v>0.47619047619047616</v>
      </c>
      <c r="AA143" s="1">
        <v>12545859</v>
      </c>
      <c r="AB143" s="1" t="s">
        <v>2632</v>
      </c>
      <c r="AC143" s="1"/>
      <c r="AD143" s="1"/>
      <c r="AE143" s="3"/>
      <c r="AF143" s="194" t="s">
        <v>2633</v>
      </c>
      <c r="AG143" s="15" t="s">
        <v>192</v>
      </c>
      <c r="AH143" s="15" t="s">
        <v>192</v>
      </c>
    </row>
    <row r="144" spans="1:34" s="4" customFormat="1" x14ac:dyDescent="0.25">
      <c r="A144" s="16">
        <v>891780114</v>
      </c>
      <c r="B144" s="16" t="s">
        <v>54</v>
      </c>
      <c r="C144" s="14" t="s">
        <v>2627</v>
      </c>
      <c r="D144" s="16" t="s">
        <v>60</v>
      </c>
      <c r="E144" s="1" t="s">
        <v>2634</v>
      </c>
      <c r="F144" s="16" t="s">
        <v>61</v>
      </c>
      <c r="G144" s="1" t="s">
        <v>69</v>
      </c>
      <c r="H144" s="1" t="s">
        <v>2629</v>
      </c>
      <c r="I144" s="9">
        <v>19048225</v>
      </c>
      <c r="J144" s="94"/>
      <c r="K144" s="2"/>
      <c r="L144" s="2"/>
      <c r="M144" s="40">
        <f t="shared" si="10"/>
        <v>19048225</v>
      </c>
      <c r="N144" s="1">
        <v>73595301</v>
      </c>
      <c r="O144" s="1" t="s">
        <v>2635</v>
      </c>
      <c r="P144" s="1" t="s">
        <v>2636</v>
      </c>
      <c r="Q144" s="3">
        <v>44964</v>
      </c>
      <c r="R144" s="3">
        <v>44964</v>
      </c>
      <c r="S144" s="3">
        <v>45275</v>
      </c>
      <c r="T144" s="35"/>
      <c r="U144" s="3"/>
      <c r="V144" s="3"/>
      <c r="W144" s="50"/>
      <c r="X144" s="9">
        <v>9070585</v>
      </c>
      <c r="Y144" s="9">
        <v>9977640</v>
      </c>
      <c r="Z144" s="34">
        <f t="shared" si="9"/>
        <v>0.47619056368769269</v>
      </c>
      <c r="AA144" s="1">
        <v>12545859</v>
      </c>
      <c r="AB144" s="1" t="s">
        <v>2632</v>
      </c>
      <c r="AC144" s="1"/>
      <c r="AD144" s="1"/>
      <c r="AE144" s="3"/>
      <c r="AF144" s="194" t="s">
        <v>2637</v>
      </c>
      <c r="AG144" s="15" t="s">
        <v>192</v>
      </c>
      <c r="AH144" s="15" t="s">
        <v>192</v>
      </c>
    </row>
    <row r="145" spans="1:34" s="4" customFormat="1" x14ac:dyDescent="0.25">
      <c r="A145" s="16">
        <v>891780115</v>
      </c>
      <c r="B145" s="16" t="s">
        <v>54</v>
      </c>
      <c r="C145" s="14" t="s">
        <v>2627</v>
      </c>
      <c r="D145" s="16" t="s">
        <v>60</v>
      </c>
      <c r="E145" s="1" t="s">
        <v>2638</v>
      </c>
      <c r="F145" s="16" t="s">
        <v>61</v>
      </c>
      <c r="G145" s="1" t="s">
        <v>69</v>
      </c>
      <c r="H145" s="1" t="s">
        <v>2629</v>
      </c>
      <c r="I145" s="9">
        <v>19048225</v>
      </c>
      <c r="J145" s="94"/>
      <c r="K145" s="2"/>
      <c r="L145" s="2"/>
      <c r="M145" s="40">
        <f t="shared" si="10"/>
        <v>19048225</v>
      </c>
      <c r="N145" s="1">
        <v>1192716638</v>
      </c>
      <c r="O145" s="1" t="s">
        <v>2639</v>
      </c>
      <c r="P145" s="1" t="s">
        <v>2636</v>
      </c>
      <c r="Q145" s="3">
        <v>44964</v>
      </c>
      <c r="R145" s="3">
        <v>44964</v>
      </c>
      <c r="S145" s="3">
        <v>45275</v>
      </c>
      <c r="T145" s="35"/>
      <c r="U145" s="3"/>
      <c r="V145" s="3"/>
      <c r="W145" s="50"/>
      <c r="X145" s="9">
        <v>7256708</v>
      </c>
      <c r="Y145" s="9">
        <v>11791517</v>
      </c>
      <c r="Z145" s="34">
        <f t="shared" si="9"/>
        <v>0.38096505054932939</v>
      </c>
      <c r="AA145" s="1">
        <v>12545859</v>
      </c>
      <c r="AB145" s="1" t="s">
        <v>2632</v>
      </c>
      <c r="AC145" s="1"/>
      <c r="AD145" s="1"/>
      <c r="AE145" s="3"/>
      <c r="AF145" s="194" t="s">
        <v>2640</v>
      </c>
      <c r="AG145" s="15" t="s">
        <v>192</v>
      </c>
      <c r="AH145" s="15" t="s">
        <v>192</v>
      </c>
    </row>
    <row r="146" spans="1:34" s="4" customFormat="1" x14ac:dyDescent="0.25">
      <c r="A146" s="16">
        <v>891780116</v>
      </c>
      <c r="B146" s="16" t="s">
        <v>54</v>
      </c>
      <c r="C146" s="14" t="s">
        <v>2627</v>
      </c>
      <c r="D146" s="16" t="s">
        <v>60</v>
      </c>
      <c r="E146" s="1" t="s">
        <v>2641</v>
      </c>
      <c r="F146" s="16" t="s">
        <v>61</v>
      </c>
      <c r="G146" s="1" t="s">
        <v>69</v>
      </c>
      <c r="H146" s="1" t="s">
        <v>2629</v>
      </c>
      <c r="I146" s="9">
        <v>17482875</v>
      </c>
      <c r="J146" s="94"/>
      <c r="K146" s="2"/>
      <c r="L146" s="2"/>
      <c r="M146" s="40">
        <f t="shared" si="10"/>
        <v>17482875</v>
      </c>
      <c r="N146" s="1">
        <v>40848916</v>
      </c>
      <c r="O146" s="1" t="s">
        <v>2642</v>
      </c>
      <c r="P146" s="1" t="s">
        <v>2643</v>
      </c>
      <c r="Q146" s="3">
        <v>44964</v>
      </c>
      <c r="R146" s="3">
        <v>44964</v>
      </c>
      <c r="S146" s="3">
        <v>45275</v>
      </c>
      <c r="T146" s="35"/>
      <c r="U146" s="3"/>
      <c r="V146" s="3"/>
      <c r="W146" s="50"/>
      <c r="X146" s="9">
        <v>6660144</v>
      </c>
      <c r="Y146" s="9">
        <v>10822731</v>
      </c>
      <c r="Z146" s="34">
        <f t="shared" si="9"/>
        <v>0.38095244632247272</v>
      </c>
      <c r="AA146" s="1">
        <v>12545859</v>
      </c>
      <c r="AB146" s="1" t="s">
        <v>2632</v>
      </c>
      <c r="AC146" s="1"/>
      <c r="AD146" s="1"/>
      <c r="AE146" s="3"/>
      <c r="AF146" s="194" t="s">
        <v>2644</v>
      </c>
      <c r="AG146" s="15" t="s">
        <v>192</v>
      </c>
      <c r="AH146" s="15" t="s">
        <v>192</v>
      </c>
    </row>
    <row r="147" spans="1:34" s="4" customFormat="1" x14ac:dyDescent="0.25">
      <c r="A147" s="16">
        <v>891780117</v>
      </c>
      <c r="B147" s="16" t="s">
        <v>54</v>
      </c>
      <c r="C147" s="14" t="s">
        <v>2627</v>
      </c>
      <c r="D147" s="16" t="s">
        <v>60</v>
      </c>
      <c r="E147" s="1" t="s">
        <v>2645</v>
      </c>
      <c r="F147" s="16" t="s">
        <v>61</v>
      </c>
      <c r="G147" s="1" t="s">
        <v>69</v>
      </c>
      <c r="H147" s="1" t="s">
        <v>2629</v>
      </c>
      <c r="I147" s="9">
        <v>17143399</v>
      </c>
      <c r="J147" s="94"/>
      <c r="K147" s="2"/>
      <c r="L147" s="2"/>
      <c r="M147" s="40">
        <f t="shared" si="10"/>
        <v>17143399</v>
      </c>
      <c r="N147" s="1">
        <v>1118806257</v>
      </c>
      <c r="O147" s="1" t="s">
        <v>2646</v>
      </c>
      <c r="P147" s="1" t="s">
        <v>2647</v>
      </c>
      <c r="Q147" s="3">
        <v>44964</v>
      </c>
      <c r="R147" s="3">
        <v>44964</v>
      </c>
      <c r="S147" s="3">
        <v>45275</v>
      </c>
      <c r="T147" s="35"/>
      <c r="U147" s="3"/>
      <c r="V147" s="3"/>
      <c r="W147" s="50"/>
      <c r="X147" s="9">
        <v>3265410</v>
      </c>
      <c r="Y147" s="9">
        <v>13877989</v>
      </c>
      <c r="Z147" s="34">
        <f t="shared" si="9"/>
        <v>0.1904762293638502</v>
      </c>
      <c r="AA147" s="1">
        <v>12545859</v>
      </c>
      <c r="AB147" s="1" t="s">
        <v>2632</v>
      </c>
      <c r="AC147" s="1"/>
      <c r="AD147" s="1"/>
      <c r="AE147" s="3"/>
      <c r="AF147" s="194" t="s">
        <v>2648</v>
      </c>
      <c r="AG147" s="15" t="s">
        <v>192</v>
      </c>
      <c r="AH147" s="15" t="s">
        <v>192</v>
      </c>
    </row>
    <row r="148" spans="1:34" s="4" customFormat="1" x14ac:dyDescent="0.25">
      <c r="A148" s="16">
        <v>891780118</v>
      </c>
      <c r="B148" s="16" t="s">
        <v>54</v>
      </c>
      <c r="C148" s="14" t="s">
        <v>2627</v>
      </c>
      <c r="D148" s="16" t="s">
        <v>60</v>
      </c>
      <c r="E148" s="1" t="s">
        <v>2649</v>
      </c>
      <c r="F148" s="16" t="s">
        <v>61</v>
      </c>
      <c r="G148" s="1" t="s">
        <v>69</v>
      </c>
      <c r="H148" s="1" t="s">
        <v>2629</v>
      </c>
      <c r="I148" s="9">
        <v>19425427</v>
      </c>
      <c r="J148" s="94"/>
      <c r="K148" s="2"/>
      <c r="L148" s="2"/>
      <c r="M148" s="40">
        <f t="shared" si="10"/>
        <v>19425427</v>
      </c>
      <c r="N148" s="1">
        <v>84091578</v>
      </c>
      <c r="O148" s="1" t="s">
        <v>2650</v>
      </c>
      <c r="P148" s="1" t="s">
        <v>2651</v>
      </c>
      <c r="Q148" s="3">
        <v>44964</v>
      </c>
      <c r="R148" s="3">
        <v>44964</v>
      </c>
      <c r="S148" s="3">
        <v>45275</v>
      </c>
      <c r="T148" s="35"/>
      <c r="U148" s="3"/>
      <c r="V148" s="3"/>
      <c r="W148" s="50"/>
      <c r="X148" s="9">
        <v>9250205</v>
      </c>
      <c r="Y148" s="9">
        <v>10175222</v>
      </c>
      <c r="Z148" s="34">
        <f t="shared" si="9"/>
        <v>0.47619056198867599</v>
      </c>
      <c r="AA148" s="1">
        <v>12545859</v>
      </c>
      <c r="AB148" s="1" t="s">
        <v>2632</v>
      </c>
      <c r="AC148" s="1"/>
      <c r="AD148" s="1"/>
      <c r="AE148" s="3"/>
      <c r="AF148" s="194" t="s">
        <v>2652</v>
      </c>
      <c r="AG148" s="15" t="s">
        <v>192</v>
      </c>
      <c r="AH148" s="15" t="s">
        <v>192</v>
      </c>
    </row>
    <row r="149" spans="1:34" s="4" customFormat="1" x14ac:dyDescent="0.25">
      <c r="A149" s="16">
        <v>891780119</v>
      </c>
      <c r="B149" s="16" t="s">
        <v>54</v>
      </c>
      <c r="C149" s="14" t="s">
        <v>2627</v>
      </c>
      <c r="D149" s="16" t="s">
        <v>60</v>
      </c>
      <c r="E149" s="1" t="s">
        <v>2653</v>
      </c>
      <c r="F149" s="16" t="s">
        <v>61</v>
      </c>
      <c r="G149" s="1" t="s">
        <v>69</v>
      </c>
      <c r="H149" s="1" t="s">
        <v>2629</v>
      </c>
      <c r="I149" s="9">
        <v>19425427</v>
      </c>
      <c r="J149" s="94"/>
      <c r="K149" s="2"/>
      <c r="L149" s="2"/>
      <c r="M149" s="40">
        <f t="shared" si="10"/>
        <v>19425427</v>
      </c>
      <c r="N149" s="1">
        <v>1005412335</v>
      </c>
      <c r="O149" s="1" t="s">
        <v>2654</v>
      </c>
      <c r="P149" s="1" t="s">
        <v>2651</v>
      </c>
      <c r="Q149" s="3">
        <v>44964</v>
      </c>
      <c r="R149" s="3">
        <v>44964</v>
      </c>
      <c r="S149" s="3">
        <v>45275</v>
      </c>
      <c r="T149" s="35"/>
      <c r="U149" s="3"/>
      <c r="V149" s="3"/>
      <c r="W149" s="50"/>
      <c r="X149" s="9">
        <v>9250205</v>
      </c>
      <c r="Y149" s="9">
        <v>10175222</v>
      </c>
      <c r="Z149" s="34">
        <f t="shared" si="9"/>
        <v>0.47619056198867599</v>
      </c>
      <c r="AA149" s="1">
        <v>12545859</v>
      </c>
      <c r="AB149" s="1" t="s">
        <v>2632</v>
      </c>
      <c r="AC149" s="1"/>
      <c r="AD149" s="1"/>
      <c r="AE149" s="3"/>
      <c r="AF149" s="194" t="s">
        <v>2655</v>
      </c>
      <c r="AG149" s="15" t="s">
        <v>192</v>
      </c>
      <c r="AH149" s="15" t="s">
        <v>192</v>
      </c>
    </row>
    <row r="150" spans="1:34" s="4" customFormat="1" x14ac:dyDescent="0.25">
      <c r="A150" s="16">
        <v>891780120</v>
      </c>
      <c r="B150" s="16" t="s">
        <v>54</v>
      </c>
      <c r="C150" s="14" t="s">
        <v>2627</v>
      </c>
      <c r="D150" s="16" t="s">
        <v>60</v>
      </c>
      <c r="E150" s="1" t="s">
        <v>2656</v>
      </c>
      <c r="F150" s="16" t="s">
        <v>61</v>
      </c>
      <c r="G150" s="1" t="s">
        <v>69</v>
      </c>
      <c r="H150" s="1" t="s">
        <v>2629</v>
      </c>
      <c r="I150" s="9">
        <v>19425415</v>
      </c>
      <c r="J150" s="94"/>
      <c r="K150" s="2"/>
      <c r="L150" s="2"/>
      <c r="M150" s="40">
        <f t="shared" si="10"/>
        <v>19425415</v>
      </c>
      <c r="N150" s="1">
        <v>84029005</v>
      </c>
      <c r="O150" s="1" t="s">
        <v>2657</v>
      </c>
      <c r="P150" s="1" t="s">
        <v>2651</v>
      </c>
      <c r="Q150" s="3">
        <v>44964</v>
      </c>
      <c r="R150" s="3">
        <v>44964</v>
      </c>
      <c r="S150" s="3">
        <v>45275</v>
      </c>
      <c r="T150" s="35"/>
      <c r="U150" s="3"/>
      <c r="V150" s="3"/>
      <c r="W150" s="50"/>
      <c r="X150" s="9">
        <v>9250200</v>
      </c>
      <c r="Y150" s="9">
        <v>10175215</v>
      </c>
      <c r="Z150" s="34">
        <f t="shared" si="9"/>
        <v>0.47619059875940872</v>
      </c>
      <c r="AA150" s="1">
        <v>12545859</v>
      </c>
      <c r="AB150" s="1" t="s">
        <v>2632</v>
      </c>
      <c r="AC150" s="1"/>
      <c r="AD150" s="1"/>
      <c r="AE150" s="3"/>
      <c r="AF150" s="194" t="s">
        <v>2658</v>
      </c>
      <c r="AG150" s="15" t="s">
        <v>192</v>
      </c>
      <c r="AH150" s="15" t="s">
        <v>192</v>
      </c>
    </row>
    <row r="151" spans="1:34" s="4" customFormat="1" x14ac:dyDescent="0.25">
      <c r="A151" s="16">
        <v>891780121</v>
      </c>
      <c r="B151" s="16" t="s">
        <v>54</v>
      </c>
      <c r="C151" s="14" t="s">
        <v>2627</v>
      </c>
      <c r="D151" s="16" t="s">
        <v>60</v>
      </c>
      <c r="E151" s="1" t="s">
        <v>2659</v>
      </c>
      <c r="F151" s="16" t="s">
        <v>61</v>
      </c>
      <c r="G151" s="1" t="s">
        <v>69</v>
      </c>
      <c r="H151" s="1" t="s">
        <v>2629</v>
      </c>
      <c r="I151" s="9">
        <v>19048225</v>
      </c>
      <c r="J151" s="94"/>
      <c r="K151" s="2"/>
      <c r="L151" s="2"/>
      <c r="M151" s="40">
        <f t="shared" si="10"/>
        <v>19048225</v>
      </c>
      <c r="N151" s="1">
        <v>45544309</v>
      </c>
      <c r="O151" s="1" t="s">
        <v>2660</v>
      </c>
      <c r="P151" s="1" t="s">
        <v>2636</v>
      </c>
      <c r="Q151" s="3">
        <v>44964</v>
      </c>
      <c r="R151" s="3">
        <v>44964</v>
      </c>
      <c r="S151" s="3">
        <v>45275</v>
      </c>
      <c r="T151" s="35"/>
      <c r="U151" s="3"/>
      <c r="V151" s="3"/>
      <c r="W151" s="50"/>
      <c r="X151" s="9">
        <v>9070585</v>
      </c>
      <c r="Y151" s="9">
        <v>9977640</v>
      </c>
      <c r="Z151" s="34">
        <f t="shared" si="9"/>
        <v>0.47619056368769269</v>
      </c>
      <c r="AA151" s="1">
        <v>12545859</v>
      </c>
      <c r="AB151" s="1" t="s">
        <v>2632</v>
      </c>
      <c r="AC151" s="1"/>
      <c r="AD151" s="1"/>
      <c r="AE151" s="3"/>
      <c r="AF151" s="194" t="s">
        <v>2661</v>
      </c>
      <c r="AG151" s="15" t="s">
        <v>192</v>
      </c>
      <c r="AH151" s="15" t="s">
        <v>192</v>
      </c>
    </row>
    <row r="152" spans="1:34" s="4" customFormat="1" x14ac:dyDescent="0.25">
      <c r="A152" s="16">
        <v>891780122</v>
      </c>
      <c r="B152" s="16" t="s">
        <v>54</v>
      </c>
      <c r="C152" s="14" t="s">
        <v>2627</v>
      </c>
      <c r="D152" s="16" t="s">
        <v>60</v>
      </c>
      <c r="E152" s="1" t="s">
        <v>2662</v>
      </c>
      <c r="F152" s="16" t="s">
        <v>61</v>
      </c>
      <c r="G152" s="1" t="s">
        <v>69</v>
      </c>
      <c r="H152" s="1" t="s">
        <v>2629</v>
      </c>
      <c r="I152" s="9">
        <v>19048225</v>
      </c>
      <c r="J152" s="94"/>
      <c r="K152" s="2"/>
      <c r="L152" s="2"/>
      <c r="M152" s="40">
        <f t="shared" si="10"/>
        <v>19048225</v>
      </c>
      <c r="N152" s="1">
        <v>5185146</v>
      </c>
      <c r="O152" s="1" t="s">
        <v>2663</v>
      </c>
      <c r="P152" s="1" t="s">
        <v>2636</v>
      </c>
      <c r="Q152" s="3">
        <v>44964</v>
      </c>
      <c r="R152" s="3">
        <v>44964</v>
      </c>
      <c r="S152" s="3">
        <v>45275</v>
      </c>
      <c r="T152" s="35"/>
      <c r="U152" s="3"/>
      <c r="V152" s="3"/>
      <c r="W152" s="50"/>
      <c r="X152" s="9">
        <v>9070585</v>
      </c>
      <c r="Y152" s="9">
        <v>9977640</v>
      </c>
      <c r="Z152" s="34">
        <f t="shared" si="9"/>
        <v>0.47619056368769269</v>
      </c>
      <c r="AA152" s="1">
        <v>12545859</v>
      </c>
      <c r="AB152" s="1" t="s">
        <v>2632</v>
      </c>
      <c r="AC152" s="1"/>
      <c r="AD152" s="1"/>
      <c r="AE152" s="3"/>
      <c r="AF152" s="194" t="s">
        <v>2664</v>
      </c>
      <c r="AG152" s="15" t="s">
        <v>192</v>
      </c>
      <c r="AH152" s="15" t="s">
        <v>192</v>
      </c>
    </row>
    <row r="153" spans="1:34" s="4" customFormat="1" x14ac:dyDescent="0.25">
      <c r="A153" s="16">
        <v>891780123</v>
      </c>
      <c r="B153" s="16" t="s">
        <v>54</v>
      </c>
      <c r="C153" s="14" t="s">
        <v>2627</v>
      </c>
      <c r="D153" s="16" t="s">
        <v>60</v>
      </c>
      <c r="E153" s="1" t="s">
        <v>2665</v>
      </c>
      <c r="F153" s="16" t="s">
        <v>61</v>
      </c>
      <c r="G153" s="1" t="s">
        <v>69</v>
      </c>
      <c r="H153" s="1" t="s">
        <v>2629</v>
      </c>
      <c r="I153" s="9">
        <v>19425415</v>
      </c>
      <c r="J153" s="94"/>
      <c r="K153" s="2"/>
      <c r="L153" s="2"/>
      <c r="M153" s="40">
        <f t="shared" si="10"/>
        <v>19425415</v>
      </c>
      <c r="N153" s="1">
        <v>8853927</v>
      </c>
      <c r="O153" s="1" t="s">
        <v>2666</v>
      </c>
      <c r="P153" s="1" t="s">
        <v>2651</v>
      </c>
      <c r="Q153" s="3">
        <v>44964</v>
      </c>
      <c r="R153" s="3">
        <v>44964</v>
      </c>
      <c r="S153" s="3">
        <v>45275</v>
      </c>
      <c r="T153" s="35"/>
      <c r="U153" s="3"/>
      <c r="V153" s="3"/>
      <c r="W153" s="50"/>
      <c r="X153" s="9">
        <v>9250200</v>
      </c>
      <c r="Y153" s="9">
        <v>10175215</v>
      </c>
      <c r="Z153" s="34">
        <f t="shared" si="9"/>
        <v>0.47619059875940872</v>
      </c>
      <c r="AA153" s="1">
        <v>12545859</v>
      </c>
      <c r="AB153" s="1" t="s">
        <v>2632</v>
      </c>
      <c r="AC153" s="1"/>
      <c r="AD153" s="1"/>
      <c r="AE153" s="3"/>
      <c r="AF153" s="194" t="s">
        <v>2667</v>
      </c>
      <c r="AG153" s="15" t="s">
        <v>192</v>
      </c>
      <c r="AH153" s="15" t="s">
        <v>192</v>
      </c>
    </row>
    <row r="154" spans="1:34" s="4" customFormat="1" x14ac:dyDescent="0.25">
      <c r="A154" s="16">
        <v>891780124</v>
      </c>
      <c r="B154" s="16" t="s">
        <v>54</v>
      </c>
      <c r="C154" s="14" t="s">
        <v>2627</v>
      </c>
      <c r="D154" s="16" t="s">
        <v>60</v>
      </c>
      <c r="E154" s="1" t="s">
        <v>2668</v>
      </c>
      <c r="F154" s="16" t="s">
        <v>61</v>
      </c>
      <c r="G154" s="1" t="s">
        <v>69</v>
      </c>
      <c r="H154" s="1" t="s">
        <v>2629</v>
      </c>
      <c r="I154" s="9">
        <v>19425415</v>
      </c>
      <c r="J154" s="94"/>
      <c r="K154" s="2"/>
      <c r="L154" s="2"/>
      <c r="M154" s="40">
        <f t="shared" si="10"/>
        <v>19425415</v>
      </c>
      <c r="N154" s="1">
        <v>84091510</v>
      </c>
      <c r="O154" s="1" t="s">
        <v>2669</v>
      </c>
      <c r="P154" s="1" t="s">
        <v>2651</v>
      </c>
      <c r="Q154" s="3">
        <v>44964</v>
      </c>
      <c r="R154" s="3">
        <v>44964</v>
      </c>
      <c r="S154" s="3">
        <v>45275</v>
      </c>
      <c r="T154" s="35"/>
      <c r="U154" s="3"/>
      <c r="V154" s="3"/>
      <c r="W154" s="50"/>
      <c r="X154" s="9">
        <v>9250200</v>
      </c>
      <c r="Y154" s="9">
        <v>10175215</v>
      </c>
      <c r="Z154" s="34">
        <f t="shared" si="9"/>
        <v>0.47619059875940872</v>
      </c>
      <c r="AA154" s="1">
        <v>12545859</v>
      </c>
      <c r="AB154" s="1" t="s">
        <v>2632</v>
      </c>
      <c r="AC154" s="1"/>
      <c r="AD154" s="1"/>
      <c r="AE154" s="3"/>
      <c r="AF154" s="194" t="s">
        <v>2670</v>
      </c>
      <c r="AG154" s="15" t="s">
        <v>192</v>
      </c>
      <c r="AH154" s="15" t="s">
        <v>192</v>
      </c>
    </row>
    <row r="155" spans="1:34" s="4" customFormat="1" x14ac:dyDescent="0.25">
      <c r="A155" s="16">
        <v>891780125</v>
      </c>
      <c r="B155" s="16" t="s">
        <v>54</v>
      </c>
      <c r="C155" s="14" t="s">
        <v>2627</v>
      </c>
      <c r="D155" s="16" t="s">
        <v>60</v>
      </c>
      <c r="E155" s="1" t="s">
        <v>2671</v>
      </c>
      <c r="F155" s="16" t="s">
        <v>61</v>
      </c>
      <c r="G155" s="1" t="s">
        <v>69</v>
      </c>
      <c r="H155" s="1" t="s">
        <v>2629</v>
      </c>
      <c r="I155" s="9">
        <v>22576225</v>
      </c>
      <c r="J155" s="94"/>
      <c r="K155" s="2"/>
      <c r="L155" s="2"/>
      <c r="M155" s="40">
        <f t="shared" si="10"/>
        <v>22576225</v>
      </c>
      <c r="N155" s="1">
        <v>45563939</v>
      </c>
      <c r="O155" s="1" t="s">
        <v>2672</v>
      </c>
      <c r="P155" s="1" t="s">
        <v>2673</v>
      </c>
      <c r="Q155" s="3">
        <v>44964</v>
      </c>
      <c r="R155" s="3">
        <v>44964</v>
      </c>
      <c r="S155" s="3">
        <v>45275</v>
      </c>
      <c r="T155" s="35"/>
      <c r="U155" s="3"/>
      <c r="V155" s="3"/>
      <c r="W155" s="50"/>
      <c r="X155" s="9">
        <v>20750585</v>
      </c>
      <c r="Y155" s="9">
        <v>1825640</v>
      </c>
      <c r="Z155" s="34">
        <f t="shared" si="9"/>
        <v>0.91913439913005823</v>
      </c>
      <c r="AA155" s="1">
        <v>12545859</v>
      </c>
      <c r="AB155" s="1" t="s">
        <v>2632</v>
      </c>
      <c r="AC155" s="1"/>
      <c r="AD155" s="1"/>
      <c r="AE155" s="3"/>
      <c r="AF155" s="194" t="s">
        <v>2674</v>
      </c>
      <c r="AG155" s="15" t="s">
        <v>192</v>
      </c>
      <c r="AH155" s="15" t="s">
        <v>192</v>
      </c>
    </row>
    <row r="156" spans="1:34" s="4" customFormat="1" x14ac:dyDescent="0.25">
      <c r="A156" s="16">
        <v>891780126</v>
      </c>
      <c r="B156" s="16" t="s">
        <v>54</v>
      </c>
      <c r="C156" s="14" t="s">
        <v>2627</v>
      </c>
      <c r="D156" s="16" t="s">
        <v>60</v>
      </c>
      <c r="E156" s="1" t="s">
        <v>2675</v>
      </c>
      <c r="F156" s="16" t="s">
        <v>61</v>
      </c>
      <c r="G156" s="1" t="s">
        <v>69</v>
      </c>
      <c r="H156" s="1" t="s">
        <v>2629</v>
      </c>
      <c r="I156" s="9">
        <v>17143399</v>
      </c>
      <c r="J156" s="94"/>
      <c r="K156" s="2"/>
      <c r="L156" s="2"/>
      <c r="M156" s="40">
        <f t="shared" si="10"/>
        <v>17143399</v>
      </c>
      <c r="N156" s="1">
        <v>1124381940</v>
      </c>
      <c r="O156" s="1" t="s">
        <v>2676</v>
      </c>
      <c r="P156" s="1" t="s">
        <v>2647</v>
      </c>
      <c r="Q156" s="3">
        <v>44964</v>
      </c>
      <c r="R156" s="3">
        <v>44964</v>
      </c>
      <c r="S156" s="3">
        <v>45275</v>
      </c>
      <c r="T156" s="35" t="s">
        <v>192</v>
      </c>
      <c r="U156" s="3">
        <v>45098</v>
      </c>
      <c r="V156" s="3">
        <v>45169</v>
      </c>
      <c r="W156" s="50"/>
      <c r="X156" s="9">
        <v>7510443</v>
      </c>
      <c r="Y156" s="9">
        <v>9632956</v>
      </c>
      <c r="Z156" s="34">
        <f t="shared" si="9"/>
        <v>0.43809532753685543</v>
      </c>
      <c r="AA156" s="1">
        <v>12545859</v>
      </c>
      <c r="AB156" s="1" t="s">
        <v>2632</v>
      </c>
      <c r="AC156" s="1"/>
      <c r="AD156" s="1"/>
      <c r="AE156" s="3"/>
      <c r="AF156" s="194" t="s">
        <v>2677</v>
      </c>
      <c r="AG156" s="15" t="s">
        <v>192</v>
      </c>
      <c r="AH156" s="15" t="s">
        <v>192</v>
      </c>
    </row>
    <row r="157" spans="1:34" s="4" customFormat="1" x14ac:dyDescent="0.25">
      <c r="A157" s="16">
        <v>891780127</v>
      </c>
      <c r="B157" s="16" t="s">
        <v>54</v>
      </c>
      <c r="C157" s="14" t="s">
        <v>2627</v>
      </c>
      <c r="D157" s="16" t="s">
        <v>60</v>
      </c>
      <c r="E157" s="1" t="s">
        <v>2678</v>
      </c>
      <c r="F157" s="16" t="s">
        <v>61</v>
      </c>
      <c r="G157" s="1" t="s">
        <v>69</v>
      </c>
      <c r="H157" s="1" t="s">
        <v>2629</v>
      </c>
      <c r="I157" s="9">
        <v>19048225</v>
      </c>
      <c r="J157" s="94"/>
      <c r="K157" s="2"/>
      <c r="L157" s="2"/>
      <c r="M157" s="40">
        <f t="shared" si="10"/>
        <v>19048225</v>
      </c>
      <c r="N157" s="1">
        <v>1047418085</v>
      </c>
      <c r="O157" s="1" t="s">
        <v>2679</v>
      </c>
      <c r="P157" s="1" t="s">
        <v>2636</v>
      </c>
      <c r="Q157" s="3">
        <v>44964</v>
      </c>
      <c r="R157" s="3">
        <v>44964</v>
      </c>
      <c r="S157" s="3">
        <v>45275</v>
      </c>
      <c r="T157" s="35"/>
      <c r="U157" s="3"/>
      <c r="V157" s="3"/>
      <c r="W157" s="50"/>
      <c r="X157" s="9">
        <v>9070585</v>
      </c>
      <c r="Y157" s="9">
        <v>9977640</v>
      </c>
      <c r="Z157" s="34">
        <f t="shared" si="9"/>
        <v>0.47619056368769269</v>
      </c>
      <c r="AA157" s="1">
        <v>12545859</v>
      </c>
      <c r="AB157" s="1" t="s">
        <v>2632</v>
      </c>
      <c r="AC157" s="1"/>
      <c r="AD157" s="1"/>
      <c r="AE157" s="3"/>
      <c r="AF157" s="194" t="s">
        <v>2680</v>
      </c>
      <c r="AG157" s="15" t="s">
        <v>192</v>
      </c>
      <c r="AH157" s="15" t="s">
        <v>192</v>
      </c>
    </row>
    <row r="158" spans="1:34" s="4" customFormat="1" x14ac:dyDescent="0.25">
      <c r="A158" s="16">
        <v>891780128</v>
      </c>
      <c r="B158" s="16" t="s">
        <v>54</v>
      </c>
      <c r="C158" s="14" t="s">
        <v>2627</v>
      </c>
      <c r="D158" s="16" t="s">
        <v>60</v>
      </c>
      <c r="E158" s="1" t="s">
        <v>2681</v>
      </c>
      <c r="F158" s="16" t="s">
        <v>61</v>
      </c>
      <c r="G158" s="1" t="s">
        <v>69</v>
      </c>
      <c r="H158" s="1" t="s">
        <v>2629</v>
      </c>
      <c r="I158" s="9">
        <v>19048225</v>
      </c>
      <c r="J158" s="94"/>
      <c r="K158" s="2"/>
      <c r="L158" s="2"/>
      <c r="M158" s="40">
        <f t="shared" si="10"/>
        <v>19048225</v>
      </c>
      <c r="N158" s="1">
        <v>40953541</v>
      </c>
      <c r="O158" s="1" t="s">
        <v>2682</v>
      </c>
      <c r="P158" s="1" t="s">
        <v>2636</v>
      </c>
      <c r="Q158" s="3">
        <v>44964</v>
      </c>
      <c r="R158" s="3">
        <v>44964</v>
      </c>
      <c r="S158" s="3">
        <v>45275</v>
      </c>
      <c r="T158" s="35"/>
      <c r="U158" s="3"/>
      <c r="V158" s="3"/>
      <c r="W158" s="50"/>
      <c r="X158" s="9">
        <v>9070585</v>
      </c>
      <c r="Y158" s="9">
        <v>9977640</v>
      </c>
      <c r="Z158" s="34">
        <f t="shared" si="9"/>
        <v>0.47619056368769269</v>
      </c>
      <c r="AA158" s="1">
        <v>12545859</v>
      </c>
      <c r="AB158" s="1" t="s">
        <v>2632</v>
      </c>
      <c r="AC158" s="1"/>
      <c r="AD158" s="1"/>
      <c r="AE158" s="3"/>
      <c r="AF158" s="194" t="s">
        <v>2683</v>
      </c>
      <c r="AG158" s="15" t="s">
        <v>192</v>
      </c>
      <c r="AH158" s="15" t="s">
        <v>192</v>
      </c>
    </row>
    <row r="159" spans="1:34" s="4" customFormat="1" x14ac:dyDescent="0.25">
      <c r="A159" s="16">
        <v>891780129</v>
      </c>
      <c r="B159" s="16" t="s">
        <v>54</v>
      </c>
      <c r="C159" s="14" t="s">
        <v>2627</v>
      </c>
      <c r="D159" s="16" t="s">
        <v>60</v>
      </c>
      <c r="E159" s="1" t="s">
        <v>2684</v>
      </c>
      <c r="F159" s="16" t="s">
        <v>61</v>
      </c>
      <c r="G159" s="1" t="s">
        <v>69</v>
      </c>
      <c r="H159" s="1" t="s">
        <v>2629</v>
      </c>
      <c r="I159" s="9">
        <v>19048225</v>
      </c>
      <c r="J159" s="94"/>
      <c r="K159" s="2"/>
      <c r="L159" s="2"/>
      <c r="M159" s="40">
        <f t="shared" si="10"/>
        <v>19048225</v>
      </c>
      <c r="N159" s="1">
        <v>40937090</v>
      </c>
      <c r="O159" s="1" t="s">
        <v>2685</v>
      </c>
      <c r="P159" s="1" t="s">
        <v>2636</v>
      </c>
      <c r="Q159" s="3">
        <v>44964</v>
      </c>
      <c r="R159" s="3">
        <v>44964</v>
      </c>
      <c r="S159" s="3">
        <v>45275</v>
      </c>
      <c r="T159" s="35"/>
      <c r="U159" s="3"/>
      <c r="V159" s="3"/>
      <c r="W159" s="50"/>
      <c r="X159" s="9">
        <v>9070585</v>
      </c>
      <c r="Y159" s="9">
        <v>9977640</v>
      </c>
      <c r="Z159" s="34">
        <f t="shared" si="9"/>
        <v>0.47619056368769269</v>
      </c>
      <c r="AA159" s="1">
        <v>12545859</v>
      </c>
      <c r="AB159" s="1" t="s">
        <v>2632</v>
      </c>
      <c r="AC159" s="1"/>
      <c r="AD159" s="1"/>
      <c r="AE159" s="3"/>
      <c r="AF159" s="194" t="s">
        <v>2686</v>
      </c>
      <c r="AG159" s="15" t="s">
        <v>192</v>
      </c>
      <c r="AH159" s="15" t="s">
        <v>192</v>
      </c>
    </row>
    <row r="160" spans="1:34" s="4" customFormat="1" x14ac:dyDescent="0.25">
      <c r="A160" s="16">
        <v>891780130</v>
      </c>
      <c r="B160" s="16" t="s">
        <v>54</v>
      </c>
      <c r="C160" s="14" t="s">
        <v>2627</v>
      </c>
      <c r="D160" s="16" t="s">
        <v>60</v>
      </c>
      <c r="E160" s="1" t="s">
        <v>2687</v>
      </c>
      <c r="F160" s="16" t="s">
        <v>61</v>
      </c>
      <c r="G160" s="1" t="s">
        <v>69</v>
      </c>
      <c r="H160" s="1" t="s">
        <v>2629</v>
      </c>
      <c r="I160" s="9">
        <v>19425415</v>
      </c>
      <c r="J160" s="94"/>
      <c r="K160" s="2"/>
      <c r="L160" s="2"/>
      <c r="M160" s="40">
        <f t="shared" si="10"/>
        <v>19425415</v>
      </c>
      <c r="N160" s="1">
        <v>78756770</v>
      </c>
      <c r="O160" s="1" t="s">
        <v>2688</v>
      </c>
      <c r="P160" s="1" t="s">
        <v>2651</v>
      </c>
      <c r="Q160" s="3">
        <v>44964</v>
      </c>
      <c r="R160" s="3">
        <v>44964</v>
      </c>
      <c r="S160" s="3">
        <v>45275</v>
      </c>
      <c r="T160" s="35"/>
      <c r="U160" s="3"/>
      <c r="V160" s="3"/>
      <c r="W160" s="50"/>
      <c r="X160" s="9">
        <v>9250200</v>
      </c>
      <c r="Y160" s="9">
        <v>10175215</v>
      </c>
      <c r="Z160" s="34">
        <f t="shared" si="9"/>
        <v>0.47619059875940872</v>
      </c>
      <c r="AA160" s="1">
        <v>12545859</v>
      </c>
      <c r="AB160" s="1" t="s">
        <v>2632</v>
      </c>
      <c r="AC160" s="1"/>
      <c r="AD160" s="1"/>
      <c r="AE160" s="3"/>
      <c r="AF160" s="194" t="s">
        <v>2689</v>
      </c>
      <c r="AG160" s="15" t="s">
        <v>192</v>
      </c>
      <c r="AH160" s="15" t="s">
        <v>192</v>
      </c>
    </row>
    <row r="161" spans="1:34" s="4" customFormat="1" x14ac:dyDescent="0.25">
      <c r="A161" s="16">
        <v>891780131</v>
      </c>
      <c r="B161" s="16" t="s">
        <v>54</v>
      </c>
      <c r="C161" s="14" t="s">
        <v>2627</v>
      </c>
      <c r="D161" s="16" t="s">
        <v>60</v>
      </c>
      <c r="E161" s="1" t="s">
        <v>2690</v>
      </c>
      <c r="F161" s="16" t="s">
        <v>61</v>
      </c>
      <c r="G161" s="1" t="s">
        <v>69</v>
      </c>
      <c r="H161" s="1" t="s">
        <v>2629</v>
      </c>
      <c r="I161" s="9">
        <v>19048225</v>
      </c>
      <c r="J161" s="94"/>
      <c r="K161" s="2"/>
      <c r="L161" s="2"/>
      <c r="M161" s="40">
        <f t="shared" si="10"/>
        <v>19048225</v>
      </c>
      <c r="N161" s="1">
        <v>1010064185</v>
      </c>
      <c r="O161" s="1" t="s">
        <v>2691</v>
      </c>
      <c r="P161" s="1" t="s">
        <v>2636</v>
      </c>
      <c r="Q161" s="3">
        <v>44964</v>
      </c>
      <c r="R161" s="3">
        <v>44964</v>
      </c>
      <c r="S161" s="3">
        <v>45275</v>
      </c>
      <c r="T161" s="35"/>
      <c r="U161" s="3"/>
      <c r="V161" s="3"/>
      <c r="W161" s="50"/>
      <c r="X161" s="9">
        <v>9070585</v>
      </c>
      <c r="Y161" s="9">
        <v>9977640</v>
      </c>
      <c r="Z161" s="34">
        <f t="shared" si="9"/>
        <v>0.47619056368769269</v>
      </c>
      <c r="AA161" s="1">
        <v>12545859</v>
      </c>
      <c r="AB161" s="1" t="s">
        <v>2632</v>
      </c>
      <c r="AC161" s="1"/>
      <c r="AD161" s="1"/>
      <c r="AE161" s="3"/>
      <c r="AF161" s="194" t="s">
        <v>2692</v>
      </c>
      <c r="AG161" s="15" t="s">
        <v>192</v>
      </c>
      <c r="AH161" s="15" t="s">
        <v>192</v>
      </c>
    </row>
    <row r="162" spans="1:34" s="4" customFormat="1" x14ac:dyDescent="0.25">
      <c r="A162" s="16">
        <v>891780132</v>
      </c>
      <c r="B162" s="16" t="s">
        <v>54</v>
      </c>
      <c r="C162" s="14" t="s">
        <v>2627</v>
      </c>
      <c r="D162" s="16" t="s">
        <v>60</v>
      </c>
      <c r="E162" s="1" t="s">
        <v>2693</v>
      </c>
      <c r="F162" s="16" t="s">
        <v>61</v>
      </c>
      <c r="G162" s="1" t="s">
        <v>69</v>
      </c>
      <c r="H162" s="1" t="s">
        <v>2629</v>
      </c>
      <c r="I162" s="9">
        <v>20821033</v>
      </c>
      <c r="J162" s="94"/>
      <c r="K162" s="2"/>
      <c r="L162" s="2"/>
      <c r="M162" s="40">
        <f t="shared" si="10"/>
        <v>20821033</v>
      </c>
      <c r="N162" s="1">
        <v>1064313548</v>
      </c>
      <c r="O162" s="1" t="s">
        <v>2694</v>
      </c>
      <c r="P162" s="1" t="s">
        <v>2651</v>
      </c>
      <c r="Q162" s="3">
        <v>44964</v>
      </c>
      <c r="R162" s="3">
        <v>44964</v>
      </c>
      <c r="S162" s="3">
        <v>45275</v>
      </c>
      <c r="T162" s="35"/>
      <c r="U162" s="3"/>
      <c r="V162" s="3"/>
      <c r="W162" s="50"/>
      <c r="X162" s="9">
        <v>9914780</v>
      </c>
      <c r="Y162" s="9">
        <v>10906253</v>
      </c>
      <c r="Z162" s="34">
        <f t="shared" si="9"/>
        <v>0.47619059054370644</v>
      </c>
      <c r="AA162" s="1">
        <v>12545859</v>
      </c>
      <c r="AB162" s="1" t="s">
        <v>2632</v>
      </c>
      <c r="AC162" s="1"/>
      <c r="AD162" s="1"/>
      <c r="AE162" s="3"/>
      <c r="AF162" s="194" t="s">
        <v>2695</v>
      </c>
      <c r="AG162" s="15" t="s">
        <v>192</v>
      </c>
      <c r="AH162" s="15" t="s">
        <v>192</v>
      </c>
    </row>
    <row r="163" spans="1:34" s="4" customFormat="1" x14ac:dyDescent="0.25">
      <c r="A163" s="16">
        <v>891780133</v>
      </c>
      <c r="B163" s="16" t="s">
        <v>54</v>
      </c>
      <c r="C163" s="14" t="s">
        <v>2627</v>
      </c>
      <c r="D163" s="16" t="s">
        <v>60</v>
      </c>
      <c r="E163" s="1" t="s">
        <v>2696</v>
      </c>
      <c r="F163" s="16" t="s">
        <v>61</v>
      </c>
      <c r="G163" s="1" t="s">
        <v>69</v>
      </c>
      <c r="H163" s="1" t="s">
        <v>2629</v>
      </c>
      <c r="I163" s="9">
        <v>17143399</v>
      </c>
      <c r="J163" s="94"/>
      <c r="K163" s="2"/>
      <c r="L163" s="2"/>
      <c r="M163" s="40">
        <f t="shared" si="10"/>
        <v>17143399</v>
      </c>
      <c r="N163" s="1">
        <v>39491304</v>
      </c>
      <c r="O163" s="1" t="s">
        <v>2697</v>
      </c>
      <c r="P163" s="1" t="s">
        <v>2647</v>
      </c>
      <c r="Q163" s="3">
        <v>44964</v>
      </c>
      <c r="R163" s="3">
        <v>44964</v>
      </c>
      <c r="S163" s="3">
        <v>45275</v>
      </c>
      <c r="T163" s="35"/>
      <c r="U163" s="3"/>
      <c r="V163" s="3"/>
      <c r="W163" s="50"/>
      <c r="X163" s="9">
        <v>7891408</v>
      </c>
      <c r="Y163" s="9">
        <v>9251991</v>
      </c>
      <c r="Z163" s="34">
        <f t="shared" si="9"/>
        <v>0.46031758346171608</v>
      </c>
      <c r="AA163" s="1">
        <v>12545859</v>
      </c>
      <c r="AB163" s="1" t="s">
        <v>2632</v>
      </c>
      <c r="AC163" s="1"/>
      <c r="AD163" s="1"/>
      <c r="AE163" s="3"/>
      <c r="AF163" s="194" t="s">
        <v>2698</v>
      </c>
      <c r="AG163" s="15" t="s">
        <v>192</v>
      </c>
      <c r="AH163" s="15" t="s">
        <v>192</v>
      </c>
    </row>
    <row r="164" spans="1:34" s="4" customFormat="1" x14ac:dyDescent="0.25">
      <c r="A164" s="16">
        <v>891780134</v>
      </c>
      <c r="B164" s="16" t="s">
        <v>54</v>
      </c>
      <c r="C164" s="14" t="s">
        <v>2627</v>
      </c>
      <c r="D164" s="16" t="s">
        <v>60</v>
      </c>
      <c r="E164" s="1" t="s">
        <v>2699</v>
      </c>
      <c r="F164" s="16" t="s">
        <v>61</v>
      </c>
      <c r="G164" s="1" t="s">
        <v>69</v>
      </c>
      <c r="H164" s="1" t="s">
        <v>2629</v>
      </c>
      <c r="I164" s="9">
        <v>19425415</v>
      </c>
      <c r="J164" s="94"/>
      <c r="K164" s="2"/>
      <c r="L164" s="2"/>
      <c r="M164" s="40">
        <f t="shared" si="10"/>
        <v>19425415</v>
      </c>
      <c r="N164" s="1">
        <v>39143431</v>
      </c>
      <c r="O164" s="1" t="s">
        <v>2700</v>
      </c>
      <c r="P164" s="1" t="s">
        <v>2651</v>
      </c>
      <c r="Q164" s="3">
        <v>44964</v>
      </c>
      <c r="R164" s="3">
        <v>44964</v>
      </c>
      <c r="S164" s="3">
        <v>45275</v>
      </c>
      <c r="T164" s="35"/>
      <c r="U164" s="3"/>
      <c r="V164" s="3"/>
      <c r="W164" s="50"/>
      <c r="X164" s="9">
        <v>9250200</v>
      </c>
      <c r="Y164" s="9">
        <v>10175215</v>
      </c>
      <c r="Z164" s="34">
        <f t="shared" si="9"/>
        <v>0.47619059875940872</v>
      </c>
      <c r="AA164" s="1">
        <v>12545859</v>
      </c>
      <c r="AB164" s="1" t="s">
        <v>2632</v>
      </c>
      <c r="AC164" s="1"/>
      <c r="AD164" s="1"/>
      <c r="AE164" s="3"/>
      <c r="AF164" s="194" t="s">
        <v>2701</v>
      </c>
      <c r="AG164" s="15" t="s">
        <v>192</v>
      </c>
      <c r="AH164" s="15" t="s">
        <v>192</v>
      </c>
    </row>
    <row r="165" spans="1:34" s="4" customFormat="1" x14ac:dyDescent="0.25">
      <c r="A165" s="16">
        <v>891780135</v>
      </c>
      <c r="B165" s="16" t="s">
        <v>54</v>
      </c>
      <c r="C165" s="14" t="s">
        <v>2627</v>
      </c>
      <c r="D165" s="16" t="s">
        <v>60</v>
      </c>
      <c r="E165" s="1" t="s">
        <v>2702</v>
      </c>
      <c r="F165" s="16" t="s">
        <v>61</v>
      </c>
      <c r="G165" s="1" t="s">
        <v>69</v>
      </c>
      <c r="H165" s="1" t="s">
        <v>2629</v>
      </c>
      <c r="I165" s="9">
        <v>19048225</v>
      </c>
      <c r="J165" s="94"/>
      <c r="K165" s="2"/>
      <c r="L165" s="2"/>
      <c r="M165" s="40">
        <f t="shared" si="10"/>
        <v>19048225</v>
      </c>
      <c r="N165" s="1">
        <v>33102531</v>
      </c>
      <c r="O165" s="1" t="s">
        <v>2703</v>
      </c>
      <c r="P165" s="1" t="s">
        <v>2636</v>
      </c>
      <c r="Q165" s="3">
        <v>44964</v>
      </c>
      <c r="R165" s="3">
        <v>44964</v>
      </c>
      <c r="S165" s="3">
        <v>45275</v>
      </c>
      <c r="T165" s="35"/>
      <c r="U165" s="3"/>
      <c r="V165" s="3"/>
      <c r="W165" s="50"/>
      <c r="X165" s="9">
        <v>9070585</v>
      </c>
      <c r="Y165" s="9">
        <v>9977640</v>
      </c>
      <c r="Z165" s="34">
        <f t="shared" si="9"/>
        <v>0.47619056368769269</v>
      </c>
      <c r="AA165" s="1">
        <v>12545859</v>
      </c>
      <c r="AB165" s="1" t="s">
        <v>2632</v>
      </c>
      <c r="AC165" s="1"/>
      <c r="AD165" s="1"/>
      <c r="AE165" s="3"/>
      <c r="AF165" s="194" t="s">
        <v>2704</v>
      </c>
      <c r="AG165" s="15" t="s">
        <v>192</v>
      </c>
      <c r="AH165" s="15" t="s">
        <v>192</v>
      </c>
    </row>
    <row r="166" spans="1:34" s="4" customFormat="1" x14ac:dyDescent="0.25">
      <c r="A166" s="16">
        <v>891780136</v>
      </c>
      <c r="B166" s="16" t="s">
        <v>54</v>
      </c>
      <c r="C166" s="14" t="s">
        <v>2627</v>
      </c>
      <c r="D166" s="16" t="s">
        <v>60</v>
      </c>
      <c r="E166" s="1" t="s">
        <v>2705</v>
      </c>
      <c r="F166" s="16" t="s">
        <v>61</v>
      </c>
      <c r="G166" s="1" t="s">
        <v>69</v>
      </c>
      <c r="H166" s="1" t="s">
        <v>2629</v>
      </c>
      <c r="I166" s="9">
        <v>19425415</v>
      </c>
      <c r="J166" s="94"/>
      <c r="K166" s="2"/>
      <c r="L166" s="2"/>
      <c r="M166" s="40">
        <f t="shared" si="10"/>
        <v>19425415</v>
      </c>
      <c r="N166" s="1">
        <v>1047496884</v>
      </c>
      <c r="O166" s="1" t="s">
        <v>2706</v>
      </c>
      <c r="P166" s="1" t="s">
        <v>2651</v>
      </c>
      <c r="Q166" s="3">
        <v>44964</v>
      </c>
      <c r="R166" s="3">
        <v>44964</v>
      </c>
      <c r="S166" s="3">
        <v>45275</v>
      </c>
      <c r="T166" s="35"/>
      <c r="U166" s="3"/>
      <c r="V166" s="3"/>
      <c r="W166" s="50"/>
      <c r="X166" s="9">
        <v>9250200</v>
      </c>
      <c r="Y166" s="9">
        <v>10175215</v>
      </c>
      <c r="Z166" s="34">
        <f t="shared" si="9"/>
        <v>0.47619059875940872</v>
      </c>
      <c r="AA166" s="1">
        <v>12545859</v>
      </c>
      <c r="AB166" s="1" t="s">
        <v>2632</v>
      </c>
      <c r="AC166" s="1"/>
      <c r="AD166" s="1"/>
      <c r="AE166" s="3"/>
      <c r="AF166" s="194" t="s">
        <v>2707</v>
      </c>
      <c r="AG166" s="15" t="s">
        <v>192</v>
      </c>
      <c r="AH166" s="15" t="s">
        <v>192</v>
      </c>
    </row>
    <row r="167" spans="1:34" s="4" customFormat="1" x14ac:dyDescent="0.25">
      <c r="A167" s="16">
        <v>891780137</v>
      </c>
      <c r="B167" s="16" t="s">
        <v>54</v>
      </c>
      <c r="C167" s="14" t="s">
        <v>2627</v>
      </c>
      <c r="D167" s="16" t="s">
        <v>60</v>
      </c>
      <c r="E167" s="1" t="s">
        <v>2708</v>
      </c>
      <c r="F167" s="16" t="s">
        <v>61</v>
      </c>
      <c r="G167" s="1" t="s">
        <v>69</v>
      </c>
      <c r="H167" s="1" t="s">
        <v>2629</v>
      </c>
      <c r="I167" s="9">
        <v>19048225</v>
      </c>
      <c r="J167" s="94"/>
      <c r="K167" s="2"/>
      <c r="L167" s="2"/>
      <c r="M167" s="40">
        <f t="shared" si="10"/>
        <v>19048225</v>
      </c>
      <c r="N167" s="1">
        <v>1001969098</v>
      </c>
      <c r="O167" s="1" t="s">
        <v>2709</v>
      </c>
      <c r="P167" s="1" t="s">
        <v>2636</v>
      </c>
      <c r="Q167" s="3">
        <v>44964</v>
      </c>
      <c r="R167" s="3">
        <v>44964</v>
      </c>
      <c r="S167" s="3">
        <v>45275</v>
      </c>
      <c r="T167" s="35"/>
      <c r="U167" s="3"/>
      <c r="V167" s="3"/>
      <c r="W167" s="50"/>
      <c r="X167" s="9">
        <v>9070585</v>
      </c>
      <c r="Y167" s="9">
        <v>9977640</v>
      </c>
      <c r="Z167" s="34">
        <f t="shared" si="9"/>
        <v>0.47619056368769269</v>
      </c>
      <c r="AA167" s="1">
        <v>12545859</v>
      </c>
      <c r="AB167" s="1" t="s">
        <v>2632</v>
      </c>
      <c r="AC167" s="1"/>
      <c r="AD167" s="1"/>
      <c r="AE167" s="3"/>
      <c r="AF167" s="194" t="s">
        <v>2710</v>
      </c>
      <c r="AG167" s="15" t="s">
        <v>192</v>
      </c>
      <c r="AH167" s="15" t="s">
        <v>192</v>
      </c>
    </row>
    <row r="168" spans="1:34" s="4" customFormat="1" x14ac:dyDescent="0.25">
      <c r="A168" s="16">
        <v>891780138</v>
      </c>
      <c r="B168" s="16" t="s">
        <v>54</v>
      </c>
      <c r="C168" s="14" t="s">
        <v>2627</v>
      </c>
      <c r="D168" s="16" t="s">
        <v>60</v>
      </c>
      <c r="E168" s="1" t="s">
        <v>2711</v>
      </c>
      <c r="F168" s="16" t="s">
        <v>61</v>
      </c>
      <c r="G168" s="1" t="s">
        <v>69</v>
      </c>
      <c r="H168" s="1" t="s">
        <v>2629</v>
      </c>
      <c r="I168" s="9">
        <v>20821033</v>
      </c>
      <c r="J168" s="94"/>
      <c r="K168" s="2"/>
      <c r="L168" s="2"/>
      <c r="M168" s="40">
        <f t="shared" si="10"/>
        <v>20821033</v>
      </c>
      <c r="N168" s="1">
        <v>17830200</v>
      </c>
      <c r="O168" s="1" t="s">
        <v>2712</v>
      </c>
      <c r="P168" s="1" t="s">
        <v>2651</v>
      </c>
      <c r="Q168" s="3">
        <v>44964</v>
      </c>
      <c r="R168" s="3">
        <v>44964</v>
      </c>
      <c r="S168" s="3">
        <v>45275</v>
      </c>
      <c r="T168" s="35"/>
      <c r="U168" s="3"/>
      <c r="V168" s="3"/>
      <c r="W168" s="50"/>
      <c r="X168" s="9">
        <v>9914780</v>
      </c>
      <c r="Y168" s="9">
        <v>10906253</v>
      </c>
      <c r="Z168" s="34">
        <f t="shared" si="9"/>
        <v>0.47619059054370644</v>
      </c>
      <c r="AA168" s="1">
        <v>12545859</v>
      </c>
      <c r="AB168" s="1" t="s">
        <v>2632</v>
      </c>
      <c r="AC168" s="1"/>
      <c r="AD168" s="1"/>
      <c r="AE168" s="3"/>
      <c r="AF168" s="194" t="s">
        <v>2713</v>
      </c>
      <c r="AG168" s="15" t="s">
        <v>192</v>
      </c>
      <c r="AH168" s="15" t="s">
        <v>192</v>
      </c>
    </row>
    <row r="169" spans="1:34" s="4" customFormat="1" x14ac:dyDescent="0.25">
      <c r="A169" s="16">
        <v>891780139</v>
      </c>
      <c r="B169" s="16" t="s">
        <v>54</v>
      </c>
      <c r="C169" s="14" t="s">
        <v>2627</v>
      </c>
      <c r="D169" s="16" t="s">
        <v>60</v>
      </c>
      <c r="E169" s="1" t="s">
        <v>2714</v>
      </c>
      <c r="F169" s="16" t="s">
        <v>61</v>
      </c>
      <c r="G169" s="1" t="s">
        <v>69</v>
      </c>
      <c r="H169" s="1" t="s">
        <v>2629</v>
      </c>
      <c r="I169" s="9">
        <v>19425415</v>
      </c>
      <c r="J169" s="94"/>
      <c r="K169" s="2"/>
      <c r="L169" s="2"/>
      <c r="M169" s="40">
        <f t="shared" si="10"/>
        <v>19425415</v>
      </c>
      <c r="N169" s="1">
        <v>1002430621</v>
      </c>
      <c r="O169" s="1" t="s">
        <v>2715</v>
      </c>
      <c r="P169" s="1" t="s">
        <v>2651</v>
      </c>
      <c r="Q169" s="3">
        <v>44964</v>
      </c>
      <c r="R169" s="3">
        <v>44964</v>
      </c>
      <c r="S169" s="3">
        <v>45275</v>
      </c>
      <c r="T169" s="35"/>
      <c r="U169" s="3"/>
      <c r="V169" s="3"/>
      <c r="W169" s="50"/>
      <c r="X169" s="9">
        <v>9250200</v>
      </c>
      <c r="Y169" s="9">
        <v>10175215</v>
      </c>
      <c r="Z169" s="34">
        <f t="shared" si="9"/>
        <v>0.47619059875940872</v>
      </c>
      <c r="AA169" s="1">
        <v>12545859</v>
      </c>
      <c r="AB169" s="1" t="s">
        <v>2632</v>
      </c>
      <c r="AC169" s="1"/>
      <c r="AD169" s="1"/>
      <c r="AE169" s="3"/>
      <c r="AF169" s="194" t="s">
        <v>2716</v>
      </c>
      <c r="AG169" s="15" t="s">
        <v>192</v>
      </c>
      <c r="AH169" s="15" t="s">
        <v>192</v>
      </c>
    </row>
    <row r="170" spans="1:34" s="4" customFormat="1" x14ac:dyDescent="0.25">
      <c r="A170" s="16">
        <v>891780140</v>
      </c>
      <c r="B170" s="16" t="s">
        <v>54</v>
      </c>
      <c r="C170" s="14" t="s">
        <v>2627</v>
      </c>
      <c r="D170" s="16" t="s">
        <v>60</v>
      </c>
      <c r="E170" s="1" t="s">
        <v>2717</v>
      </c>
      <c r="F170" s="16" t="s">
        <v>61</v>
      </c>
      <c r="G170" s="1" t="s">
        <v>69</v>
      </c>
      <c r="H170" s="1" t="s">
        <v>2629</v>
      </c>
      <c r="I170" s="9">
        <v>19048225</v>
      </c>
      <c r="J170" s="94"/>
      <c r="K170" s="2"/>
      <c r="L170" s="2"/>
      <c r="M170" s="40">
        <f t="shared" si="10"/>
        <v>19048225</v>
      </c>
      <c r="N170" s="1">
        <v>36557372</v>
      </c>
      <c r="O170" s="1" t="s">
        <v>2718</v>
      </c>
      <c r="P170" s="1" t="s">
        <v>2647</v>
      </c>
      <c r="Q170" s="3">
        <v>44964</v>
      </c>
      <c r="R170" s="3">
        <v>44964</v>
      </c>
      <c r="S170" s="3">
        <v>45275</v>
      </c>
      <c r="T170" s="35"/>
      <c r="U170" s="3"/>
      <c r="V170" s="3"/>
      <c r="W170" s="50"/>
      <c r="X170" s="9">
        <v>9070585</v>
      </c>
      <c r="Y170" s="9">
        <v>9977640</v>
      </c>
      <c r="Z170" s="34">
        <f t="shared" si="9"/>
        <v>0.47619056368769269</v>
      </c>
      <c r="AA170" s="1">
        <v>12545859</v>
      </c>
      <c r="AB170" s="1" t="s">
        <v>2632</v>
      </c>
      <c r="AC170" s="1"/>
      <c r="AD170" s="1"/>
      <c r="AE170" s="3"/>
      <c r="AF170" s="194" t="s">
        <v>2719</v>
      </c>
      <c r="AG170" s="15" t="s">
        <v>192</v>
      </c>
      <c r="AH170" s="15" t="s">
        <v>192</v>
      </c>
    </row>
    <row r="171" spans="1:34" s="4" customFormat="1" x14ac:dyDescent="0.25">
      <c r="A171" s="16">
        <v>891780141</v>
      </c>
      <c r="B171" s="16" t="s">
        <v>54</v>
      </c>
      <c r="C171" s="14" t="s">
        <v>2627</v>
      </c>
      <c r="D171" s="16" t="s">
        <v>60</v>
      </c>
      <c r="E171" s="1" t="s">
        <v>2720</v>
      </c>
      <c r="F171" s="16" t="s">
        <v>61</v>
      </c>
      <c r="G171" s="1" t="s">
        <v>69</v>
      </c>
      <c r="H171" s="1" t="s">
        <v>2629</v>
      </c>
      <c r="I171" s="9">
        <v>19048225</v>
      </c>
      <c r="J171" s="94"/>
      <c r="K171" s="2"/>
      <c r="L171" s="2"/>
      <c r="M171" s="40">
        <f t="shared" si="10"/>
        <v>19048225</v>
      </c>
      <c r="N171" s="1">
        <v>26847299</v>
      </c>
      <c r="O171" s="1" t="s">
        <v>2721</v>
      </c>
      <c r="P171" s="1" t="s">
        <v>2636</v>
      </c>
      <c r="Q171" s="3">
        <v>44964</v>
      </c>
      <c r="R171" s="3">
        <v>44964</v>
      </c>
      <c r="S171" s="3">
        <v>45275</v>
      </c>
      <c r="T171" s="35"/>
      <c r="U171" s="3"/>
      <c r="V171" s="3"/>
      <c r="W171" s="50"/>
      <c r="X171" s="9">
        <v>9070585</v>
      </c>
      <c r="Y171" s="9">
        <v>9977640</v>
      </c>
      <c r="Z171" s="34">
        <f t="shared" si="9"/>
        <v>0.47619056368769269</v>
      </c>
      <c r="AA171" s="1">
        <v>12545859</v>
      </c>
      <c r="AB171" s="1" t="s">
        <v>2632</v>
      </c>
      <c r="AC171" s="1"/>
      <c r="AD171" s="1"/>
      <c r="AE171" s="3"/>
      <c r="AF171" s="194" t="s">
        <v>2722</v>
      </c>
      <c r="AG171" s="15" t="s">
        <v>192</v>
      </c>
      <c r="AH171" s="15" t="s">
        <v>192</v>
      </c>
    </row>
    <row r="172" spans="1:34" s="4" customFormat="1" x14ac:dyDescent="0.25">
      <c r="A172" s="16">
        <v>891780142</v>
      </c>
      <c r="B172" s="16" t="s">
        <v>54</v>
      </c>
      <c r="C172" s="14" t="s">
        <v>2627</v>
      </c>
      <c r="D172" s="16" t="s">
        <v>60</v>
      </c>
      <c r="E172" s="1" t="s">
        <v>2723</v>
      </c>
      <c r="F172" s="16" t="s">
        <v>61</v>
      </c>
      <c r="G172" s="1" t="s">
        <v>69</v>
      </c>
      <c r="H172" s="1" t="s">
        <v>2629</v>
      </c>
      <c r="I172" s="9">
        <v>19425415</v>
      </c>
      <c r="J172" s="94"/>
      <c r="K172" s="2"/>
      <c r="L172" s="2"/>
      <c r="M172" s="40">
        <f t="shared" si="10"/>
        <v>19425415</v>
      </c>
      <c r="N172" s="1">
        <v>1193065244</v>
      </c>
      <c r="O172" s="1" t="s">
        <v>2724</v>
      </c>
      <c r="P172" s="1" t="s">
        <v>2651</v>
      </c>
      <c r="Q172" s="3">
        <v>44964</v>
      </c>
      <c r="R172" s="3">
        <v>44964</v>
      </c>
      <c r="S172" s="3">
        <v>45275</v>
      </c>
      <c r="T172" s="35"/>
      <c r="U172" s="3"/>
      <c r="V172" s="3"/>
      <c r="W172" s="50"/>
      <c r="X172" s="9">
        <v>9250200</v>
      </c>
      <c r="Y172" s="9">
        <v>10175215</v>
      </c>
      <c r="Z172" s="34">
        <f t="shared" si="9"/>
        <v>0.47619059875940872</v>
      </c>
      <c r="AA172" s="1">
        <v>12545859</v>
      </c>
      <c r="AB172" s="1" t="s">
        <v>2632</v>
      </c>
      <c r="AC172" s="1"/>
      <c r="AD172" s="1"/>
      <c r="AE172" s="3"/>
      <c r="AF172" s="194" t="s">
        <v>2725</v>
      </c>
      <c r="AG172" s="15" t="s">
        <v>192</v>
      </c>
      <c r="AH172" s="15" t="s">
        <v>192</v>
      </c>
    </row>
    <row r="173" spans="1:34" s="4" customFormat="1" x14ac:dyDescent="0.25">
      <c r="A173" s="16">
        <v>891780143</v>
      </c>
      <c r="B173" s="16" t="s">
        <v>54</v>
      </c>
      <c r="C173" s="14" t="s">
        <v>2627</v>
      </c>
      <c r="D173" s="16" t="s">
        <v>60</v>
      </c>
      <c r="E173" s="1" t="s">
        <v>2726</v>
      </c>
      <c r="F173" s="16" t="s">
        <v>61</v>
      </c>
      <c r="G173" s="1" t="s">
        <v>69</v>
      </c>
      <c r="H173" s="1" t="s">
        <v>2629</v>
      </c>
      <c r="I173" s="9">
        <v>21029244</v>
      </c>
      <c r="J173" s="94"/>
      <c r="K173" s="2"/>
      <c r="L173" s="2"/>
      <c r="M173" s="40">
        <f t="shared" si="10"/>
        <v>21029244</v>
      </c>
      <c r="N173" s="1">
        <v>73204348</v>
      </c>
      <c r="O173" s="1" t="s">
        <v>2727</v>
      </c>
      <c r="P173" s="1" t="s">
        <v>2651</v>
      </c>
      <c r="Q173" s="3">
        <v>44964</v>
      </c>
      <c r="R173" s="3">
        <v>44964</v>
      </c>
      <c r="S173" s="3">
        <v>45275</v>
      </c>
      <c r="T173" s="35"/>
      <c r="U173" s="3"/>
      <c r="V173" s="3"/>
      <c r="W173" s="50"/>
      <c r="X173" s="9">
        <v>10013925</v>
      </c>
      <c r="Y173" s="9">
        <v>11015319</v>
      </c>
      <c r="Z173" s="34">
        <f t="shared" si="9"/>
        <v>0.47619044222417123</v>
      </c>
      <c r="AA173" s="1">
        <v>12545859</v>
      </c>
      <c r="AB173" s="1" t="s">
        <v>2632</v>
      </c>
      <c r="AC173" s="1"/>
      <c r="AD173" s="1"/>
      <c r="AE173" s="3"/>
      <c r="AF173" s="194" t="s">
        <v>2728</v>
      </c>
      <c r="AG173" s="15" t="s">
        <v>192</v>
      </c>
      <c r="AH173" s="15" t="s">
        <v>192</v>
      </c>
    </row>
    <row r="174" spans="1:34" s="4" customFormat="1" x14ac:dyDescent="0.25">
      <c r="A174" s="16">
        <v>891780144</v>
      </c>
      <c r="B174" s="16" t="s">
        <v>54</v>
      </c>
      <c r="C174" s="14" t="s">
        <v>2627</v>
      </c>
      <c r="D174" s="16" t="s">
        <v>60</v>
      </c>
      <c r="E174" s="1" t="s">
        <v>2729</v>
      </c>
      <c r="F174" s="16" t="s">
        <v>61</v>
      </c>
      <c r="G174" s="1" t="s">
        <v>69</v>
      </c>
      <c r="H174" s="1" t="s">
        <v>2629</v>
      </c>
      <c r="I174" s="9">
        <v>19425415</v>
      </c>
      <c r="J174" s="94"/>
      <c r="K174" s="2"/>
      <c r="L174" s="2"/>
      <c r="M174" s="40">
        <f t="shared" si="10"/>
        <v>19425415</v>
      </c>
      <c r="N174" s="1">
        <v>85489365</v>
      </c>
      <c r="O174" s="1" t="s">
        <v>2730</v>
      </c>
      <c r="P174" s="1" t="s">
        <v>2651</v>
      </c>
      <c r="Q174" s="3">
        <v>44964</v>
      </c>
      <c r="R174" s="3">
        <v>44964</v>
      </c>
      <c r="S174" s="3">
        <v>45275</v>
      </c>
      <c r="T174" s="35"/>
      <c r="U174" s="3"/>
      <c r="V174" s="3"/>
      <c r="W174" s="50"/>
      <c r="X174" s="9">
        <v>9250200</v>
      </c>
      <c r="Y174" s="9">
        <v>10175215</v>
      </c>
      <c r="Z174" s="34">
        <f t="shared" si="9"/>
        <v>0.47619059875940872</v>
      </c>
      <c r="AA174" s="1">
        <v>12545859</v>
      </c>
      <c r="AB174" s="1" t="s">
        <v>2632</v>
      </c>
      <c r="AC174" s="1"/>
      <c r="AD174" s="1"/>
      <c r="AE174" s="3"/>
      <c r="AF174" s="194" t="s">
        <v>2731</v>
      </c>
      <c r="AG174" s="15" t="s">
        <v>192</v>
      </c>
      <c r="AH174" s="15" t="s">
        <v>192</v>
      </c>
    </row>
    <row r="175" spans="1:34" s="4" customFormat="1" x14ac:dyDescent="0.25">
      <c r="A175" s="16">
        <v>891780145</v>
      </c>
      <c r="B175" s="16" t="s">
        <v>54</v>
      </c>
      <c r="C175" s="14" t="s">
        <v>2627</v>
      </c>
      <c r="D175" s="16" t="s">
        <v>60</v>
      </c>
      <c r="E175" s="1" t="s">
        <v>2732</v>
      </c>
      <c r="F175" s="16" t="s">
        <v>61</v>
      </c>
      <c r="G175" s="1" t="s">
        <v>69</v>
      </c>
      <c r="H175" s="1" t="s">
        <v>2629</v>
      </c>
      <c r="I175" s="9">
        <v>20821033</v>
      </c>
      <c r="J175" s="94"/>
      <c r="K175" s="2"/>
      <c r="L175" s="2"/>
      <c r="M175" s="40">
        <f t="shared" si="10"/>
        <v>20821033</v>
      </c>
      <c r="N175" s="1">
        <v>22589273</v>
      </c>
      <c r="O175" s="1" t="s">
        <v>2733</v>
      </c>
      <c r="P175" s="1" t="s">
        <v>2651</v>
      </c>
      <c r="Q175" s="3">
        <v>44964</v>
      </c>
      <c r="R175" s="3">
        <v>44964</v>
      </c>
      <c r="S175" s="3">
        <v>45275</v>
      </c>
      <c r="T175" s="35"/>
      <c r="U175" s="3"/>
      <c r="V175" s="3"/>
      <c r="W175" s="50"/>
      <c r="X175" s="9">
        <v>9914780</v>
      </c>
      <c r="Y175" s="9">
        <v>10906253</v>
      </c>
      <c r="Z175" s="34">
        <f t="shared" si="9"/>
        <v>0.47619059054370644</v>
      </c>
      <c r="AA175" s="1">
        <v>12545859</v>
      </c>
      <c r="AB175" s="1" t="s">
        <v>2632</v>
      </c>
      <c r="AC175" s="1"/>
      <c r="AD175" s="1"/>
      <c r="AE175" s="3"/>
      <c r="AF175" s="194" t="s">
        <v>2734</v>
      </c>
      <c r="AG175" s="15" t="s">
        <v>192</v>
      </c>
      <c r="AH175" s="15" t="s">
        <v>192</v>
      </c>
    </row>
    <row r="176" spans="1:34" s="4" customFormat="1" x14ac:dyDescent="0.25">
      <c r="A176" s="16">
        <v>891780146</v>
      </c>
      <c r="B176" s="16" t="s">
        <v>54</v>
      </c>
      <c r="C176" s="14" t="s">
        <v>2627</v>
      </c>
      <c r="D176" s="16" t="s">
        <v>60</v>
      </c>
      <c r="E176" s="1" t="s">
        <v>2735</v>
      </c>
      <c r="F176" s="16" t="s">
        <v>61</v>
      </c>
      <c r="G176" s="1" t="s">
        <v>69</v>
      </c>
      <c r="H176" s="1" t="s">
        <v>2629</v>
      </c>
      <c r="I176" s="9">
        <v>19048225</v>
      </c>
      <c r="J176" s="94"/>
      <c r="K176" s="2"/>
      <c r="L176" s="2"/>
      <c r="M176" s="40">
        <f t="shared" si="10"/>
        <v>19048225</v>
      </c>
      <c r="N176" s="1">
        <v>1118857530</v>
      </c>
      <c r="O176" s="1" t="s">
        <v>2736</v>
      </c>
      <c r="P176" s="1" t="s">
        <v>2636</v>
      </c>
      <c r="Q176" s="3">
        <v>44964</v>
      </c>
      <c r="R176" s="3">
        <v>44964</v>
      </c>
      <c r="S176" s="3">
        <v>45275</v>
      </c>
      <c r="T176" s="35"/>
      <c r="U176" s="3"/>
      <c r="V176" s="3"/>
      <c r="W176" s="50"/>
      <c r="X176" s="9">
        <v>9070585</v>
      </c>
      <c r="Y176" s="9">
        <v>9977640</v>
      </c>
      <c r="Z176" s="34">
        <f t="shared" si="9"/>
        <v>0.47619056368769269</v>
      </c>
      <c r="AA176" s="1">
        <v>12545859</v>
      </c>
      <c r="AB176" s="1" t="s">
        <v>2632</v>
      </c>
      <c r="AC176" s="1"/>
      <c r="AD176" s="1"/>
      <c r="AE176" s="3"/>
      <c r="AF176" s="194" t="s">
        <v>2737</v>
      </c>
      <c r="AG176" s="15" t="s">
        <v>192</v>
      </c>
      <c r="AH176" s="15" t="s">
        <v>192</v>
      </c>
    </row>
    <row r="177" spans="1:34" s="4" customFormat="1" x14ac:dyDescent="0.25">
      <c r="A177" s="16">
        <v>891780147</v>
      </c>
      <c r="B177" s="16" t="s">
        <v>54</v>
      </c>
      <c r="C177" s="14" t="s">
        <v>2627</v>
      </c>
      <c r="D177" s="16" t="s">
        <v>60</v>
      </c>
      <c r="E177" s="1" t="s">
        <v>2738</v>
      </c>
      <c r="F177" s="16" t="s">
        <v>61</v>
      </c>
      <c r="G177" s="1" t="s">
        <v>69</v>
      </c>
      <c r="H177" s="1" t="s">
        <v>2629</v>
      </c>
      <c r="I177" s="9">
        <v>22953415</v>
      </c>
      <c r="J177" s="94"/>
      <c r="K177" s="2"/>
      <c r="L177" s="2"/>
      <c r="M177" s="40">
        <f t="shared" si="10"/>
        <v>22953415</v>
      </c>
      <c r="N177" s="1">
        <v>30580692</v>
      </c>
      <c r="O177" s="1" t="s">
        <v>2739</v>
      </c>
      <c r="P177" s="1" t="s">
        <v>2740</v>
      </c>
      <c r="Q177" s="3">
        <v>44964</v>
      </c>
      <c r="R177" s="3">
        <v>44964</v>
      </c>
      <c r="S177" s="3">
        <v>45275</v>
      </c>
      <c r="T177" s="35"/>
      <c r="U177" s="3"/>
      <c r="V177" s="3"/>
      <c r="W177" s="50"/>
      <c r="X177" s="9">
        <v>10930200</v>
      </c>
      <c r="Y177" s="9">
        <v>12023215</v>
      </c>
      <c r="Z177" s="34">
        <f t="shared" si="9"/>
        <v>0.47619057992024283</v>
      </c>
      <c r="AA177" s="1">
        <v>12545859</v>
      </c>
      <c r="AB177" s="1" t="s">
        <v>2632</v>
      </c>
      <c r="AC177" s="1"/>
      <c r="AD177" s="1"/>
      <c r="AE177" s="3"/>
      <c r="AF177" s="194" t="s">
        <v>2741</v>
      </c>
      <c r="AG177" s="15" t="s">
        <v>192</v>
      </c>
      <c r="AH177" s="15" t="s">
        <v>192</v>
      </c>
    </row>
    <row r="178" spans="1:34" s="4" customFormat="1" x14ac:dyDescent="0.25">
      <c r="A178" s="16">
        <v>891780148</v>
      </c>
      <c r="B178" s="16" t="s">
        <v>54</v>
      </c>
      <c r="C178" s="14" t="s">
        <v>2627</v>
      </c>
      <c r="D178" s="16" t="s">
        <v>60</v>
      </c>
      <c r="E178" s="1" t="s">
        <v>2742</v>
      </c>
      <c r="F178" s="16" t="s">
        <v>61</v>
      </c>
      <c r="G178" s="1" t="s">
        <v>69</v>
      </c>
      <c r="H178" s="1" t="s">
        <v>2629</v>
      </c>
      <c r="I178" s="9">
        <v>17482886</v>
      </c>
      <c r="J178" s="94"/>
      <c r="K178" s="2"/>
      <c r="L178" s="2"/>
      <c r="M178" s="40">
        <f t="shared" si="10"/>
        <v>17482886</v>
      </c>
      <c r="N178" s="1">
        <v>1192750848</v>
      </c>
      <c r="O178" s="1" t="s">
        <v>2743</v>
      </c>
      <c r="P178" s="1" t="s">
        <v>2643</v>
      </c>
      <c r="Q178" s="3">
        <v>44964</v>
      </c>
      <c r="R178" s="3">
        <v>44964</v>
      </c>
      <c r="S178" s="3">
        <v>45275</v>
      </c>
      <c r="T178" s="35"/>
      <c r="U178" s="3"/>
      <c r="V178" s="3"/>
      <c r="W178" s="50"/>
      <c r="X178" s="9">
        <v>6660148</v>
      </c>
      <c r="Y178" s="9">
        <v>10822738</v>
      </c>
      <c r="Z178" s="34">
        <f t="shared" si="9"/>
        <v>0.38095243542742313</v>
      </c>
      <c r="AA178" s="1">
        <v>12545859</v>
      </c>
      <c r="AB178" s="1" t="s">
        <v>2632</v>
      </c>
      <c r="AC178" s="1"/>
      <c r="AD178" s="1"/>
      <c r="AE178" s="3"/>
      <c r="AF178" s="194" t="s">
        <v>2744</v>
      </c>
      <c r="AG178" s="15" t="s">
        <v>192</v>
      </c>
      <c r="AH178" s="15" t="s">
        <v>192</v>
      </c>
    </row>
    <row r="179" spans="1:34" s="4" customFormat="1" x14ac:dyDescent="0.25">
      <c r="A179" s="16">
        <v>891780149</v>
      </c>
      <c r="B179" s="16" t="s">
        <v>54</v>
      </c>
      <c r="C179" s="14" t="s">
        <v>2627</v>
      </c>
      <c r="D179" s="16" t="s">
        <v>60</v>
      </c>
      <c r="E179" s="1" t="s">
        <v>2745</v>
      </c>
      <c r="F179" s="16" t="s">
        <v>61</v>
      </c>
      <c r="G179" s="1" t="s">
        <v>69</v>
      </c>
      <c r="H179" s="1" t="s">
        <v>2629</v>
      </c>
      <c r="I179" s="9">
        <v>19048225</v>
      </c>
      <c r="J179" s="94"/>
      <c r="K179" s="2"/>
      <c r="L179" s="2"/>
      <c r="M179" s="40">
        <f t="shared" si="10"/>
        <v>19048225</v>
      </c>
      <c r="N179" s="1">
        <v>1002997999</v>
      </c>
      <c r="O179" s="1" t="s">
        <v>2746</v>
      </c>
      <c r="P179" s="1" t="s">
        <v>2636</v>
      </c>
      <c r="Q179" s="3">
        <v>44964</v>
      </c>
      <c r="R179" s="3">
        <v>44964</v>
      </c>
      <c r="S179" s="3">
        <v>45275</v>
      </c>
      <c r="T179" s="35"/>
      <c r="U179" s="3"/>
      <c r="V179" s="3"/>
      <c r="W179" s="50"/>
      <c r="X179" s="9">
        <v>9070585</v>
      </c>
      <c r="Y179" s="9">
        <v>9977640</v>
      </c>
      <c r="Z179" s="34">
        <f t="shared" si="9"/>
        <v>0.47619056368769269</v>
      </c>
      <c r="AA179" s="1">
        <v>12545859</v>
      </c>
      <c r="AB179" s="1" t="s">
        <v>2632</v>
      </c>
      <c r="AC179" s="1"/>
      <c r="AD179" s="1"/>
      <c r="AE179" s="3"/>
      <c r="AF179" s="194" t="s">
        <v>2747</v>
      </c>
      <c r="AG179" s="15" t="s">
        <v>192</v>
      </c>
      <c r="AH179" s="15" t="s">
        <v>192</v>
      </c>
    </row>
    <row r="180" spans="1:34" s="4" customFormat="1" x14ac:dyDescent="0.25">
      <c r="A180" s="16">
        <v>891780150</v>
      </c>
      <c r="B180" s="16" t="s">
        <v>54</v>
      </c>
      <c r="C180" s="14" t="s">
        <v>2627</v>
      </c>
      <c r="D180" s="16" t="s">
        <v>60</v>
      </c>
      <c r="E180" s="1" t="s">
        <v>2748</v>
      </c>
      <c r="F180" s="16" t="s">
        <v>61</v>
      </c>
      <c r="G180" s="1" t="s">
        <v>69</v>
      </c>
      <c r="H180" s="1" t="s">
        <v>2629</v>
      </c>
      <c r="I180" s="9">
        <v>19048225</v>
      </c>
      <c r="J180" s="94"/>
      <c r="K180" s="2"/>
      <c r="L180" s="2"/>
      <c r="M180" s="40">
        <f t="shared" si="10"/>
        <v>19048225</v>
      </c>
      <c r="N180" s="1">
        <v>1063725189</v>
      </c>
      <c r="O180" s="1" t="s">
        <v>2749</v>
      </c>
      <c r="P180" s="1" t="s">
        <v>2636</v>
      </c>
      <c r="Q180" s="3">
        <v>44964</v>
      </c>
      <c r="R180" s="3">
        <v>44964</v>
      </c>
      <c r="S180" s="3">
        <v>45275</v>
      </c>
      <c r="T180" s="35"/>
      <c r="U180" s="3"/>
      <c r="V180" s="3"/>
      <c r="W180" s="50"/>
      <c r="X180" s="9">
        <v>9070585</v>
      </c>
      <c r="Y180" s="9">
        <v>9977640</v>
      </c>
      <c r="Z180" s="34">
        <f t="shared" si="9"/>
        <v>0.47619056368769269</v>
      </c>
      <c r="AA180" s="1">
        <v>12545859</v>
      </c>
      <c r="AB180" s="1" t="s">
        <v>2632</v>
      </c>
      <c r="AC180" s="1"/>
      <c r="AD180" s="1"/>
      <c r="AE180" s="3"/>
      <c r="AF180" s="194" t="s">
        <v>2750</v>
      </c>
      <c r="AG180" s="15" t="s">
        <v>192</v>
      </c>
      <c r="AH180" s="15" t="s">
        <v>192</v>
      </c>
    </row>
    <row r="181" spans="1:34" s="4" customFormat="1" x14ac:dyDescent="0.25">
      <c r="A181" s="16">
        <v>891780151</v>
      </c>
      <c r="B181" s="16" t="s">
        <v>54</v>
      </c>
      <c r="C181" s="14" t="s">
        <v>2627</v>
      </c>
      <c r="D181" s="16" t="s">
        <v>60</v>
      </c>
      <c r="E181" s="1" t="s">
        <v>2751</v>
      </c>
      <c r="F181" s="16" t="s">
        <v>61</v>
      </c>
      <c r="G181" s="1" t="s">
        <v>69</v>
      </c>
      <c r="H181" s="1" t="s">
        <v>2629</v>
      </c>
      <c r="I181" s="9">
        <v>19048225</v>
      </c>
      <c r="J181" s="94"/>
      <c r="K181" s="2"/>
      <c r="L181" s="2"/>
      <c r="M181" s="40">
        <f t="shared" si="10"/>
        <v>19048225</v>
      </c>
      <c r="N181" s="1">
        <v>1037481658</v>
      </c>
      <c r="O181" s="1" t="s">
        <v>2752</v>
      </c>
      <c r="P181" s="1" t="s">
        <v>2636</v>
      </c>
      <c r="Q181" s="3">
        <v>44964</v>
      </c>
      <c r="R181" s="3">
        <v>44964</v>
      </c>
      <c r="S181" s="3">
        <v>45275</v>
      </c>
      <c r="T181" s="35"/>
      <c r="U181" s="3"/>
      <c r="V181" s="3"/>
      <c r="W181" s="50"/>
      <c r="X181" s="9">
        <v>9070585</v>
      </c>
      <c r="Y181" s="9">
        <v>9977640</v>
      </c>
      <c r="Z181" s="34">
        <f t="shared" si="9"/>
        <v>0.47619056368769269</v>
      </c>
      <c r="AA181" s="1">
        <v>12545859</v>
      </c>
      <c r="AB181" s="1" t="s">
        <v>2632</v>
      </c>
      <c r="AC181" s="1"/>
      <c r="AD181" s="1"/>
      <c r="AE181" s="3"/>
      <c r="AF181" s="194" t="s">
        <v>2753</v>
      </c>
      <c r="AG181" s="15" t="s">
        <v>192</v>
      </c>
      <c r="AH181" s="15" t="s">
        <v>192</v>
      </c>
    </row>
    <row r="182" spans="1:34" s="4" customFormat="1" x14ac:dyDescent="0.25">
      <c r="A182" s="16">
        <v>891780152</v>
      </c>
      <c r="B182" s="16" t="s">
        <v>54</v>
      </c>
      <c r="C182" s="14" t="s">
        <v>2627</v>
      </c>
      <c r="D182" s="16" t="s">
        <v>60</v>
      </c>
      <c r="E182" s="1" t="s">
        <v>2754</v>
      </c>
      <c r="F182" s="16" t="s">
        <v>61</v>
      </c>
      <c r="G182" s="1" t="s">
        <v>69</v>
      </c>
      <c r="H182" s="1" t="s">
        <v>2629</v>
      </c>
      <c r="I182" s="9">
        <v>20224225</v>
      </c>
      <c r="J182" s="94"/>
      <c r="K182" s="2"/>
      <c r="L182" s="2"/>
      <c r="M182" s="40">
        <f t="shared" si="10"/>
        <v>20224225</v>
      </c>
      <c r="N182" s="1">
        <v>78710974</v>
      </c>
      <c r="O182" s="1" t="s">
        <v>2755</v>
      </c>
      <c r="P182" s="1" t="s">
        <v>2636</v>
      </c>
      <c r="Q182" s="3">
        <v>44964</v>
      </c>
      <c r="R182" s="3">
        <v>44964</v>
      </c>
      <c r="S182" s="3">
        <v>45275</v>
      </c>
      <c r="T182" s="35"/>
      <c r="U182" s="3"/>
      <c r="V182" s="3"/>
      <c r="W182" s="50"/>
      <c r="X182" s="9">
        <v>9630585</v>
      </c>
      <c r="Y182" s="9">
        <v>10593640</v>
      </c>
      <c r="Z182" s="34">
        <f t="shared" si="9"/>
        <v>0.4761905585998969</v>
      </c>
      <c r="AA182" s="1">
        <v>12545859</v>
      </c>
      <c r="AB182" s="1" t="s">
        <v>2632</v>
      </c>
      <c r="AC182" s="1"/>
      <c r="AD182" s="1"/>
      <c r="AE182" s="3"/>
      <c r="AF182" s="194" t="s">
        <v>2756</v>
      </c>
      <c r="AG182" s="15" t="s">
        <v>192</v>
      </c>
      <c r="AH182" s="15" t="s">
        <v>192</v>
      </c>
    </row>
    <row r="183" spans="1:34" s="4" customFormat="1" x14ac:dyDescent="0.25">
      <c r="A183" s="16">
        <v>891780153</v>
      </c>
      <c r="B183" s="16" t="s">
        <v>54</v>
      </c>
      <c r="C183" s="14" t="s">
        <v>2627</v>
      </c>
      <c r="D183" s="16" t="s">
        <v>60</v>
      </c>
      <c r="E183" s="1" t="s">
        <v>2757</v>
      </c>
      <c r="F183" s="16" t="s">
        <v>61</v>
      </c>
      <c r="G183" s="1" t="s">
        <v>69</v>
      </c>
      <c r="H183" s="1" t="s">
        <v>2629</v>
      </c>
      <c r="I183" s="9">
        <v>19048225</v>
      </c>
      <c r="J183" s="94"/>
      <c r="K183" s="2"/>
      <c r="L183" s="2"/>
      <c r="M183" s="40">
        <f t="shared" si="10"/>
        <v>19048225</v>
      </c>
      <c r="N183" s="1">
        <v>1074714056</v>
      </c>
      <c r="O183" s="1" t="s">
        <v>2758</v>
      </c>
      <c r="P183" s="1" t="s">
        <v>2643</v>
      </c>
      <c r="Q183" s="3">
        <v>44964</v>
      </c>
      <c r="R183" s="3">
        <v>44964</v>
      </c>
      <c r="S183" s="3">
        <v>45275</v>
      </c>
      <c r="T183" s="35"/>
      <c r="U183" s="3"/>
      <c r="V183" s="3"/>
      <c r="W183" s="50"/>
      <c r="X183" s="9">
        <v>9070585</v>
      </c>
      <c r="Y183" s="9">
        <v>9977640</v>
      </c>
      <c r="Z183" s="34">
        <f t="shared" si="9"/>
        <v>0.47619056368769269</v>
      </c>
      <c r="AA183" s="1">
        <v>12545859</v>
      </c>
      <c r="AB183" s="1" t="s">
        <v>2632</v>
      </c>
      <c r="AC183" s="1"/>
      <c r="AD183" s="1"/>
      <c r="AE183" s="3"/>
      <c r="AF183" s="194" t="s">
        <v>2759</v>
      </c>
      <c r="AG183" s="15" t="s">
        <v>192</v>
      </c>
      <c r="AH183" s="15" t="s">
        <v>192</v>
      </c>
    </row>
    <row r="184" spans="1:34" s="4" customFormat="1" x14ac:dyDescent="0.25">
      <c r="A184" s="16">
        <v>891780154</v>
      </c>
      <c r="B184" s="16" t="s">
        <v>54</v>
      </c>
      <c r="C184" s="14" t="s">
        <v>2627</v>
      </c>
      <c r="D184" s="16" t="s">
        <v>60</v>
      </c>
      <c r="E184" s="1" t="s">
        <v>2760</v>
      </c>
      <c r="F184" s="16" t="s">
        <v>61</v>
      </c>
      <c r="G184" s="1" t="s">
        <v>69</v>
      </c>
      <c r="H184" s="1" t="s">
        <v>2629</v>
      </c>
      <c r="I184" s="9">
        <v>19121631</v>
      </c>
      <c r="J184" s="94"/>
      <c r="K184" s="2"/>
      <c r="L184" s="2"/>
      <c r="M184" s="40">
        <f t="shared" si="10"/>
        <v>19121631</v>
      </c>
      <c r="N184" s="1">
        <v>71985959</v>
      </c>
      <c r="O184" s="1" t="s">
        <v>2761</v>
      </c>
      <c r="P184" s="1" t="s">
        <v>2643</v>
      </c>
      <c r="Q184" s="3">
        <v>44964</v>
      </c>
      <c r="R184" s="3">
        <v>44964</v>
      </c>
      <c r="S184" s="3">
        <v>45275</v>
      </c>
      <c r="T184" s="35"/>
      <c r="U184" s="3"/>
      <c r="V184" s="3"/>
      <c r="W184" s="50"/>
      <c r="X184" s="9">
        <v>9105540</v>
      </c>
      <c r="Y184" s="9">
        <v>10016091</v>
      </c>
      <c r="Z184" s="34">
        <f t="shared" si="9"/>
        <v>0.47619055090018209</v>
      </c>
      <c r="AA184" s="1">
        <v>12545859</v>
      </c>
      <c r="AB184" s="1" t="s">
        <v>2632</v>
      </c>
      <c r="AC184" s="1"/>
      <c r="AD184" s="1"/>
      <c r="AE184" s="3"/>
      <c r="AF184" s="194" t="s">
        <v>2762</v>
      </c>
      <c r="AG184" s="15" t="s">
        <v>192</v>
      </c>
      <c r="AH184" s="15" t="s">
        <v>192</v>
      </c>
    </row>
    <row r="185" spans="1:34" s="4" customFormat="1" x14ac:dyDescent="0.25">
      <c r="A185" s="16">
        <v>891780155</v>
      </c>
      <c r="B185" s="16" t="s">
        <v>54</v>
      </c>
      <c r="C185" s="14" t="s">
        <v>2627</v>
      </c>
      <c r="D185" s="16" t="s">
        <v>60</v>
      </c>
      <c r="E185" s="1" t="s">
        <v>2763</v>
      </c>
      <c r="F185" s="16" t="s">
        <v>61</v>
      </c>
      <c r="G185" s="1" t="s">
        <v>69</v>
      </c>
      <c r="H185" s="1" t="s">
        <v>2629</v>
      </c>
      <c r="I185" s="9">
        <v>19048225</v>
      </c>
      <c r="J185" s="94"/>
      <c r="K185" s="2"/>
      <c r="L185" s="2"/>
      <c r="M185" s="40">
        <f t="shared" si="10"/>
        <v>19048225</v>
      </c>
      <c r="N185" s="1">
        <v>70529668</v>
      </c>
      <c r="O185" s="1" t="s">
        <v>2764</v>
      </c>
      <c r="P185" s="1" t="s">
        <v>2636</v>
      </c>
      <c r="Q185" s="3">
        <v>44964</v>
      </c>
      <c r="R185" s="3">
        <v>44964</v>
      </c>
      <c r="S185" s="3">
        <v>45275</v>
      </c>
      <c r="T185" s="35"/>
      <c r="U185" s="3"/>
      <c r="V185" s="3"/>
      <c r="W185" s="50"/>
      <c r="X185" s="9">
        <v>9070585</v>
      </c>
      <c r="Y185" s="9">
        <v>9977640</v>
      </c>
      <c r="Z185" s="34">
        <f t="shared" si="9"/>
        <v>0.47619056368769269</v>
      </c>
      <c r="AA185" s="1">
        <v>12545859</v>
      </c>
      <c r="AB185" s="1" t="s">
        <v>2632</v>
      </c>
      <c r="AC185" s="1"/>
      <c r="AD185" s="1"/>
      <c r="AE185" s="3"/>
      <c r="AF185" s="194" t="s">
        <v>2765</v>
      </c>
      <c r="AG185" s="15" t="s">
        <v>192</v>
      </c>
      <c r="AH185" s="15" t="s">
        <v>192</v>
      </c>
    </row>
    <row r="186" spans="1:34" s="4" customFormat="1" x14ac:dyDescent="0.25">
      <c r="A186" s="16">
        <v>891780156</v>
      </c>
      <c r="B186" s="16" t="s">
        <v>54</v>
      </c>
      <c r="C186" s="14" t="s">
        <v>2627</v>
      </c>
      <c r="D186" s="16" t="s">
        <v>60</v>
      </c>
      <c r="E186" s="1" t="s">
        <v>2766</v>
      </c>
      <c r="F186" s="16" t="s">
        <v>61</v>
      </c>
      <c r="G186" s="1" t="s">
        <v>69</v>
      </c>
      <c r="H186" s="1" t="s">
        <v>2629</v>
      </c>
      <c r="I186" s="9">
        <v>19048225</v>
      </c>
      <c r="J186" s="94"/>
      <c r="K186" s="2"/>
      <c r="L186" s="2"/>
      <c r="M186" s="40">
        <f t="shared" si="10"/>
        <v>19048225</v>
      </c>
      <c r="N186" s="1">
        <v>11031800</v>
      </c>
      <c r="O186" s="1" t="s">
        <v>2767</v>
      </c>
      <c r="P186" s="1" t="s">
        <v>2636</v>
      </c>
      <c r="Q186" s="3">
        <v>44964</v>
      </c>
      <c r="R186" s="3">
        <v>44964</v>
      </c>
      <c r="S186" s="3">
        <v>45275</v>
      </c>
      <c r="T186" s="35"/>
      <c r="U186" s="3"/>
      <c r="V186" s="3"/>
      <c r="W186" s="50"/>
      <c r="X186" s="9">
        <v>9070585</v>
      </c>
      <c r="Y186" s="9">
        <v>9977640</v>
      </c>
      <c r="Z186" s="34">
        <f t="shared" si="9"/>
        <v>0.47619056368769269</v>
      </c>
      <c r="AA186" s="1">
        <v>12545859</v>
      </c>
      <c r="AB186" s="1" t="s">
        <v>2632</v>
      </c>
      <c r="AC186" s="1"/>
      <c r="AD186" s="1"/>
      <c r="AE186" s="3"/>
      <c r="AF186" s="194" t="s">
        <v>2768</v>
      </c>
      <c r="AG186" s="15" t="s">
        <v>192</v>
      </c>
      <c r="AH186" s="15" t="s">
        <v>192</v>
      </c>
    </row>
    <row r="187" spans="1:34" s="4" customFormat="1" x14ac:dyDescent="0.25">
      <c r="A187" s="16">
        <v>891780157</v>
      </c>
      <c r="B187" s="16" t="s">
        <v>54</v>
      </c>
      <c r="C187" s="14" t="s">
        <v>2627</v>
      </c>
      <c r="D187" s="16" t="s">
        <v>60</v>
      </c>
      <c r="E187" s="1" t="s">
        <v>2769</v>
      </c>
      <c r="F187" s="16" t="s">
        <v>61</v>
      </c>
      <c r="G187" s="1" t="s">
        <v>69</v>
      </c>
      <c r="H187" s="1" t="s">
        <v>2629</v>
      </c>
      <c r="I187" s="9">
        <v>19425415</v>
      </c>
      <c r="J187" s="94"/>
      <c r="K187" s="2"/>
      <c r="L187" s="2"/>
      <c r="M187" s="40">
        <f t="shared" si="10"/>
        <v>19425415</v>
      </c>
      <c r="N187" s="1">
        <v>82330081</v>
      </c>
      <c r="O187" s="1" t="s">
        <v>2770</v>
      </c>
      <c r="P187" s="1" t="s">
        <v>2651</v>
      </c>
      <c r="Q187" s="3">
        <v>44964</v>
      </c>
      <c r="R187" s="3">
        <v>44964</v>
      </c>
      <c r="S187" s="3">
        <v>45275</v>
      </c>
      <c r="T187" s="35"/>
      <c r="U187" s="3"/>
      <c r="V187" s="3"/>
      <c r="W187" s="50"/>
      <c r="X187" s="9">
        <v>9250200</v>
      </c>
      <c r="Y187" s="9">
        <v>10175215</v>
      </c>
      <c r="Z187" s="34">
        <f t="shared" si="9"/>
        <v>0.47619059875940872</v>
      </c>
      <c r="AA187" s="1">
        <v>12545859</v>
      </c>
      <c r="AB187" s="1" t="s">
        <v>2632</v>
      </c>
      <c r="AC187" s="1"/>
      <c r="AD187" s="1"/>
      <c r="AE187" s="3"/>
      <c r="AF187" s="194" t="s">
        <v>2771</v>
      </c>
      <c r="AG187" s="15" t="s">
        <v>192</v>
      </c>
      <c r="AH187" s="15" t="s">
        <v>192</v>
      </c>
    </row>
    <row r="188" spans="1:34" s="4" customFormat="1" x14ac:dyDescent="0.25">
      <c r="A188" s="16">
        <v>891780158</v>
      </c>
      <c r="B188" s="16" t="s">
        <v>54</v>
      </c>
      <c r="C188" s="14" t="s">
        <v>2627</v>
      </c>
      <c r="D188" s="16" t="s">
        <v>60</v>
      </c>
      <c r="E188" s="1" t="s">
        <v>2772</v>
      </c>
      <c r="F188" s="16" t="s">
        <v>61</v>
      </c>
      <c r="G188" s="1" t="s">
        <v>69</v>
      </c>
      <c r="H188" s="1" t="s">
        <v>2629</v>
      </c>
      <c r="I188" s="9">
        <v>19048225</v>
      </c>
      <c r="J188" s="94"/>
      <c r="K188" s="2"/>
      <c r="L188" s="2"/>
      <c r="M188" s="40">
        <f t="shared" si="10"/>
        <v>19048225</v>
      </c>
      <c r="N188" s="1">
        <v>1067922795</v>
      </c>
      <c r="O188" s="1" t="s">
        <v>2773</v>
      </c>
      <c r="P188" s="1" t="s">
        <v>2636</v>
      </c>
      <c r="Q188" s="3">
        <v>44964</v>
      </c>
      <c r="R188" s="3">
        <v>44964</v>
      </c>
      <c r="S188" s="3">
        <v>45275</v>
      </c>
      <c r="T188" s="35"/>
      <c r="U188" s="3"/>
      <c r="V188" s="3"/>
      <c r="W188" s="50"/>
      <c r="X188" s="9">
        <v>9070585</v>
      </c>
      <c r="Y188" s="9">
        <v>9977640</v>
      </c>
      <c r="Z188" s="34">
        <f t="shared" si="9"/>
        <v>0.47619056368769269</v>
      </c>
      <c r="AA188" s="1">
        <v>12545859</v>
      </c>
      <c r="AB188" s="1" t="s">
        <v>2632</v>
      </c>
      <c r="AC188" s="1"/>
      <c r="AD188" s="1"/>
      <c r="AE188" s="3"/>
      <c r="AF188" s="194" t="s">
        <v>2774</v>
      </c>
      <c r="AG188" s="15" t="s">
        <v>192</v>
      </c>
      <c r="AH188" s="15" t="s">
        <v>192</v>
      </c>
    </row>
    <row r="189" spans="1:34" s="4" customFormat="1" x14ac:dyDescent="0.25">
      <c r="A189" s="16">
        <v>891780159</v>
      </c>
      <c r="B189" s="16" t="s">
        <v>54</v>
      </c>
      <c r="C189" s="14" t="s">
        <v>2627</v>
      </c>
      <c r="D189" s="16" t="s">
        <v>60</v>
      </c>
      <c r="E189" s="1" t="s">
        <v>2775</v>
      </c>
      <c r="F189" s="16" t="s">
        <v>61</v>
      </c>
      <c r="G189" s="1" t="s">
        <v>69</v>
      </c>
      <c r="H189" s="1" t="s">
        <v>2629</v>
      </c>
      <c r="I189" s="9">
        <v>19048225</v>
      </c>
      <c r="J189" s="94"/>
      <c r="K189" s="2"/>
      <c r="L189" s="2"/>
      <c r="M189" s="40">
        <f t="shared" si="10"/>
        <v>19048225</v>
      </c>
      <c r="N189" s="1">
        <v>39321423</v>
      </c>
      <c r="O189" s="1" t="s">
        <v>2776</v>
      </c>
      <c r="P189" s="1" t="s">
        <v>2636</v>
      </c>
      <c r="Q189" s="3">
        <v>44964</v>
      </c>
      <c r="R189" s="3">
        <v>44964</v>
      </c>
      <c r="S189" s="3">
        <v>45275</v>
      </c>
      <c r="T189" s="35"/>
      <c r="U189" s="3"/>
      <c r="V189" s="3"/>
      <c r="W189" s="50"/>
      <c r="X189" s="9">
        <v>9070585</v>
      </c>
      <c r="Y189" s="9">
        <v>9977640</v>
      </c>
      <c r="Z189" s="34">
        <f t="shared" si="9"/>
        <v>0.47619056368769269</v>
      </c>
      <c r="AA189" s="1">
        <v>12545859</v>
      </c>
      <c r="AB189" s="1" t="s">
        <v>2632</v>
      </c>
      <c r="AC189" s="1"/>
      <c r="AD189" s="1"/>
      <c r="AE189" s="3"/>
      <c r="AF189" s="194" t="s">
        <v>2777</v>
      </c>
      <c r="AG189" s="15" t="s">
        <v>192</v>
      </c>
      <c r="AH189" s="15" t="s">
        <v>192</v>
      </c>
    </row>
    <row r="190" spans="1:34" s="4" customFormat="1" x14ac:dyDescent="0.25">
      <c r="A190" s="16">
        <v>891780160</v>
      </c>
      <c r="B190" s="16" t="s">
        <v>54</v>
      </c>
      <c r="C190" s="14" t="s">
        <v>2627</v>
      </c>
      <c r="D190" s="16" t="s">
        <v>60</v>
      </c>
      <c r="E190" s="1" t="s">
        <v>2778</v>
      </c>
      <c r="F190" s="16" t="s">
        <v>61</v>
      </c>
      <c r="G190" s="1" t="s">
        <v>69</v>
      </c>
      <c r="H190" s="1" t="s">
        <v>2629</v>
      </c>
      <c r="I190" s="9">
        <v>19048225</v>
      </c>
      <c r="J190" s="94"/>
      <c r="K190" s="2"/>
      <c r="L190" s="2"/>
      <c r="M190" s="40">
        <f t="shared" si="10"/>
        <v>19048225</v>
      </c>
      <c r="N190" s="1">
        <v>39315104</v>
      </c>
      <c r="O190" s="1" t="s">
        <v>2779</v>
      </c>
      <c r="P190" s="1" t="s">
        <v>2643</v>
      </c>
      <c r="Q190" s="3">
        <v>44964</v>
      </c>
      <c r="R190" s="3">
        <v>44964</v>
      </c>
      <c r="S190" s="3">
        <v>45275</v>
      </c>
      <c r="T190" s="35"/>
      <c r="U190" s="3"/>
      <c r="V190" s="3"/>
      <c r="W190" s="50"/>
      <c r="X190" s="9">
        <v>9070585</v>
      </c>
      <c r="Y190" s="9">
        <v>9977640</v>
      </c>
      <c r="Z190" s="34">
        <f t="shared" si="9"/>
        <v>0.47619056368769269</v>
      </c>
      <c r="AA190" s="1">
        <v>12545859</v>
      </c>
      <c r="AB190" s="1" t="s">
        <v>2632</v>
      </c>
      <c r="AC190" s="1"/>
      <c r="AD190" s="1"/>
      <c r="AE190" s="3"/>
      <c r="AF190" s="194" t="s">
        <v>2780</v>
      </c>
      <c r="AG190" s="15" t="s">
        <v>192</v>
      </c>
      <c r="AH190" s="15" t="s">
        <v>192</v>
      </c>
    </row>
    <row r="191" spans="1:34" s="4" customFormat="1" x14ac:dyDescent="0.25">
      <c r="A191" s="16">
        <v>891780161</v>
      </c>
      <c r="B191" s="16" t="s">
        <v>54</v>
      </c>
      <c r="C191" s="14" t="s">
        <v>2627</v>
      </c>
      <c r="D191" s="16" t="s">
        <v>60</v>
      </c>
      <c r="E191" s="1" t="s">
        <v>2781</v>
      </c>
      <c r="F191" s="16" t="s">
        <v>61</v>
      </c>
      <c r="G191" s="1" t="s">
        <v>69</v>
      </c>
      <c r="H191" s="1" t="s">
        <v>2629</v>
      </c>
      <c r="I191" s="9">
        <v>19048225</v>
      </c>
      <c r="J191" s="94"/>
      <c r="K191" s="2"/>
      <c r="L191" s="2"/>
      <c r="M191" s="40">
        <f t="shared" si="10"/>
        <v>19048225</v>
      </c>
      <c r="N191" s="1">
        <v>39308828</v>
      </c>
      <c r="O191" s="1" t="s">
        <v>2782</v>
      </c>
      <c r="P191" s="1" t="s">
        <v>2636</v>
      </c>
      <c r="Q191" s="3">
        <v>44964</v>
      </c>
      <c r="R191" s="3">
        <v>44964</v>
      </c>
      <c r="S191" s="3">
        <v>45275</v>
      </c>
      <c r="T191" s="35"/>
      <c r="U191" s="3"/>
      <c r="V191" s="3"/>
      <c r="W191" s="50"/>
      <c r="X191" s="9">
        <v>9070585</v>
      </c>
      <c r="Y191" s="9">
        <v>9977640</v>
      </c>
      <c r="Z191" s="34">
        <f t="shared" si="9"/>
        <v>0.47619056368769269</v>
      </c>
      <c r="AA191" s="1">
        <v>12545859</v>
      </c>
      <c r="AB191" s="1" t="s">
        <v>2632</v>
      </c>
      <c r="AC191" s="1"/>
      <c r="AD191" s="1"/>
      <c r="AE191" s="3"/>
      <c r="AF191" s="194" t="s">
        <v>2783</v>
      </c>
      <c r="AG191" s="15" t="s">
        <v>192</v>
      </c>
      <c r="AH191" s="15" t="s">
        <v>192</v>
      </c>
    </row>
    <row r="192" spans="1:34" s="4" customFormat="1" x14ac:dyDescent="0.25">
      <c r="A192" s="16">
        <v>891780162</v>
      </c>
      <c r="B192" s="16" t="s">
        <v>54</v>
      </c>
      <c r="C192" s="14" t="s">
        <v>2627</v>
      </c>
      <c r="D192" s="16" t="s">
        <v>60</v>
      </c>
      <c r="E192" s="1" t="s">
        <v>2784</v>
      </c>
      <c r="F192" s="16" t="s">
        <v>61</v>
      </c>
      <c r="G192" s="1" t="s">
        <v>69</v>
      </c>
      <c r="H192" s="1" t="s">
        <v>2629</v>
      </c>
      <c r="I192" s="9">
        <v>19048225</v>
      </c>
      <c r="J192" s="94"/>
      <c r="K192" s="2"/>
      <c r="L192" s="2"/>
      <c r="M192" s="40">
        <f t="shared" si="10"/>
        <v>19048225</v>
      </c>
      <c r="N192" s="1">
        <v>1001595318</v>
      </c>
      <c r="O192" s="1" t="s">
        <v>2785</v>
      </c>
      <c r="P192" s="1" t="s">
        <v>2636</v>
      </c>
      <c r="Q192" s="3">
        <v>44964</v>
      </c>
      <c r="R192" s="3">
        <v>44964</v>
      </c>
      <c r="S192" s="3">
        <v>45275</v>
      </c>
      <c r="T192" s="35"/>
      <c r="U192" s="3"/>
      <c r="V192" s="3"/>
      <c r="W192" s="50"/>
      <c r="X192" s="9">
        <v>9070585</v>
      </c>
      <c r="Y192" s="9">
        <v>9977640</v>
      </c>
      <c r="Z192" s="34">
        <f t="shared" si="9"/>
        <v>0.47619056368769269</v>
      </c>
      <c r="AA192" s="1">
        <v>12545859</v>
      </c>
      <c r="AB192" s="1" t="s">
        <v>2632</v>
      </c>
      <c r="AC192" s="1"/>
      <c r="AD192" s="1"/>
      <c r="AE192" s="3"/>
      <c r="AF192" s="194" t="s">
        <v>2786</v>
      </c>
      <c r="AG192" s="15" t="s">
        <v>192</v>
      </c>
      <c r="AH192" s="15" t="s">
        <v>192</v>
      </c>
    </row>
    <row r="193" spans="1:34" s="4" customFormat="1" x14ac:dyDescent="0.25">
      <c r="A193" s="16">
        <v>891780163</v>
      </c>
      <c r="B193" s="16" t="s">
        <v>54</v>
      </c>
      <c r="C193" s="14" t="s">
        <v>2627</v>
      </c>
      <c r="D193" s="16" t="s">
        <v>60</v>
      </c>
      <c r="E193" s="1" t="s">
        <v>2787</v>
      </c>
      <c r="F193" s="16" t="s">
        <v>61</v>
      </c>
      <c r="G193" s="1" t="s">
        <v>69</v>
      </c>
      <c r="H193" s="1" t="s">
        <v>2629</v>
      </c>
      <c r="I193" s="9">
        <v>19048225</v>
      </c>
      <c r="J193" s="94"/>
      <c r="K193" s="2"/>
      <c r="L193" s="2"/>
      <c r="M193" s="40">
        <f t="shared" si="10"/>
        <v>19048225</v>
      </c>
      <c r="N193" s="1">
        <v>1064312222</v>
      </c>
      <c r="O193" s="1" t="s">
        <v>2788</v>
      </c>
      <c r="P193" s="1" t="s">
        <v>2636</v>
      </c>
      <c r="Q193" s="3">
        <v>44964</v>
      </c>
      <c r="R193" s="3">
        <v>44964</v>
      </c>
      <c r="S193" s="3">
        <v>45275</v>
      </c>
      <c r="T193" s="35"/>
      <c r="U193" s="3"/>
      <c r="V193" s="3"/>
      <c r="W193" s="50"/>
      <c r="X193" s="9">
        <v>9070585</v>
      </c>
      <c r="Y193" s="9">
        <v>9977640</v>
      </c>
      <c r="Z193" s="34">
        <f t="shared" si="9"/>
        <v>0.47619056368769269</v>
      </c>
      <c r="AA193" s="1">
        <v>12545859</v>
      </c>
      <c r="AB193" s="1" t="s">
        <v>2632</v>
      </c>
      <c r="AC193" s="1"/>
      <c r="AD193" s="1"/>
      <c r="AE193" s="3"/>
      <c r="AF193" s="194" t="s">
        <v>2789</v>
      </c>
      <c r="AG193" s="15" t="s">
        <v>192</v>
      </c>
      <c r="AH193" s="15" t="s">
        <v>192</v>
      </c>
    </row>
    <row r="194" spans="1:34" s="4" customFormat="1" x14ac:dyDescent="0.25">
      <c r="A194" s="16">
        <v>891780164</v>
      </c>
      <c r="B194" s="16" t="s">
        <v>54</v>
      </c>
      <c r="C194" s="14" t="s">
        <v>2627</v>
      </c>
      <c r="D194" s="16" t="s">
        <v>60</v>
      </c>
      <c r="E194" s="1" t="s">
        <v>2790</v>
      </c>
      <c r="F194" s="16" t="s">
        <v>61</v>
      </c>
      <c r="G194" s="1" t="s">
        <v>69</v>
      </c>
      <c r="H194" s="1" t="s">
        <v>2629</v>
      </c>
      <c r="I194" s="9">
        <v>19048225</v>
      </c>
      <c r="J194" s="94"/>
      <c r="K194" s="2"/>
      <c r="L194" s="2"/>
      <c r="M194" s="40">
        <f t="shared" si="10"/>
        <v>19048225</v>
      </c>
      <c r="N194" s="1">
        <v>1078578016</v>
      </c>
      <c r="O194" s="1" t="s">
        <v>2791</v>
      </c>
      <c r="P194" s="1" t="s">
        <v>2636</v>
      </c>
      <c r="Q194" s="3">
        <v>44964</v>
      </c>
      <c r="R194" s="3">
        <v>44964</v>
      </c>
      <c r="S194" s="3">
        <v>45275</v>
      </c>
      <c r="T194" s="35"/>
      <c r="U194" s="3"/>
      <c r="V194" s="3"/>
      <c r="W194" s="50"/>
      <c r="X194" s="9">
        <v>9070585</v>
      </c>
      <c r="Y194" s="9">
        <v>9977640</v>
      </c>
      <c r="Z194" s="34">
        <f t="shared" si="9"/>
        <v>0.47619056368769269</v>
      </c>
      <c r="AA194" s="1">
        <v>12545859</v>
      </c>
      <c r="AB194" s="1" t="s">
        <v>2632</v>
      </c>
      <c r="AC194" s="1"/>
      <c r="AD194" s="1"/>
      <c r="AE194" s="3"/>
      <c r="AF194" s="194" t="s">
        <v>2792</v>
      </c>
      <c r="AG194" s="15" t="s">
        <v>192</v>
      </c>
      <c r="AH194" s="15" t="s">
        <v>192</v>
      </c>
    </row>
    <row r="195" spans="1:34" s="4" customFormat="1" x14ac:dyDescent="0.25">
      <c r="A195" s="16">
        <v>891780165</v>
      </c>
      <c r="B195" s="16" t="s">
        <v>54</v>
      </c>
      <c r="C195" s="14" t="s">
        <v>2627</v>
      </c>
      <c r="D195" s="16" t="s">
        <v>60</v>
      </c>
      <c r="E195" s="1" t="s">
        <v>2793</v>
      </c>
      <c r="F195" s="16" t="s">
        <v>61</v>
      </c>
      <c r="G195" s="1" t="s">
        <v>69</v>
      </c>
      <c r="H195" s="1" t="s">
        <v>2629</v>
      </c>
      <c r="I195" s="9">
        <v>20224225</v>
      </c>
      <c r="J195" s="94"/>
      <c r="K195" s="2"/>
      <c r="L195" s="2"/>
      <c r="M195" s="40">
        <f t="shared" si="10"/>
        <v>20224225</v>
      </c>
      <c r="N195" s="1">
        <v>32203884</v>
      </c>
      <c r="O195" s="1" t="s">
        <v>2794</v>
      </c>
      <c r="P195" s="1" t="s">
        <v>2651</v>
      </c>
      <c r="Q195" s="3">
        <v>44964</v>
      </c>
      <c r="R195" s="3">
        <v>44964</v>
      </c>
      <c r="S195" s="3">
        <v>45275</v>
      </c>
      <c r="T195" s="35"/>
      <c r="U195" s="3"/>
      <c r="V195" s="3"/>
      <c r="W195" s="50"/>
      <c r="X195" s="9">
        <v>9630585</v>
      </c>
      <c r="Y195" s="9">
        <v>10593640</v>
      </c>
      <c r="Z195" s="34">
        <f t="shared" si="9"/>
        <v>0.4761905585998969</v>
      </c>
      <c r="AA195" s="1">
        <v>12545859</v>
      </c>
      <c r="AB195" s="1" t="s">
        <v>2632</v>
      </c>
      <c r="AC195" s="1"/>
      <c r="AD195" s="1"/>
      <c r="AE195" s="3"/>
      <c r="AF195" s="194" t="s">
        <v>2795</v>
      </c>
      <c r="AG195" s="15" t="s">
        <v>192</v>
      </c>
      <c r="AH195" s="15" t="s">
        <v>192</v>
      </c>
    </row>
    <row r="196" spans="1:34" s="4" customFormat="1" x14ac:dyDescent="0.25">
      <c r="A196" s="16">
        <v>891780166</v>
      </c>
      <c r="B196" s="16" t="s">
        <v>54</v>
      </c>
      <c r="C196" s="14" t="s">
        <v>2627</v>
      </c>
      <c r="D196" s="16" t="s">
        <v>60</v>
      </c>
      <c r="E196" s="1" t="s">
        <v>2796</v>
      </c>
      <c r="F196" s="16" t="s">
        <v>61</v>
      </c>
      <c r="G196" s="1" t="s">
        <v>69</v>
      </c>
      <c r="H196" s="1" t="s">
        <v>2629</v>
      </c>
      <c r="I196" s="9">
        <v>21029244</v>
      </c>
      <c r="J196" s="94"/>
      <c r="K196" s="2"/>
      <c r="L196" s="2"/>
      <c r="M196" s="40">
        <f t="shared" si="10"/>
        <v>21029244</v>
      </c>
      <c r="N196" s="1">
        <v>1133796006</v>
      </c>
      <c r="O196" s="1" t="s">
        <v>2797</v>
      </c>
      <c r="P196" s="1" t="s">
        <v>2651</v>
      </c>
      <c r="Q196" s="3">
        <v>44964</v>
      </c>
      <c r="R196" s="3">
        <v>44964</v>
      </c>
      <c r="S196" s="3">
        <v>45275</v>
      </c>
      <c r="T196" s="35"/>
      <c r="U196" s="3"/>
      <c r="V196" s="3"/>
      <c r="W196" s="50"/>
      <c r="X196" s="9">
        <v>10013925</v>
      </c>
      <c r="Y196" s="9">
        <v>11015319</v>
      </c>
      <c r="Z196" s="34">
        <f t="shared" si="9"/>
        <v>0.47619044222417123</v>
      </c>
      <c r="AA196" s="1">
        <v>12545859</v>
      </c>
      <c r="AB196" s="1" t="s">
        <v>2632</v>
      </c>
      <c r="AC196" s="1"/>
      <c r="AD196" s="1"/>
      <c r="AE196" s="3"/>
      <c r="AF196" s="194" t="s">
        <v>2798</v>
      </c>
      <c r="AG196" s="15" t="s">
        <v>192</v>
      </c>
      <c r="AH196" s="15" t="s">
        <v>192</v>
      </c>
    </row>
    <row r="197" spans="1:34" s="4" customFormat="1" x14ac:dyDescent="0.25">
      <c r="A197" s="16">
        <v>891780167</v>
      </c>
      <c r="B197" s="16" t="s">
        <v>54</v>
      </c>
      <c r="C197" s="14" t="s">
        <v>2627</v>
      </c>
      <c r="D197" s="16" t="s">
        <v>60</v>
      </c>
      <c r="E197" s="1" t="s">
        <v>2799</v>
      </c>
      <c r="F197" s="16" t="s">
        <v>61</v>
      </c>
      <c r="G197" s="1" t="s">
        <v>69</v>
      </c>
      <c r="H197" s="1" t="s">
        <v>2629</v>
      </c>
      <c r="I197" s="9">
        <v>20821033</v>
      </c>
      <c r="J197" s="94"/>
      <c r="K197" s="2"/>
      <c r="L197" s="2"/>
      <c r="M197" s="40">
        <f t="shared" si="10"/>
        <v>20821033</v>
      </c>
      <c r="N197" s="1">
        <v>1067844949</v>
      </c>
      <c r="O197" s="1" t="s">
        <v>2800</v>
      </c>
      <c r="P197" s="1" t="s">
        <v>2651</v>
      </c>
      <c r="Q197" s="3">
        <v>44964</v>
      </c>
      <c r="R197" s="3">
        <v>44964</v>
      </c>
      <c r="S197" s="3">
        <v>45275</v>
      </c>
      <c r="T197" s="35"/>
      <c r="U197" s="3"/>
      <c r="V197" s="3"/>
      <c r="W197" s="50"/>
      <c r="X197" s="9">
        <v>9914780</v>
      </c>
      <c r="Y197" s="9">
        <v>10906253</v>
      </c>
      <c r="Z197" s="34">
        <f t="shared" ref="Z197:Z260" si="11">+(X197/M197)</f>
        <v>0.47619059054370644</v>
      </c>
      <c r="AA197" s="1">
        <v>12545859</v>
      </c>
      <c r="AB197" s="1" t="s">
        <v>2632</v>
      </c>
      <c r="AC197" s="1"/>
      <c r="AD197" s="1"/>
      <c r="AE197" s="3"/>
      <c r="AF197" s="194" t="s">
        <v>2801</v>
      </c>
      <c r="AG197" s="15" t="s">
        <v>192</v>
      </c>
      <c r="AH197" s="15" t="s">
        <v>192</v>
      </c>
    </row>
    <row r="198" spans="1:34" s="4" customFormat="1" x14ac:dyDescent="0.25">
      <c r="A198" s="16">
        <v>891780168</v>
      </c>
      <c r="B198" s="16" t="s">
        <v>54</v>
      </c>
      <c r="C198" s="14" t="s">
        <v>2627</v>
      </c>
      <c r="D198" s="16" t="s">
        <v>60</v>
      </c>
      <c r="E198" s="1" t="s">
        <v>2802</v>
      </c>
      <c r="F198" s="16" t="s">
        <v>61</v>
      </c>
      <c r="G198" s="1" t="s">
        <v>69</v>
      </c>
      <c r="H198" s="1" t="s">
        <v>2629</v>
      </c>
      <c r="I198" s="9">
        <v>19048225</v>
      </c>
      <c r="J198" s="94"/>
      <c r="K198" s="2"/>
      <c r="L198" s="2"/>
      <c r="M198" s="40">
        <f t="shared" ref="M198:M261" si="12">I198+K198-L198</f>
        <v>19048225</v>
      </c>
      <c r="N198" s="1">
        <v>1192912511</v>
      </c>
      <c r="O198" s="1" t="s">
        <v>2803</v>
      </c>
      <c r="P198" s="1" t="s">
        <v>2636</v>
      </c>
      <c r="Q198" s="3">
        <v>44964</v>
      </c>
      <c r="R198" s="3">
        <v>44964</v>
      </c>
      <c r="S198" s="3">
        <v>45275</v>
      </c>
      <c r="T198" s="35"/>
      <c r="U198" s="3"/>
      <c r="V198" s="3"/>
      <c r="W198" s="50"/>
      <c r="X198" s="9">
        <v>9070585</v>
      </c>
      <c r="Y198" s="9">
        <v>9977640</v>
      </c>
      <c r="Z198" s="34">
        <f t="shared" si="11"/>
        <v>0.47619056368769269</v>
      </c>
      <c r="AA198" s="1">
        <v>12545859</v>
      </c>
      <c r="AB198" s="1" t="s">
        <v>2632</v>
      </c>
      <c r="AC198" s="1"/>
      <c r="AD198" s="1"/>
      <c r="AE198" s="3"/>
      <c r="AF198" s="194" t="s">
        <v>2804</v>
      </c>
      <c r="AG198" s="15" t="s">
        <v>192</v>
      </c>
      <c r="AH198" s="15" t="s">
        <v>192</v>
      </c>
    </row>
    <row r="199" spans="1:34" s="4" customFormat="1" x14ac:dyDescent="0.25">
      <c r="A199" s="16">
        <v>891780169</v>
      </c>
      <c r="B199" s="16" t="s">
        <v>54</v>
      </c>
      <c r="C199" s="14" t="s">
        <v>2627</v>
      </c>
      <c r="D199" s="16" t="s">
        <v>60</v>
      </c>
      <c r="E199" s="1" t="s">
        <v>2805</v>
      </c>
      <c r="F199" s="16" t="s">
        <v>61</v>
      </c>
      <c r="G199" s="1" t="s">
        <v>69</v>
      </c>
      <c r="H199" s="1" t="s">
        <v>2629</v>
      </c>
      <c r="I199" s="9">
        <v>19425415</v>
      </c>
      <c r="J199" s="94"/>
      <c r="K199" s="2"/>
      <c r="L199" s="2"/>
      <c r="M199" s="40">
        <f t="shared" si="12"/>
        <v>19425415</v>
      </c>
      <c r="N199" s="1">
        <v>1129184612</v>
      </c>
      <c r="O199" s="1" t="s">
        <v>2806</v>
      </c>
      <c r="P199" s="1" t="s">
        <v>2651</v>
      </c>
      <c r="Q199" s="3">
        <v>44964</v>
      </c>
      <c r="R199" s="3">
        <v>44964</v>
      </c>
      <c r="S199" s="3">
        <v>45275</v>
      </c>
      <c r="T199" s="35"/>
      <c r="U199" s="3"/>
      <c r="V199" s="3"/>
      <c r="W199" s="50"/>
      <c r="X199" s="9">
        <v>9250200</v>
      </c>
      <c r="Y199" s="9">
        <v>10175215</v>
      </c>
      <c r="Z199" s="34">
        <f t="shared" si="11"/>
        <v>0.47619059875940872</v>
      </c>
      <c r="AA199" s="1">
        <v>12545859</v>
      </c>
      <c r="AB199" s="1" t="s">
        <v>2632</v>
      </c>
      <c r="AC199" s="1"/>
      <c r="AD199" s="1"/>
      <c r="AE199" s="3"/>
      <c r="AF199" s="194" t="s">
        <v>2807</v>
      </c>
      <c r="AG199" s="15" t="s">
        <v>192</v>
      </c>
      <c r="AH199" s="15" t="s">
        <v>192</v>
      </c>
    </row>
    <row r="200" spans="1:34" s="4" customFormat="1" x14ac:dyDescent="0.25">
      <c r="A200" s="16">
        <v>891780170</v>
      </c>
      <c r="B200" s="16" t="s">
        <v>54</v>
      </c>
      <c r="C200" s="14" t="s">
        <v>2627</v>
      </c>
      <c r="D200" s="16" t="s">
        <v>60</v>
      </c>
      <c r="E200" s="1" t="s">
        <v>2808</v>
      </c>
      <c r="F200" s="16" t="s">
        <v>61</v>
      </c>
      <c r="G200" s="1" t="s">
        <v>69</v>
      </c>
      <c r="H200" s="1" t="s">
        <v>2629</v>
      </c>
      <c r="I200" s="9">
        <v>19048225</v>
      </c>
      <c r="J200" s="94"/>
      <c r="K200" s="2"/>
      <c r="L200" s="2"/>
      <c r="M200" s="40">
        <f t="shared" si="12"/>
        <v>19048225</v>
      </c>
      <c r="N200" s="1">
        <v>1102575541</v>
      </c>
      <c r="O200" s="1" t="s">
        <v>2809</v>
      </c>
      <c r="P200" s="1" t="s">
        <v>2636</v>
      </c>
      <c r="Q200" s="3">
        <v>44964</v>
      </c>
      <c r="R200" s="3">
        <v>44964</v>
      </c>
      <c r="S200" s="3">
        <v>45275</v>
      </c>
      <c r="T200" s="35"/>
      <c r="U200" s="3"/>
      <c r="V200" s="3"/>
      <c r="W200" s="50"/>
      <c r="X200" s="9">
        <v>9070585</v>
      </c>
      <c r="Y200" s="9">
        <v>9977640</v>
      </c>
      <c r="Z200" s="34">
        <f t="shared" si="11"/>
        <v>0.47619056368769269</v>
      </c>
      <c r="AA200" s="1">
        <v>12545859</v>
      </c>
      <c r="AB200" s="1" t="s">
        <v>2632</v>
      </c>
      <c r="AC200" s="1"/>
      <c r="AD200" s="1"/>
      <c r="AE200" s="3"/>
      <c r="AF200" s="194" t="s">
        <v>2810</v>
      </c>
      <c r="AG200" s="15" t="s">
        <v>192</v>
      </c>
      <c r="AH200" s="15" t="s">
        <v>192</v>
      </c>
    </row>
    <row r="201" spans="1:34" s="4" customFormat="1" x14ac:dyDescent="0.25">
      <c r="A201" s="16">
        <v>891780171</v>
      </c>
      <c r="B201" s="16" t="s">
        <v>54</v>
      </c>
      <c r="C201" s="14" t="s">
        <v>2627</v>
      </c>
      <c r="D201" s="16" t="s">
        <v>60</v>
      </c>
      <c r="E201" s="1" t="s">
        <v>2811</v>
      </c>
      <c r="F201" s="16" t="s">
        <v>61</v>
      </c>
      <c r="G201" s="1" t="s">
        <v>69</v>
      </c>
      <c r="H201" s="1" t="s">
        <v>2629</v>
      </c>
      <c r="I201" s="9">
        <v>21029244</v>
      </c>
      <c r="J201" s="94"/>
      <c r="K201" s="2"/>
      <c r="L201" s="2"/>
      <c r="M201" s="40">
        <f t="shared" si="12"/>
        <v>21029244</v>
      </c>
      <c r="N201" s="1">
        <v>78114767</v>
      </c>
      <c r="O201" s="1" t="s">
        <v>2812</v>
      </c>
      <c r="P201" s="1" t="s">
        <v>2651</v>
      </c>
      <c r="Q201" s="3">
        <v>44964</v>
      </c>
      <c r="R201" s="3">
        <v>44964</v>
      </c>
      <c r="S201" s="3">
        <v>45275</v>
      </c>
      <c r="T201" s="35"/>
      <c r="U201" s="3"/>
      <c r="V201" s="3"/>
      <c r="W201" s="50"/>
      <c r="X201" s="9">
        <v>10013925</v>
      </c>
      <c r="Y201" s="9">
        <v>11015319</v>
      </c>
      <c r="Z201" s="34">
        <f t="shared" si="11"/>
        <v>0.47619044222417123</v>
      </c>
      <c r="AA201" s="1">
        <v>12545859</v>
      </c>
      <c r="AB201" s="1" t="s">
        <v>2632</v>
      </c>
      <c r="AC201" s="1"/>
      <c r="AD201" s="1"/>
      <c r="AE201" s="3"/>
      <c r="AF201" s="194" t="s">
        <v>2813</v>
      </c>
      <c r="AG201" s="15" t="s">
        <v>192</v>
      </c>
      <c r="AH201" s="15" t="s">
        <v>192</v>
      </c>
    </row>
    <row r="202" spans="1:34" s="4" customFormat="1" x14ac:dyDescent="0.25">
      <c r="A202" s="16">
        <v>891780172</v>
      </c>
      <c r="B202" s="16" t="s">
        <v>54</v>
      </c>
      <c r="C202" s="14" t="s">
        <v>2627</v>
      </c>
      <c r="D202" s="16" t="s">
        <v>60</v>
      </c>
      <c r="E202" s="1" t="s">
        <v>2814</v>
      </c>
      <c r="F202" s="16" t="s">
        <v>61</v>
      </c>
      <c r="G202" s="1" t="s">
        <v>69</v>
      </c>
      <c r="H202" s="1" t="s">
        <v>2629</v>
      </c>
      <c r="I202" s="9">
        <v>21029244</v>
      </c>
      <c r="J202" s="94"/>
      <c r="K202" s="2"/>
      <c r="L202" s="2"/>
      <c r="M202" s="40">
        <f t="shared" si="12"/>
        <v>21029244</v>
      </c>
      <c r="N202" s="1">
        <v>1007388246</v>
      </c>
      <c r="O202" s="1" t="s">
        <v>2815</v>
      </c>
      <c r="P202" s="1" t="s">
        <v>2651</v>
      </c>
      <c r="Q202" s="3">
        <v>44964</v>
      </c>
      <c r="R202" s="3">
        <v>44964</v>
      </c>
      <c r="S202" s="3">
        <v>45275</v>
      </c>
      <c r="T202" s="35"/>
      <c r="U202" s="3"/>
      <c r="V202" s="3"/>
      <c r="W202" s="50"/>
      <c r="X202" s="9">
        <v>10013925</v>
      </c>
      <c r="Y202" s="9">
        <v>11015319</v>
      </c>
      <c r="Z202" s="34">
        <f t="shared" si="11"/>
        <v>0.47619044222417123</v>
      </c>
      <c r="AA202" s="1">
        <v>12545859</v>
      </c>
      <c r="AB202" s="1" t="s">
        <v>2632</v>
      </c>
      <c r="AC202" s="1"/>
      <c r="AD202" s="1"/>
      <c r="AE202" s="3"/>
      <c r="AF202" s="194" t="s">
        <v>2816</v>
      </c>
      <c r="AG202" s="15" t="s">
        <v>192</v>
      </c>
      <c r="AH202" s="15" t="s">
        <v>192</v>
      </c>
    </row>
    <row r="203" spans="1:34" s="4" customFormat="1" x14ac:dyDescent="0.25">
      <c r="A203" s="16">
        <v>891780173</v>
      </c>
      <c r="B203" s="16" t="s">
        <v>54</v>
      </c>
      <c r="C203" s="14" t="s">
        <v>2627</v>
      </c>
      <c r="D203" s="16" t="s">
        <v>60</v>
      </c>
      <c r="E203" s="1" t="s">
        <v>2817</v>
      </c>
      <c r="F203" s="16" t="s">
        <v>61</v>
      </c>
      <c r="G203" s="1" t="s">
        <v>69</v>
      </c>
      <c r="H203" s="1" t="s">
        <v>2629</v>
      </c>
      <c r="I203" s="9">
        <v>19048225</v>
      </c>
      <c r="J203" s="94"/>
      <c r="K203" s="2"/>
      <c r="L203" s="2"/>
      <c r="M203" s="40">
        <f t="shared" si="12"/>
        <v>19048225</v>
      </c>
      <c r="N203" s="1">
        <v>50996950</v>
      </c>
      <c r="O203" s="1" t="s">
        <v>2818</v>
      </c>
      <c r="P203" s="1" t="s">
        <v>2636</v>
      </c>
      <c r="Q203" s="3">
        <v>44964</v>
      </c>
      <c r="R203" s="3">
        <v>44964</v>
      </c>
      <c r="S203" s="3">
        <v>45275</v>
      </c>
      <c r="T203" s="35"/>
      <c r="U203" s="3"/>
      <c r="V203" s="3"/>
      <c r="W203" s="50"/>
      <c r="X203" s="9">
        <v>9070585</v>
      </c>
      <c r="Y203" s="9">
        <v>9977640</v>
      </c>
      <c r="Z203" s="34">
        <f t="shared" si="11"/>
        <v>0.47619056368769269</v>
      </c>
      <c r="AA203" s="1">
        <v>12545859</v>
      </c>
      <c r="AB203" s="1" t="s">
        <v>2632</v>
      </c>
      <c r="AC203" s="1"/>
      <c r="AD203" s="1"/>
      <c r="AE203" s="3"/>
      <c r="AF203" s="194" t="s">
        <v>2819</v>
      </c>
      <c r="AG203" s="15" t="s">
        <v>192</v>
      </c>
      <c r="AH203" s="15" t="s">
        <v>192</v>
      </c>
    </row>
    <row r="204" spans="1:34" s="4" customFormat="1" x14ac:dyDescent="0.25">
      <c r="A204" s="16">
        <v>891780174</v>
      </c>
      <c r="B204" s="16" t="s">
        <v>54</v>
      </c>
      <c r="C204" s="14" t="s">
        <v>2627</v>
      </c>
      <c r="D204" s="16" t="s">
        <v>60</v>
      </c>
      <c r="E204" s="1" t="s">
        <v>2820</v>
      </c>
      <c r="F204" s="16" t="s">
        <v>61</v>
      </c>
      <c r="G204" s="1" t="s">
        <v>69</v>
      </c>
      <c r="H204" s="1" t="s">
        <v>2629</v>
      </c>
      <c r="I204" s="9">
        <v>20821033</v>
      </c>
      <c r="J204" s="94"/>
      <c r="K204" s="2"/>
      <c r="L204" s="2"/>
      <c r="M204" s="40">
        <f t="shared" si="12"/>
        <v>20821033</v>
      </c>
      <c r="N204" s="1">
        <v>1003431674</v>
      </c>
      <c r="O204" s="1" t="s">
        <v>2821</v>
      </c>
      <c r="P204" s="1" t="s">
        <v>2651</v>
      </c>
      <c r="Q204" s="3">
        <v>44964</v>
      </c>
      <c r="R204" s="3">
        <v>44964</v>
      </c>
      <c r="S204" s="3">
        <v>45275</v>
      </c>
      <c r="T204" s="35"/>
      <c r="U204" s="3"/>
      <c r="V204" s="3"/>
      <c r="W204" s="50"/>
      <c r="X204" s="9">
        <v>9914780</v>
      </c>
      <c r="Y204" s="9">
        <v>10906253</v>
      </c>
      <c r="Z204" s="34">
        <f t="shared" si="11"/>
        <v>0.47619059054370644</v>
      </c>
      <c r="AA204" s="1">
        <v>12545859</v>
      </c>
      <c r="AB204" s="1" t="s">
        <v>2632</v>
      </c>
      <c r="AC204" s="1"/>
      <c r="AD204" s="1"/>
      <c r="AE204" s="3"/>
      <c r="AF204" s="194" t="s">
        <v>2822</v>
      </c>
      <c r="AG204" s="15" t="s">
        <v>192</v>
      </c>
      <c r="AH204" s="15" t="s">
        <v>192</v>
      </c>
    </row>
    <row r="205" spans="1:34" s="4" customFormat="1" x14ac:dyDescent="0.25">
      <c r="A205" s="16">
        <v>891780175</v>
      </c>
      <c r="B205" s="16" t="s">
        <v>54</v>
      </c>
      <c r="C205" s="14" t="s">
        <v>2627</v>
      </c>
      <c r="D205" s="16" t="s">
        <v>60</v>
      </c>
      <c r="E205" s="1" t="s">
        <v>2823</v>
      </c>
      <c r="F205" s="16" t="s">
        <v>61</v>
      </c>
      <c r="G205" s="1" t="s">
        <v>69</v>
      </c>
      <c r="H205" s="1" t="s">
        <v>2629</v>
      </c>
      <c r="I205" s="9">
        <v>19425415</v>
      </c>
      <c r="J205" s="94"/>
      <c r="K205" s="2"/>
      <c r="L205" s="2"/>
      <c r="M205" s="40">
        <f t="shared" si="12"/>
        <v>19425415</v>
      </c>
      <c r="N205" s="1">
        <v>1050066045</v>
      </c>
      <c r="O205" s="1" t="s">
        <v>2824</v>
      </c>
      <c r="P205" s="1" t="s">
        <v>2651</v>
      </c>
      <c r="Q205" s="3">
        <v>44964</v>
      </c>
      <c r="R205" s="3">
        <v>44964</v>
      </c>
      <c r="S205" s="3">
        <v>45275</v>
      </c>
      <c r="T205" s="35"/>
      <c r="U205" s="3"/>
      <c r="V205" s="3"/>
      <c r="W205" s="50"/>
      <c r="X205" s="9">
        <v>7400160</v>
      </c>
      <c r="Y205" s="9">
        <v>12025255</v>
      </c>
      <c r="Z205" s="34">
        <f t="shared" si="11"/>
        <v>0.38095247900752699</v>
      </c>
      <c r="AA205" s="1">
        <v>12545859</v>
      </c>
      <c r="AB205" s="1" t="s">
        <v>2632</v>
      </c>
      <c r="AC205" s="1"/>
      <c r="AD205" s="1"/>
      <c r="AE205" s="3"/>
      <c r="AF205" s="194" t="s">
        <v>2825</v>
      </c>
      <c r="AG205" s="15" t="s">
        <v>192</v>
      </c>
      <c r="AH205" s="15" t="s">
        <v>192</v>
      </c>
    </row>
    <row r="206" spans="1:34" s="4" customFormat="1" x14ac:dyDescent="0.25">
      <c r="A206" s="16">
        <v>891780176</v>
      </c>
      <c r="B206" s="16" t="s">
        <v>54</v>
      </c>
      <c r="C206" s="14" t="s">
        <v>2627</v>
      </c>
      <c r="D206" s="16" t="s">
        <v>60</v>
      </c>
      <c r="E206" s="1" t="s">
        <v>2826</v>
      </c>
      <c r="F206" s="16" t="s">
        <v>61</v>
      </c>
      <c r="G206" s="1" t="s">
        <v>69</v>
      </c>
      <c r="H206" s="1" t="s">
        <v>2629</v>
      </c>
      <c r="I206" s="9">
        <v>19048225</v>
      </c>
      <c r="J206" s="94"/>
      <c r="K206" s="2"/>
      <c r="L206" s="2"/>
      <c r="M206" s="40">
        <f t="shared" si="12"/>
        <v>19048225</v>
      </c>
      <c r="N206" s="1">
        <v>1066512086</v>
      </c>
      <c r="O206" s="1" t="s">
        <v>2827</v>
      </c>
      <c r="P206" s="1" t="s">
        <v>2636</v>
      </c>
      <c r="Q206" s="3">
        <v>44964</v>
      </c>
      <c r="R206" s="3">
        <v>44964</v>
      </c>
      <c r="S206" s="3">
        <v>45275</v>
      </c>
      <c r="T206" s="35"/>
      <c r="U206" s="3"/>
      <c r="V206" s="3"/>
      <c r="W206" s="50"/>
      <c r="X206" s="9">
        <v>9070585</v>
      </c>
      <c r="Y206" s="9">
        <v>9977640</v>
      </c>
      <c r="Z206" s="34">
        <f t="shared" si="11"/>
        <v>0.47619056368769269</v>
      </c>
      <c r="AA206" s="1">
        <v>12545859</v>
      </c>
      <c r="AB206" s="1" t="s">
        <v>2632</v>
      </c>
      <c r="AC206" s="1"/>
      <c r="AD206" s="1"/>
      <c r="AE206" s="3"/>
      <c r="AF206" s="194" t="s">
        <v>2828</v>
      </c>
      <c r="AG206" s="15" t="s">
        <v>192</v>
      </c>
      <c r="AH206" s="15" t="s">
        <v>192</v>
      </c>
    </row>
    <row r="207" spans="1:34" s="4" customFormat="1" x14ac:dyDescent="0.25">
      <c r="A207" s="16">
        <v>891780177</v>
      </c>
      <c r="B207" s="16" t="s">
        <v>54</v>
      </c>
      <c r="C207" s="14" t="s">
        <v>2627</v>
      </c>
      <c r="D207" s="16" t="s">
        <v>60</v>
      </c>
      <c r="E207" s="1" t="s">
        <v>2829</v>
      </c>
      <c r="F207" s="16" t="s">
        <v>61</v>
      </c>
      <c r="G207" s="1" t="s">
        <v>69</v>
      </c>
      <c r="H207" s="1" t="s">
        <v>2629</v>
      </c>
      <c r="I207" s="9">
        <v>19048225</v>
      </c>
      <c r="J207" s="94"/>
      <c r="K207" s="2"/>
      <c r="L207" s="2"/>
      <c r="M207" s="40">
        <f t="shared" si="12"/>
        <v>19048225</v>
      </c>
      <c r="N207" s="1">
        <v>1005552058</v>
      </c>
      <c r="O207" s="1" t="s">
        <v>2830</v>
      </c>
      <c r="P207" s="1" t="s">
        <v>2636</v>
      </c>
      <c r="Q207" s="3">
        <v>44964</v>
      </c>
      <c r="R207" s="3">
        <v>44964</v>
      </c>
      <c r="S207" s="3">
        <v>45275</v>
      </c>
      <c r="T207" s="35"/>
      <c r="U207" s="3"/>
      <c r="V207" s="3"/>
      <c r="W207" s="50"/>
      <c r="X207" s="9">
        <v>5442351</v>
      </c>
      <c r="Y207" s="9">
        <v>13605874</v>
      </c>
      <c r="Z207" s="34">
        <f t="shared" si="11"/>
        <v>0.2857143382126156</v>
      </c>
      <c r="AA207" s="1">
        <v>12545859</v>
      </c>
      <c r="AB207" s="1" t="s">
        <v>2632</v>
      </c>
      <c r="AC207" s="1"/>
      <c r="AD207" s="1"/>
      <c r="AE207" s="3"/>
      <c r="AF207" s="194" t="s">
        <v>2831</v>
      </c>
      <c r="AG207" s="15" t="s">
        <v>192</v>
      </c>
      <c r="AH207" s="15" t="s">
        <v>192</v>
      </c>
    </row>
    <row r="208" spans="1:34" s="4" customFormat="1" x14ac:dyDescent="0.25">
      <c r="A208" s="16">
        <v>891780178</v>
      </c>
      <c r="B208" s="16" t="s">
        <v>54</v>
      </c>
      <c r="C208" s="14" t="s">
        <v>2627</v>
      </c>
      <c r="D208" s="16" t="s">
        <v>60</v>
      </c>
      <c r="E208" s="1" t="s">
        <v>2832</v>
      </c>
      <c r="F208" s="16" t="s">
        <v>61</v>
      </c>
      <c r="G208" s="1" t="s">
        <v>69</v>
      </c>
      <c r="H208" s="1" t="s">
        <v>2629</v>
      </c>
      <c r="I208" s="9">
        <v>19048225</v>
      </c>
      <c r="J208" s="94"/>
      <c r="K208" s="2"/>
      <c r="L208" s="2"/>
      <c r="M208" s="40">
        <f t="shared" si="12"/>
        <v>19048225</v>
      </c>
      <c r="N208" s="1">
        <v>1050428917</v>
      </c>
      <c r="O208" s="1" t="s">
        <v>2833</v>
      </c>
      <c r="P208" s="1" t="s">
        <v>2834</v>
      </c>
      <c r="Q208" s="3">
        <v>44964</v>
      </c>
      <c r="R208" s="3">
        <v>44964</v>
      </c>
      <c r="S208" s="3">
        <v>45275</v>
      </c>
      <c r="T208" s="35"/>
      <c r="U208" s="3"/>
      <c r="V208" s="3"/>
      <c r="W208" s="50"/>
      <c r="X208" s="9">
        <v>9070585</v>
      </c>
      <c r="Y208" s="9">
        <v>9977640</v>
      </c>
      <c r="Z208" s="34">
        <f t="shared" si="11"/>
        <v>0.47619056368769269</v>
      </c>
      <c r="AA208" s="1">
        <v>12545859</v>
      </c>
      <c r="AB208" s="1" t="s">
        <v>2632</v>
      </c>
      <c r="AC208" s="1"/>
      <c r="AD208" s="1"/>
      <c r="AE208" s="3"/>
      <c r="AF208" s="194" t="s">
        <v>2835</v>
      </c>
      <c r="AG208" s="15" t="s">
        <v>192</v>
      </c>
      <c r="AH208" s="15" t="s">
        <v>2836</v>
      </c>
    </row>
    <row r="209" spans="1:34" s="4" customFormat="1" x14ac:dyDescent="0.25">
      <c r="A209" s="16">
        <v>891780179</v>
      </c>
      <c r="B209" s="16" t="s">
        <v>54</v>
      </c>
      <c r="C209" s="14" t="s">
        <v>2627</v>
      </c>
      <c r="D209" s="16" t="s">
        <v>60</v>
      </c>
      <c r="E209" s="1" t="s">
        <v>2837</v>
      </c>
      <c r="F209" s="16" t="s">
        <v>61</v>
      </c>
      <c r="G209" s="1" t="s">
        <v>69</v>
      </c>
      <c r="H209" s="1" t="s">
        <v>2629</v>
      </c>
      <c r="I209" s="9">
        <v>19048225</v>
      </c>
      <c r="J209" s="94"/>
      <c r="K209" s="2"/>
      <c r="L209" s="2"/>
      <c r="M209" s="40">
        <f t="shared" si="12"/>
        <v>19048225</v>
      </c>
      <c r="N209" s="1">
        <v>73170639</v>
      </c>
      <c r="O209" s="1" t="s">
        <v>2838</v>
      </c>
      <c r="P209" s="1" t="s">
        <v>2636</v>
      </c>
      <c r="Q209" s="3">
        <v>44964</v>
      </c>
      <c r="R209" s="3">
        <v>44964</v>
      </c>
      <c r="S209" s="3">
        <v>45275</v>
      </c>
      <c r="T209" s="35"/>
      <c r="U209" s="3"/>
      <c r="V209" s="3"/>
      <c r="W209" s="50"/>
      <c r="X209" s="9">
        <v>9070585</v>
      </c>
      <c r="Y209" s="9">
        <v>9977640</v>
      </c>
      <c r="Z209" s="34">
        <f t="shared" si="11"/>
        <v>0.47619056368769269</v>
      </c>
      <c r="AA209" s="1">
        <v>12545859</v>
      </c>
      <c r="AB209" s="1" t="s">
        <v>2632</v>
      </c>
      <c r="AC209" s="1"/>
      <c r="AD209" s="1"/>
      <c r="AE209" s="3"/>
      <c r="AF209" s="194" t="s">
        <v>2839</v>
      </c>
      <c r="AG209" s="15" t="s">
        <v>192</v>
      </c>
      <c r="AH209" s="15" t="s">
        <v>192</v>
      </c>
    </row>
    <row r="210" spans="1:34" s="4" customFormat="1" x14ac:dyDescent="0.25">
      <c r="A210" s="16">
        <v>891780180</v>
      </c>
      <c r="B210" s="16" t="s">
        <v>54</v>
      </c>
      <c r="C210" s="14" t="s">
        <v>2627</v>
      </c>
      <c r="D210" s="16" t="s">
        <v>60</v>
      </c>
      <c r="E210" s="1" t="s">
        <v>2840</v>
      </c>
      <c r="F210" s="16" t="s">
        <v>61</v>
      </c>
      <c r="G210" s="1" t="s">
        <v>69</v>
      </c>
      <c r="H210" s="1" t="s">
        <v>2629</v>
      </c>
      <c r="I210" s="9">
        <v>19048225</v>
      </c>
      <c r="J210" s="94"/>
      <c r="K210" s="2"/>
      <c r="L210" s="2"/>
      <c r="M210" s="40">
        <f t="shared" si="12"/>
        <v>19048225</v>
      </c>
      <c r="N210" s="1">
        <v>1005525331</v>
      </c>
      <c r="O210" s="1" t="s">
        <v>2841</v>
      </c>
      <c r="P210" s="1" t="s">
        <v>2636</v>
      </c>
      <c r="Q210" s="3">
        <v>44964</v>
      </c>
      <c r="R210" s="3">
        <v>44964</v>
      </c>
      <c r="S210" s="3">
        <v>45275</v>
      </c>
      <c r="T210" s="35"/>
      <c r="U210" s="3"/>
      <c r="V210" s="3"/>
      <c r="W210" s="50"/>
      <c r="X210" s="9">
        <v>9070585</v>
      </c>
      <c r="Y210" s="9">
        <v>9977640</v>
      </c>
      <c r="Z210" s="34">
        <f t="shared" si="11"/>
        <v>0.47619056368769269</v>
      </c>
      <c r="AA210" s="1">
        <v>12545859</v>
      </c>
      <c r="AB210" s="1" t="s">
        <v>2632</v>
      </c>
      <c r="AC210" s="1"/>
      <c r="AD210" s="1"/>
      <c r="AE210" s="3"/>
      <c r="AF210" s="194" t="s">
        <v>2842</v>
      </c>
      <c r="AG210" s="15" t="s">
        <v>192</v>
      </c>
      <c r="AH210" s="15" t="s">
        <v>192</v>
      </c>
    </row>
    <row r="211" spans="1:34" s="4" customFormat="1" x14ac:dyDescent="0.25">
      <c r="A211" s="16">
        <v>891780181</v>
      </c>
      <c r="B211" s="16" t="s">
        <v>54</v>
      </c>
      <c r="C211" s="14" t="s">
        <v>2627</v>
      </c>
      <c r="D211" s="16" t="s">
        <v>60</v>
      </c>
      <c r="E211" s="1" t="s">
        <v>2843</v>
      </c>
      <c r="F211" s="16" t="s">
        <v>61</v>
      </c>
      <c r="G211" s="1" t="s">
        <v>69</v>
      </c>
      <c r="H211" s="1" t="s">
        <v>2629</v>
      </c>
      <c r="I211" s="9">
        <v>20821033</v>
      </c>
      <c r="J211" s="94"/>
      <c r="K211" s="2"/>
      <c r="L211" s="2"/>
      <c r="M211" s="40">
        <f t="shared" si="12"/>
        <v>20821033</v>
      </c>
      <c r="N211" s="1">
        <v>1069481219</v>
      </c>
      <c r="O211" s="1" t="s">
        <v>2844</v>
      </c>
      <c r="P211" s="1" t="s">
        <v>2651</v>
      </c>
      <c r="Q211" s="3">
        <v>44964</v>
      </c>
      <c r="R211" s="3">
        <v>44964</v>
      </c>
      <c r="S211" s="3">
        <v>45275</v>
      </c>
      <c r="T211" s="35"/>
      <c r="U211" s="3"/>
      <c r="V211" s="3"/>
      <c r="W211" s="50"/>
      <c r="X211" s="9">
        <v>9914780</v>
      </c>
      <c r="Y211" s="9">
        <v>10906253</v>
      </c>
      <c r="Z211" s="34">
        <f t="shared" si="11"/>
        <v>0.47619059054370644</v>
      </c>
      <c r="AA211" s="1">
        <v>12545859</v>
      </c>
      <c r="AB211" s="1" t="s">
        <v>2632</v>
      </c>
      <c r="AC211" s="1"/>
      <c r="AD211" s="1"/>
      <c r="AE211" s="3"/>
      <c r="AF211" s="194" t="s">
        <v>2845</v>
      </c>
      <c r="AG211" s="15" t="s">
        <v>192</v>
      </c>
      <c r="AH211" s="15" t="s">
        <v>192</v>
      </c>
    </row>
    <row r="212" spans="1:34" s="4" customFormat="1" x14ac:dyDescent="0.25">
      <c r="A212" s="16">
        <v>891780182</v>
      </c>
      <c r="B212" s="16" t="s">
        <v>54</v>
      </c>
      <c r="C212" s="14" t="s">
        <v>2627</v>
      </c>
      <c r="D212" s="16" t="s">
        <v>60</v>
      </c>
      <c r="E212" s="1" t="s">
        <v>2846</v>
      </c>
      <c r="F212" s="16" t="s">
        <v>61</v>
      </c>
      <c r="G212" s="1" t="s">
        <v>69</v>
      </c>
      <c r="H212" s="1" t="s">
        <v>2629</v>
      </c>
      <c r="I212" s="9">
        <v>19048225</v>
      </c>
      <c r="J212" s="94"/>
      <c r="K212" s="2"/>
      <c r="L212" s="2"/>
      <c r="M212" s="40">
        <f t="shared" si="12"/>
        <v>19048225</v>
      </c>
      <c r="N212" s="1">
        <v>1066508789</v>
      </c>
      <c r="O212" s="1" t="s">
        <v>2847</v>
      </c>
      <c r="P212" s="1" t="s">
        <v>2834</v>
      </c>
      <c r="Q212" s="3">
        <v>44964</v>
      </c>
      <c r="R212" s="3">
        <v>44964</v>
      </c>
      <c r="S212" s="3">
        <v>45275</v>
      </c>
      <c r="T212" s="35"/>
      <c r="U212" s="3"/>
      <c r="V212" s="3"/>
      <c r="W212" s="50"/>
      <c r="X212" s="9">
        <v>9070585</v>
      </c>
      <c r="Y212" s="9">
        <v>9977640</v>
      </c>
      <c r="Z212" s="34">
        <f t="shared" si="11"/>
        <v>0.47619056368769269</v>
      </c>
      <c r="AA212" s="1">
        <v>12545859</v>
      </c>
      <c r="AB212" s="1" t="s">
        <v>2632</v>
      </c>
      <c r="AC212" s="1"/>
      <c r="AD212" s="1"/>
      <c r="AE212" s="3"/>
      <c r="AF212" s="194" t="s">
        <v>2848</v>
      </c>
      <c r="AG212" s="15" t="s">
        <v>192</v>
      </c>
      <c r="AH212" s="15" t="s">
        <v>192</v>
      </c>
    </row>
    <row r="213" spans="1:34" s="4" customFormat="1" x14ac:dyDescent="0.25">
      <c r="A213" s="16">
        <v>891780183</v>
      </c>
      <c r="B213" s="16" t="s">
        <v>54</v>
      </c>
      <c r="C213" s="14" t="s">
        <v>2627</v>
      </c>
      <c r="D213" s="16" t="s">
        <v>60</v>
      </c>
      <c r="E213" s="1" t="s">
        <v>2849</v>
      </c>
      <c r="F213" s="16" t="s">
        <v>61</v>
      </c>
      <c r="G213" s="1" t="s">
        <v>69</v>
      </c>
      <c r="H213" s="1" t="s">
        <v>2629</v>
      </c>
      <c r="I213" s="9">
        <v>19048225</v>
      </c>
      <c r="J213" s="94"/>
      <c r="K213" s="2"/>
      <c r="L213" s="2"/>
      <c r="M213" s="40">
        <f t="shared" si="12"/>
        <v>19048225</v>
      </c>
      <c r="N213" s="1">
        <v>1046404244</v>
      </c>
      <c r="O213" s="1" t="s">
        <v>2850</v>
      </c>
      <c r="P213" s="1" t="s">
        <v>2636</v>
      </c>
      <c r="Q213" s="3">
        <v>44964</v>
      </c>
      <c r="R213" s="3">
        <v>44964</v>
      </c>
      <c r="S213" s="3">
        <v>45275</v>
      </c>
      <c r="T213" s="35"/>
      <c r="U213" s="3"/>
      <c r="V213" s="3"/>
      <c r="W213" s="50"/>
      <c r="X213" s="9">
        <v>9070585</v>
      </c>
      <c r="Y213" s="9">
        <v>9977640</v>
      </c>
      <c r="Z213" s="34">
        <f t="shared" si="11"/>
        <v>0.47619056368769269</v>
      </c>
      <c r="AA213" s="1">
        <v>12545859</v>
      </c>
      <c r="AB213" s="1" t="s">
        <v>2632</v>
      </c>
      <c r="AC213" s="1"/>
      <c r="AD213" s="1"/>
      <c r="AE213" s="3"/>
      <c r="AF213" s="194" t="s">
        <v>2851</v>
      </c>
      <c r="AG213" s="15" t="s">
        <v>192</v>
      </c>
      <c r="AH213" s="15" t="s">
        <v>192</v>
      </c>
    </row>
    <row r="214" spans="1:34" s="4" customFormat="1" x14ac:dyDescent="0.25">
      <c r="A214" s="16">
        <v>891780184</v>
      </c>
      <c r="B214" s="16" t="s">
        <v>54</v>
      </c>
      <c r="C214" s="14" t="s">
        <v>2627</v>
      </c>
      <c r="D214" s="16" t="s">
        <v>60</v>
      </c>
      <c r="E214" s="1" t="s">
        <v>2852</v>
      </c>
      <c r="F214" s="16" t="s">
        <v>61</v>
      </c>
      <c r="G214" s="1" t="s">
        <v>69</v>
      </c>
      <c r="H214" s="1" t="s">
        <v>2629</v>
      </c>
      <c r="I214" s="9">
        <v>21029244</v>
      </c>
      <c r="J214" s="94"/>
      <c r="K214" s="2"/>
      <c r="L214" s="2"/>
      <c r="M214" s="40">
        <f t="shared" si="12"/>
        <v>21029244</v>
      </c>
      <c r="N214" s="1">
        <v>1104417336</v>
      </c>
      <c r="O214" s="1" t="s">
        <v>2853</v>
      </c>
      <c r="P214" s="1" t="s">
        <v>2651</v>
      </c>
      <c r="Q214" s="3">
        <v>44964</v>
      </c>
      <c r="R214" s="3">
        <v>44964</v>
      </c>
      <c r="S214" s="3">
        <v>45275</v>
      </c>
      <c r="T214" s="35"/>
      <c r="U214" s="3"/>
      <c r="V214" s="3"/>
      <c r="W214" s="50"/>
      <c r="X214" s="9">
        <v>10013925</v>
      </c>
      <c r="Y214" s="9">
        <v>11015319</v>
      </c>
      <c r="Z214" s="34">
        <f t="shared" si="11"/>
        <v>0.47619044222417123</v>
      </c>
      <c r="AA214" s="1">
        <v>12545859</v>
      </c>
      <c r="AB214" s="1" t="s">
        <v>2632</v>
      </c>
      <c r="AC214" s="1"/>
      <c r="AD214" s="1"/>
      <c r="AE214" s="3"/>
      <c r="AF214" s="194" t="s">
        <v>2854</v>
      </c>
      <c r="AG214" s="15" t="s">
        <v>192</v>
      </c>
      <c r="AH214" s="15" t="s">
        <v>192</v>
      </c>
    </row>
    <row r="215" spans="1:34" s="4" customFormat="1" x14ac:dyDescent="0.25">
      <c r="A215" s="16">
        <v>891780185</v>
      </c>
      <c r="B215" s="16" t="s">
        <v>54</v>
      </c>
      <c r="C215" s="14" t="s">
        <v>2627</v>
      </c>
      <c r="D215" s="16" t="s">
        <v>60</v>
      </c>
      <c r="E215" s="1" t="s">
        <v>2855</v>
      </c>
      <c r="F215" s="16" t="s">
        <v>61</v>
      </c>
      <c r="G215" s="1" t="s">
        <v>69</v>
      </c>
      <c r="H215" s="1" t="s">
        <v>2629</v>
      </c>
      <c r="I215" s="9">
        <v>19048225</v>
      </c>
      <c r="J215" s="94"/>
      <c r="K215" s="2"/>
      <c r="L215" s="2"/>
      <c r="M215" s="40">
        <f t="shared" si="12"/>
        <v>19048225</v>
      </c>
      <c r="N215" s="1">
        <v>1038485008</v>
      </c>
      <c r="O215" s="1" t="s">
        <v>2856</v>
      </c>
      <c r="P215" s="1" t="s">
        <v>2857</v>
      </c>
      <c r="Q215" s="3">
        <v>44964</v>
      </c>
      <c r="R215" s="3">
        <v>44964</v>
      </c>
      <c r="S215" s="3">
        <v>45275</v>
      </c>
      <c r="T215" s="35"/>
      <c r="U215" s="3"/>
      <c r="V215" s="3"/>
      <c r="W215" s="50"/>
      <c r="X215" s="9">
        <v>9070585</v>
      </c>
      <c r="Y215" s="9">
        <v>9977640</v>
      </c>
      <c r="Z215" s="34">
        <f t="shared" si="11"/>
        <v>0.47619056368769269</v>
      </c>
      <c r="AA215" s="1">
        <v>12545859</v>
      </c>
      <c r="AB215" s="1" t="s">
        <v>2632</v>
      </c>
      <c r="AC215" s="1"/>
      <c r="AD215" s="1"/>
      <c r="AE215" s="3"/>
      <c r="AF215" s="194" t="s">
        <v>2858</v>
      </c>
      <c r="AG215" s="15" t="s">
        <v>192</v>
      </c>
      <c r="AH215" s="15" t="s">
        <v>192</v>
      </c>
    </row>
    <row r="216" spans="1:34" s="4" customFormat="1" x14ac:dyDescent="0.25">
      <c r="A216" s="16">
        <v>891780186</v>
      </c>
      <c r="B216" s="16" t="s">
        <v>54</v>
      </c>
      <c r="C216" s="14" t="s">
        <v>2627</v>
      </c>
      <c r="D216" s="16" t="s">
        <v>60</v>
      </c>
      <c r="E216" s="1" t="s">
        <v>2859</v>
      </c>
      <c r="F216" s="16" t="s">
        <v>61</v>
      </c>
      <c r="G216" s="1" t="s">
        <v>69</v>
      </c>
      <c r="H216" s="1" t="s">
        <v>2629</v>
      </c>
      <c r="I216" s="9">
        <v>21029244</v>
      </c>
      <c r="J216" s="94"/>
      <c r="K216" s="2"/>
      <c r="L216" s="2"/>
      <c r="M216" s="40">
        <f t="shared" si="12"/>
        <v>21029244</v>
      </c>
      <c r="N216" s="1">
        <v>1038434216</v>
      </c>
      <c r="O216" s="1" t="s">
        <v>2860</v>
      </c>
      <c r="P216" s="1" t="s">
        <v>2636</v>
      </c>
      <c r="Q216" s="3">
        <v>44964</v>
      </c>
      <c r="R216" s="3">
        <v>44964</v>
      </c>
      <c r="S216" s="3">
        <v>45275</v>
      </c>
      <c r="T216" s="35"/>
      <c r="U216" s="3"/>
      <c r="V216" s="3"/>
      <c r="W216" s="50"/>
      <c r="X216" s="9">
        <v>10013925</v>
      </c>
      <c r="Y216" s="9">
        <v>11015319</v>
      </c>
      <c r="Z216" s="34">
        <f t="shared" si="11"/>
        <v>0.47619044222417123</v>
      </c>
      <c r="AA216" s="1">
        <v>12545859</v>
      </c>
      <c r="AB216" s="1" t="s">
        <v>2632</v>
      </c>
      <c r="AC216" s="1"/>
      <c r="AD216" s="1"/>
      <c r="AE216" s="3"/>
      <c r="AF216" s="194" t="s">
        <v>2861</v>
      </c>
      <c r="AG216" s="15" t="s">
        <v>192</v>
      </c>
      <c r="AH216" s="15" t="s">
        <v>192</v>
      </c>
    </row>
    <row r="217" spans="1:34" s="4" customFormat="1" x14ac:dyDescent="0.25">
      <c r="A217" s="16">
        <v>891780187</v>
      </c>
      <c r="B217" s="16" t="s">
        <v>54</v>
      </c>
      <c r="C217" s="14" t="s">
        <v>2627</v>
      </c>
      <c r="D217" s="16" t="s">
        <v>60</v>
      </c>
      <c r="E217" s="1" t="s">
        <v>2862</v>
      </c>
      <c r="F217" s="16" t="s">
        <v>61</v>
      </c>
      <c r="G217" s="1" t="s">
        <v>69</v>
      </c>
      <c r="H217" s="1" t="s">
        <v>2629</v>
      </c>
      <c r="I217" s="9">
        <v>19048225</v>
      </c>
      <c r="J217" s="94"/>
      <c r="K217" s="2"/>
      <c r="L217" s="2"/>
      <c r="M217" s="40">
        <f t="shared" si="12"/>
        <v>19048225</v>
      </c>
      <c r="N217" s="1">
        <v>1007338469</v>
      </c>
      <c r="O217" s="1" t="s">
        <v>2863</v>
      </c>
      <c r="P217" s="1" t="s">
        <v>2636</v>
      </c>
      <c r="Q217" s="3">
        <v>44964</v>
      </c>
      <c r="R217" s="3">
        <v>44964</v>
      </c>
      <c r="S217" s="3">
        <v>45275</v>
      </c>
      <c r="T217" s="35"/>
      <c r="U217" s="3"/>
      <c r="V217" s="3"/>
      <c r="W217" s="50"/>
      <c r="X217" s="9">
        <v>9070585</v>
      </c>
      <c r="Y217" s="9">
        <v>9977640</v>
      </c>
      <c r="Z217" s="34">
        <f t="shared" si="11"/>
        <v>0.47619056368769269</v>
      </c>
      <c r="AA217" s="1">
        <v>12545859</v>
      </c>
      <c r="AB217" s="1" t="s">
        <v>2632</v>
      </c>
      <c r="AC217" s="1"/>
      <c r="AD217" s="1"/>
      <c r="AE217" s="3"/>
      <c r="AF217" s="194" t="s">
        <v>2864</v>
      </c>
      <c r="AG217" s="15" t="s">
        <v>192</v>
      </c>
      <c r="AH217" s="15" t="s">
        <v>192</v>
      </c>
    </row>
    <row r="218" spans="1:34" s="4" customFormat="1" x14ac:dyDescent="0.25">
      <c r="A218" s="16">
        <v>891780188</v>
      </c>
      <c r="B218" s="16" t="s">
        <v>54</v>
      </c>
      <c r="C218" s="14" t="s">
        <v>2627</v>
      </c>
      <c r="D218" s="16" t="s">
        <v>60</v>
      </c>
      <c r="E218" s="1" t="s">
        <v>2865</v>
      </c>
      <c r="F218" s="16" t="s">
        <v>61</v>
      </c>
      <c r="G218" s="1" t="s">
        <v>69</v>
      </c>
      <c r="H218" s="1" t="s">
        <v>2629</v>
      </c>
      <c r="I218" s="9">
        <v>19048225</v>
      </c>
      <c r="J218" s="94"/>
      <c r="K218" s="2"/>
      <c r="L218" s="2"/>
      <c r="M218" s="40">
        <f t="shared" si="12"/>
        <v>19048225</v>
      </c>
      <c r="N218" s="1">
        <v>19790264</v>
      </c>
      <c r="O218" s="1" t="s">
        <v>2866</v>
      </c>
      <c r="P218" s="1" t="s">
        <v>2636</v>
      </c>
      <c r="Q218" s="3">
        <v>44964</v>
      </c>
      <c r="R218" s="3">
        <v>44964</v>
      </c>
      <c r="S218" s="3">
        <v>45275</v>
      </c>
      <c r="T218" s="35"/>
      <c r="U218" s="3"/>
      <c r="V218" s="3"/>
      <c r="W218" s="50"/>
      <c r="X218" s="9">
        <v>9070585</v>
      </c>
      <c r="Y218" s="9">
        <v>9977640</v>
      </c>
      <c r="Z218" s="34">
        <f t="shared" si="11"/>
        <v>0.47619056368769269</v>
      </c>
      <c r="AA218" s="1">
        <v>12545859</v>
      </c>
      <c r="AB218" s="1" t="s">
        <v>2632</v>
      </c>
      <c r="AC218" s="1"/>
      <c r="AD218" s="1"/>
      <c r="AE218" s="3"/>
      <c r="AF218" s="194" t="s">
        <v>2867</v>
      </c>
      <c r="AG218" s="15" t="s">
        <v>192</v>
      </c>
      <c r="AH218" s="15" t="s">
        <v>192</v>
      </c>
    </row>
    <row r="219" spans="1:34" s="4" customFormat="1" x14ac:dyDescent="0.25">
      <c r="A219" s="16">
        <v>891780189</v>
      </c>
      <c r="B219" s="16" t="s">
        <v>54</v>
      </c>
      <c r="C219" s="14" t="s">
        <v>2627</v>
      </c>
      <c r="D219" s="16" t="s">
        <v>60</v>
      </c>
      <c r="E219" s="1" t="s">
        <v>2868</v>
      </c>
      <c r="F219" s="16" t="s">
        <v>61</v>
      </c>
      <c r="G219" s="1" t="s">
        <v>69</v>
      </c>
      <c r="H219" s="1" t="s">
        <v>2629</v>
      </c>
      <c r="I219" s="9">
        <v>19048225</v>
      </c>
      <c r="J219" s="94"/>
      <c r="K219" s="2"/>
      <c r="L219" s="2"/>
      <c r="M219" s="40">
        <f t="shared" si="12"/>
        <v>19048225</v>
      </c>
      <c r="N219" s="1">
        <v>1038098100</v>
      </c>
      <c r="O219" s="1" t="s">
        <v>2869</v>
      </c>
      <c r="P219" s="1" t="s">
        <v>2636</v>
      </c>
      <c r="Q219" s="3">
        <v>44964</v>
      </c>
      <c r="R219" s="3">
        <v>44964</v>
      </c>
      <c r="S219" s="3">
        <v>45275</v>
      </c>
      <c r="T219" s="35"/>
      <c r="U219" s="3"/>
      <c r="V219" s="3"/>
      <c r="W219" s="50"/>
      <c r="X219" s="9">
        <v>9070585</v>
      </c>
      <c r="Y219" s="9">
        <v>9977640</v>
      </c>
      <c r="Z219" s="34">
        <f t="shared" si="11"/>
        <v>0.47619056368769269</v>
      </c>
      <c r="AA219" s="1">
        <v>12545859</v>
      </c>
      <c r="AB219" s="1" t="s">
        <v>2632</v>
      </c>
      <c r="AC219" s="1"/>
      <c r="AD219" s="1"/>
      <c r="AE219" s="3"/>
      <c r="AF219" s="194" t="s">
        <v>2870</v>
      </c>
      <c r="AG219" s="15" t="s">
        <v>192</v>
      </c>
      <c r="AH219" s="15" t="s">
        <v>192</v>
      </c>
    </row>
    <row r="220" spans="1:34" s="4" customFormat="1" x14ac:dyDescent="0.25">
      <c r="A220" s="16">
        <v>891780190</v>
      </c>
      <c r="B220" s="16" t="s">
        <v>54</v>
      </c>
      <c r="C220" s="14" t="s">
        <v>2627</v>
      </c>
      <c r="D220" s="16" t="s">
        <v>60</v>
      </c>
      <c r="E220" s="1" t="s">
        <v>2871</v>
      </c>
      <c r="F220" s="16" t="s">
        <v>61</v>
      </c>
      <c r="G220" s="1" t="s">
        <v>69</v>
      </c>
      <c r="H220" s="1" t="s">
        <v>2629</v>
      </c>
      <c r="I220" s="9">
        <v>19048225</v>
      </c>
      <c r="J220" s="94"/>
      <c r="K220" s="2"/>
      <c r="L220" s="2"/>
      <c r="M220" s="40">
        <f t="shared" si="12"/>
        <v>19048225</v>
      </c>
      <c r="N220" s="1">
        <v>1127945513</v>
      </c>
      <c r="O220" s="1" t="s">
        <v>2872</v>
      </c>
      <c r="P220" s="1" t="s">
        <v>2636</v>
      </c>
      <c r="Q220" s="3">
        <v>44964</v>
      </c>
      <c r="R220" s="3">
        <v>44964</v>
      </c>
      <c r="S220" s="3">
        <v>45275</v>
      </c>
      <c r="T220" s="35"/>
      <c r="U220" s="3"/>
      <c r="V220" s="3"/>
      <c r="W220" s="50"/>
      <c r="X220" s="9">
        <v>9070585</v>
      </c>
      <c r="Y220" s="9">
        <v>9977640</v>
      </c>
      <c r="Z220" s="34">
        <f t="shared" si="11"/>
        <v>0.47619056368769269</v>
      </c>
      <c r="AA220" s="1">
        <v>12545859</v>
      </c>
      <c r="AB220" s="1" t="s">
        <v>2632</v>
      </c>
      <c r="AC220" s="1"/>
      <c r="AD220" s="1"/>
      <c r="AE220" s="3"/>
      <c r="AF220" s="194" t="s">
        <v>2873</v>
      </c>
      <c r="AG220" s="15" t="s">
        <v>192</v>
      </c>
      <c r="AH220" s="15" t="s">
        <v>192</v>
      </c>
    </row>
    <row r="221" spans="1:34" s="4" customFormat="1" x14ac:dyDescent="0.25">
      <c r="A221" s="16">
        <v>891780191</v>
      </c>
      <c r="B221" s="16" t="s">
        <v>54</v>
      </c>
      <c r="C221" s="14" t="s">
        <v>2627</v>
      </c>
      <c r="D221" s="16" t="s">
        <v>60</v>
      </c>
      <c r="E221" s="1" t="s">
        <v>2874</v>
      </c>
      <c r="F221" s="16" t="s">
        <v>61</v>
      </c>
      <c r="G221" s="1" t="s">
        <v>69</v>
      </c>
      <c r="H221" s="1" t="s">
        <v>2629</v>
      </c>
      <c r="I221" s="9">
        <v>21029244</v>
      </c>
      <c r="J221" s="94"/>
      <c r="K221" s="2"/>
      <c r="L221" s="2"/>
      <c r="M221" s="40">
        <f t="shared" si="12"/>
        <v>21029244</v>
      </c>
      <c r="N221" s="1">
        <v>78741875</v>
      </c>
      <c r="O221" s="1" t="s">
        <v>2875</v>
      </c>
      <c r="P221" s="1" t="s">
        <v>2651</v>
      </c>
      <c r="Q221" s="3">
        <v>44964</v>
      </c>
      <c r="R221" s="3">
        <v>44964</v>
      </c>
      <c r="S221" s="3">
        <v>45275</v>
      </c>
      <c r="T221" s="35"/>
      <c r="U221" s="3"/>
      <c r="V221" s="3"/>
      <c r="W221" s="50"/>
      <c r="X221" s="9">
        <v>10013925</v>
      </c>
      <c r="Y221" s="9">
        <v>11015319</v>
      </c>
      <c r="Z221" s="34">
        <f t="shared" si="11"/>
        <v>0.47619044222417123</v>
      </c>
      <c r="AA221" s="1">
        <v>12545859</v>
      </c>
      <c r="AB221" s="1" t="s">
        <v>2632</v>
      </c>
      <c r="AC221" s="1"/>
      <c r="AD221" s="1"/>
      <c r="AE221" s="3"/>
      <c r="AF221" s="194" t="s">
        <v>2876</v>
      </c>
      <c r="AG221" s="15" t="s">
        <v>192</v>
      </c>
      <c r="AH221" s="15" t="s">
        <v>192</v>
      </c>
    </row>
    <row r="222" spans="1:34" s="4" customFormat="1" x14ac:dyDescent="0.25">
      <c r="A222" s="16">
        <v>891780192</v>
      </c>
      <c r="B222" s="16" t="s">
        <v>54</v>
      </c>
      <c r="C222" s="14" t="s">
        <v>2627</v>
      </c>
      <c r="D222" s="16" t="s">
        <v>60</v>
      </c>
      <c r="E222" s="1" t="s">
        <v>2877</v>
      </c>
      <c r="F222" s="16" t="s">
        <v>61</v>
      </c>
      <c r="G222" s="1" t="s">
        <v>69</v>
      </c>
      <c r="H222" s="1" t="s">
        <v>2629</v>
      </c>
      <c r="I222" s="9">
        <v>19425415</v>
      </c>
      <c r="J222" s="94"/>
      <c r="K222" s="2"/>
      <c r="L222" s="2"/>
      <c r="M222" s="40">
        <f t="shared" si="12"/>
        <v>19425415</v>
      </c>
      <c r="N222" s="1">
        <v>1129184558</v>
      </c>
      <c r="O222" s="1" t="s">
        <v>2878</v>
      </c>
      <c r="P222" s="1" t="s">
        <v>2651</v>
      </c>
      <c r="Q222" s="3">
        <v>44964</v>
      </c>
      <c r="R222" s="3">
        <v>44964</v>
      </c>
      <c r="S222" s="3">
        <v>45275</v>
      </c>
      <c r="T222" s="35"/>
      <c r="U222" s="3"/>
      <c r="V222" s="3"/>
      <c r="W222" s="50"/>
      <c r="X222" s="9">
        <v>9250200</v>
      </c>
      <c r="Y222" s="9">
        <v>10175215</v>
      </c>
      <c r="Z222" s="34">
        <f t="shared" si="11"/>
        <v>0.47619059875940872</v>
      </c>
      <c r="AA222" s="1">
        <v>12545859</v>
      </c>
      <c r="AB222" s="1" t="s">
        <v>2632</v>
      </c>
      <c r="AC222" s="1"/>
      <c r="AD222" s="1"/>
      <c r="AE222" s="3"/>
      <c r="AF222" s="194" t="s">
        <v>2879</v>
      </c>
      <c r="AG222" s="15" t="s">
        <v>192</v>
      </c>
      <c r="AH222" s="15" t="s">
        <v>192</v>
      </c>
    </row>
    <row r="223" spans="1:34" s="4" customFormat="1" x14ac:dyDescent="0.25">
      <c r="A223" s="16">
        <v>891780193</v>
      </c>
      <c r="B223" s="16" t="s">
        <v>54</v>
      </c>
      <c r="C223" s="14" t="s">
        <v>2627</v>
      </c>
      <c r="D223" s="16" t="s">
        <v>60</v>
      </c>
      <c r="E223" s="1" t="s">
        <v>2880</v>
      </c>
      <c r="F223" s="16" t="s">
        <v>61</v>
      </c>
      <c r="G223" s="1" t="s">
        <v>69</v>
      </c>
      <c r="H223" s="1" t="s">
        <v>2629</v>
      </c>
      <c r="I223" s="9">
        <v>19048225</v>
      </c>
      <c r="J223" s="94"/>
      <c r="K223" s="2"/>
      <c r="L223" s="2"/>
      <c r="M223" s="40">
        <f t="shared" si="12"/>
        <v>19048225</v>
      </c>
      <c r="N223" s="1">
        <v>1010072597</v>
      </c>
      <c r="O223" s="1" t="s">
        <v>2881</v>
      </c>
      <c r="P223" s="1" t="s">
        <v>2636</v>
      </c>
      <c r="Q223" s="3">
        <v>44964</v>
      </c>
      <c r="R223" s="3">
        <v>44964</v>
      </c>
      <c r="S223" s="3">
        <v>45275</v>
      </c>
      <c r="T223" s="35"/>
      <c r="U223" s="3"/>
      <c r="V223" s="3"/>
      <c r="W223" s="50"/>
      <c r="X223" s="9">
        <v>9070585</v>
      </c>
      <c r="Y223" s="9">
        <v>9977640</v>
      </c>
      <c r="Z223" s="34">
        <f t="shared" si="11"/>
        <v>0.47619056368769269</v>
      </c>
      <c r="AA223" s="1">
        <v>12545859</v>
      </c>
      <c r="AB223" s="1" t="s">
        <v>2632</v>
      </c>
      <c r="AC223" s="1"/>
      <c r="AD223" s="1"/>
      <c r="AE223" s="3"/>
      <c r="AF223" s="194" t="s">
        <v>2882</v>
      </c>
      <c r="AG223" s="15" t="s">
        <v>192</v>
      </c>
      <c r="AH223" s="15" t="s">
        <v>192</v>
      </c>
    </row>
    <row r="224" spans="1:34" s="4" customFormat="1" x14ac:dyDescent="0.25">
      <c r="A224" s="16">
        <v>891780194</v>
      </c>
      <c r="B224" s="16" t="s">
        <v>54</v>
      </c>
      <c r="C224" s="14" t="s">
        <v>2627</v>
      </c>
      <c r="D224" s="16" t="s">
        <v>60</v>
      </c>
      <c r="E224" s="1" t="s">
        <v>2883</v>
      </c>
      <c r="F224" s="16" t="s">
        <v>61</v>
      </c>
      <c r="G224" s="1" t="s">
        <v>69</v>
      </c>
      <c r="H224" s="1" t="s">
        <v>2629</v>
      </c>
      <c r="I224" s="9">
        <v>21029244</v>
      </c>
      <c r="J224" s="94"/>
      <c r="K224" s="2"/>
      <c r="L224" s="2"/>
      <c r="M224" s="40">
        <f t="shared" si="12"/>
        <v>21029244</v>
      </c>
      <c r="N224" s="1">
        <v>1005677667</v>
      </c>
      <c r="O224" s="1" t="s">
        <v>2884</v>
      </c>
      <c r="P224" s="1" t="s">
        <v>2651</v>
      </c>
      <c r="Q224" s="3">
        <v>44964</v>
      </c>
      <c r="R224" s="3">
        <v>44964</v>
      </c>
      <c r="S224" s="3">
        <v>45275</v>
      </c>
      <c r="T224" s="35"/>
      <c r="U224" s="3"/>
      <c r="V224" s="3"/>
      <c r="W224" s="50"/>
      <c r="X224" s="9">
        <v>10013925</v>
      </c>
      <c r="Y224" s="9">
        <v>11015319</v>
      </c>
      <c r="Z224" s="34">
        <f t="shared" si="11"/>
        <v>0.47619044222417123</v>
      </c>
      <c r="AA224" s="1">
        <v>12545859</v>
      </c>
      <c r="AB224" s="1" t="s">
        <v>2632</v>
      </c>
      <c r="AC224" s="1"/>
      <c r="AD224" s="1"/>
      <c r="AE224" s="3"/>
      <c r="AF224" s="194" t="s">
        <v>2885</v>
      </c>
      <c r="AG224" s="15" t="s">
        <v>192</v>
      </c>
      <c r="AH224" s="15" t="s">
        <v>192</v>
      </c>
    </row>
    <row r="225" spans="1:34" s="4" customFormat="1" x14ac:dyDescent="0.25">
      <c r="A225" s="16">
        <v>891780195</v>
      </c>
      <c r="B225" s="16" t="s">
        <v>54</v>
      </c>
      <c r="C225" s="14" t="s">
        <v>2627</v>
      </c>
      <c r="D225" s="16" t="s">
        <v>60</v>
      </c>
      <c r="E225" s="1" t="s">
        <v>2886</v>
      </c>
      <c r="F225" s="16" t="s">
        <v>61</v>
      </c>
      <c r="G225" s="1" t="s">
        <v>69</v>
      </c>
      <c r="H225" s="1" t="s">
        <v>2629</v>
      </c>
      <c r="I225" s="9">
        <v>19048225</v>
      </c>
      <c r="J225" s="94"/>
      <c r="K225" s="2"/>
      <c r="L225" s="2"/>
      <c r="M225" s="40">
        <f t="shared" si="12"/>
        <v>19048225</v>
      </c>
      <c r="N225" s="1">
        <v>1050428747</v>
      </c>
      <c r="O225" s="1" t="s">
        <v>2887</v>
      </c>
      <c r="P225" s="1" t="s">
        <v>2636</v>
      </c>
      <c r="Q225" s="3">
        <v>44964</v>
      </c>
      <c r="R225" s="3">
        <v>44964</v>
      </c>
      <c r="S225" s="3">
        <v>45275</v>
      </c>
      <c r="T225" s="35"/>
      <c r="U225" s="3"/>
      <c r="V225" s="3"/>
      <c r="W225" s="50"/>
      <c r="X225" s="9">
        <v>9070585</v>
      </c>
      <c r="Y225" s="9">
        <v>9977640</v>
      </c>
      <c r="Z225" s="34">
        <f t="shared" si="11"/>
        <v>0.47619056368769269</v>
      </c>
      <c r="AA225" s="1">
        <v>12545859</v>
      </c>
      <c r="AB225" s="1" t="s">
        <v>2632</v>
      </c>
      <c r="AC225" s="1"/>
      <c r="AD225" s="1"/>
      <c r="AE225" s="3"/>
      <c r="AF225" s="194" t="s">
        <v>2888</v>
      </c>
      <c r="AG225" s="15" t="s">
        <v>192</v>
      </c>
      <c r="AH225" s="15" t="s">
        <v>192</v>
      </c>
    </row>
    <row r="226" spans="1:34" s="4" customFormat="1" x14ac:dyDescent="0.25">
      <c r="A226" s="16">
        <v>891780196</v>
      </c>
      <c r="B226" s="16" t="s">
        <v>54</v>
      </c>
      <c r="C226" s="14" t="s">
        <v>2627</v>
      </c>
      <c r="D226" s="16" t="s">
        <v>60</v>
      </c>
      <c r="E226" s="1" t="s">
        <v>2889</v>
      </c>
      <c r="F226" s="16" t="s">
        <v>61</v>
      </c>
      <c r="G226" s="1" t="s">
        <v>69</v>
      </c>
      <c r="H226" s="1" t="s">
        <v>2629</v>
      </c>
      <c r="I226" s="9">
        <v>19048225</v>
      </c>
      <c r="J226" s="94"/>
      <c r="K226" s="2"/>
      <c r="L226" s="2"/>
      <c r="M226" s="40">
        <f t="shared" si="12"/>
        <v>19048225</v>
      </c>
      <c r="N226" s="1">
        <v>1102232242</v>
      </c>
      <c r="O226" s="1" t="s">
        <v>2890</v>
      </c>
      <c r="P226" s="1" t="s">
        <v>2636</v>
      </c>
      <c r="Q226" s="3">
        <v>44964</v>
      </c>
      <c r="R226" s="3">
        <v>44964</v>
      </c>
      <c r="S226" s="3">
        <v>45275</v>
      </c>
      <c r="T226" s="35"/>
      <c r="U226" s="3"/>
      <c r="V226" s="3"/>
      <c r="W226" s="50"/>
      <c r="X226" s="9">
        <v>9070585</v>
      </c>
      <c r="Y226" s="9">
        <v>9977640</v>
      </c>
      <c r="Z226" s="34">
        <f t="shared" si="11"/>
        <v>0.47619056368769269</v>
      </c>
      <c r="AA226" s="1">
        <v>12545859</v>
      </c>
      <c r="AB226" s="1" t="s">
        <v>2632</v>
      </c>
      <c r="AC226" s="1"/>
      <c r="AD226" s="1"/>
      <c r="AE226" s="3"/>
      <c r="AF226" s="194" t="s">
        <v>2891</v>
      </c>
      <c r="AG226" s="15" t="s">
        <v>192</v>
      </c>
      <c r="AH226" s="15" t="s">
        <v>192</v>
      </c>
    </row>
    <row r="227" spans="1:34" s="4" customFormat="1" x14ac:dyDescent="0.25">
      <c r="A227" s="16">
        <v>891780197</v>
      </c>
      <c r="B227" s="16" t="s">
        <v>54</v>
      </c>
      <c r="C227" s="14" t="s">
        <v>2627</v>
      </c>
      <c r="D227" s="16" t="s">
        <v>60</v>
      </c>
      <c r="E227" s="1" t="s">
        <v>2892</v>
      </c>
      <c r="F227" s="16" t="s">
        <v>61</v>
      </c>
      <c r="G227" s="1" t="s">
        <v>69</v>
      </c>
      <c r="H227" s="1" t="s">
        <v>2629</v>
      </c>
      <c r="I227" s="9">
        <v>21029244</v>
      </c>
      <c r="J227" s="94"/>
      <c r="K227" s="2"/>
      <c r="L227" s="2"/>
      <c r="M227" s="40">
        <f t="shared" si="12"/>
        <v>21029244</v>
      </c>
      <c r="N227" s="1">
        <v>1120577471</v>
      </c>
      <c r="O227" s="1" t="s">
        <v>2893</v>
      </c>
      <c r="P227" s="1" t="s">
        <v>2651</v>
      </c>
      <c r="Q227" s="3">
        <v>44964</v>
      </c>
      <c r="R227" s="3">
        <v>44964</v>
      </c>
      <c r="S227" s="3">
        <v>45275</v>
      </c>
      <c r="T227" s="35"/>
      <c r="U227" s="3"/>
      <c r="V227" s="3"/>
      <c r="W227" s="50"/>
      <c r="X227" s="9">
        <v>10013925</v>
      </c>
      <c r="Y227" s="9">
        <v>11015319</v>
      </c>
      <c r="Z227" s="34">
        <f t="shared" si="11"/>
        <v>0.47619044222417123</v>
      </c>
      <c r="AA227" s="1">
        <v>12545859</v>
      </c>
      <c r="AB227" s="1" t="s">
        <v>2632</v>
      </c>
      <c r="AC227" s="1"/>
      <c r="AD227" s="1"/>
      <c r="AE227" s="3"/>
      <c r="AF227" s="194" t="s">
        <v>2894</v>
      </c>
      <c r="AG227" s="15" t="s">
        <v>192</v>
      </c>
      <c r="AH227" s="15" t="s">
        <v>192</v>
      </c>
    </row>
    <row r="228" spans="1:34" s="4" customFormat="1" x14ac:dyDescent="0.25">
      <c r="A228" s="16">
        <v>891780198</v>
      </c>
      <c r="B228" s="16" t="s">
        <v>54</v>
      </c>
      <c r="C228" s="14" t="s">
        <v>2627</v>
      </c>
      <c r="D228" s="16" t="s">
        <v>60</v>
      </c>
      <c r="E228" s="1" t="s">
        <v>2895</v>
      </c>
      <c r="F228" s="16" t="s">
        <v>61</v>
      </c>
      <c r="G228" s="1" t="s">
        <v>69</v>
      </c>
      <c r="H228" s="1" t="s">
        <v>2629</v>
      </c>
      <c r="I228" s="9">
        <v>21029244</v>
      </c>
      <c r="J228" s="94"/>
      <c r="K228" s="2"/>
      <c r="L228" s="2"/>
      <c r="M228" s="40">
        <f t="shared" si="12"/>
        <v>21029244</v>
      </c>
      <c r="N228" s="1">
        <v>41243799</v>
      </c>
      <c r="O228" s="1" t="s">
        <v>2896</v>
      </c>
      <c r="P228" s="1" t="s">
        <v>2651</v>
      </c>
      <c r="Q228" s="3">
        <v>44964</v>
      </c>
      <c r="R228" s="3">
        <v>44964</v>
      </c>
      <c r="S228" s="3">
        <v>45275</v>
      </c>
      <c r="T228" s="35"/>
      <c r="U228" s="3"/>
      <c r="V228" s="3"/>
      <c r="W228" s="50"/>
      <c r="X228" s="9">
        <v>10013925</v>
      </c>
      <c r="Y228" s="9">
        <v>11015319</v>
      </c>
      <c r="Z228" s="34">
        <f t="shared" si="11"/>
        <v>0.47619044222417123</v>
      </c>
      <c r="AA228" s="1">
        <v>12545859</v>
      </c>
      <c r="AB228" s="1" t="s">
        <v>2632</v>
      </c>
      <c r="AC228" s="1"/>
      <c r="AD228" s="1"/>
      <c r="AE228" s="3"/>
      <c r="AF228" s="194" t="s">
        <v>2897</v>
      </c>
      <c r="AG228" s="15" t="s">
        <v>192</v>
      </c>
      <c r="AH228" s="15" t="s">
        <v>192</v>
      </c>
    </row>
    <row r="229" spans="1:34" s="4" customFormat="1" x14ac:dyDescent="0.25">
      <c r="A229" s="16">
        <v>891780199</v>
      </c>
      <c r="B229" s="16" t="s">
        <v>54</v>
      </c>
      <c r="C229" s="14" t="s">
        <v>2627</v>
      </c>
      <c r="D229" s="16" t="s">
        <v>60</v>
      </c>
      <c r="E229" s="1" t="s">
        <v>2898</v>
      </c>
      <c r="F229" s="16" t="s">
        <v>61</v>
      </c>
      <c r="G229" s="1" t="s">
        <v>69</v>
      </c>
      <c r="H229" s="1" t="s">
        <v>2629</v>
      </c>
      <c r="I229" s="9">
        <v>19425415</v>
      </c>
      <c r="J229" s="94"/>
      <c r="K229" s="2"/>
      <c r="L229" s="2"/>
      <c r="M229" s="40">
        <f t="shared" si="12"/>
        <v>19425415</v>
      </c>
      <c r="N229" s="1">
        <v>96323053</v>
      </c>
      <c r="O229" s="1" t="s">
        <v>2899</v>
      </c>
      <c r="P229" s="1" t="s">
        <v>2636</v>
      </c>
      <c r="Q229" s="3">
        <v>44964</v>
      </c>
      <c r="R229" s="3">
        <v>44964</v>
      </c>
      <c r="S229" s="3">
        <v>45275</v>
      </c>
      <c r="T229" s="35"/>
      <c r="U229" s="3"/>
      <c r="V229" s="3"/>
      <c r="W229" s="50"/>
      <c r="X229" s="9">
        <v>9250200</v>
      </c>
      <c r="Y229" s="9">
        <v>10175215</v>
      </c>
      <c r="Z229" s="34">
        <f t="shared" si="11"/>
        <v>0.47619059875940872</v>
      </c>
      <c r="AA229" s="1">
        <v>12545859</v>
      </c>
      <c r="AB229" s="1" t="s">
        <v>2632</v>
      </c>
      <c r="AC229" s="1"/>
      <c r="AD229" s="1"/>
      <c r="AE229" s="3"/>
      <c r="AF229" s="194" t="s">
        <v>2900</v>
      </c>
      <c r="AG229" s="15" t="s">
        <v>192</v>
      </c>
      <c r="AH229" s="15" t="s">
        <v>192</v>
      </c>
    </row>
    <row r="230" spans="1:34" s="4" customFormat="1" x14ac:dyDescent="0.25">
      <c r="A230" s="16">
        <v>891780200</v>
      </c>
      <c r="B230" s="16" t="s">
        <v>54</v>
      </c>
      <c r="C230" s="14" t="s">
        <v>2627</v>
      </c>
      <c r="D230" s="16" t="s">
        <v>60</v>
      </c>
      <c r="E230" s="1" t="s">
        <v>2901</v>
      </c>
      <c r="F230" s="16" t="s">
        <v>61</v>
      </c>
      <c r="G230" s="1" t="s">
        <v>69</v>
      </c>
      <c r="H230" s="1" t="s">
        <v>2629</v>
      </c>
      <c r="I230" s="9">
        <v>19048225</v>
      </c>
      <c r="J230" s="94"/>
      <c r="K230" s="2"/>
      <c r="L230" s="2"/>
      <c r="M230" s="40">
        <f t="shared" si="12"/>
        <v>19048225</v>
      </c>
      <c r="N230" s="1">
        <v>1124825637</v>
      </c>
      <c r="O230" s="1" t="s">
        <v>2902</v>
      </c>
      <c r="P230" s="1" t="s">
        <v>2636</v>
      </c>
      <c r="Q230" s="3">
        <v>44964</v>
      </c>
      <c r="R230" s="3">
        <v>44964</v>
      </c>
      <c r="S230" s="3">
        <v>45275</v>
      </c>
      <c r="T230" s="35"/>
      <c r="U230" s="3"/>
      <c r="V230" s="3"/>
      <c r="W230" s="50"/>
      <c r="X230" s="9">
        <v>9070585</v>
      </c>
      <c r="Y230" s="9">
        <v>9977640</v>
      </c>
      <c r="Z230" s="34">
        <f t="shared" si="11"/>
        <v>0.47619056368769269</v>
      </c>
      <c r="AA230" s="1">
        <v>12545859</v>
      </c>
      <c r="AB230" s="1" t="s">
        <v>2632</v>
      </c>
      <c r="AC230" s="1"/>
      <c r="AD230" s="1"/>
      <c r="AE230" s="3"/>
      <c r="AF230" s="194" t="s">
        <v>2903</v>
      </c>
      <c r="AG230" s="15" t="s">
        <v>192</v>
      </c>
      <c r="AH230" s="15" t="s">
        <v>192</v>
      </c>
    </row>
    <row r="231" spans="1:34" s="4" customFormat="1" x14ac:dyDescent="0.25">
      <c r="A231" s="16">
        <v>891780201</v>
      </c>
      <c r="B231" s="16" t="s">
        <v>54</v>
      </c>
      <c r="C231" s="14" t="s">
        <v>2627</v>
      </c>
      <c r="D231" s="16" t="s">
        <v>60</v>
      </c>
      <c r="E231" s="1" t="s">
        <v>2904</v>
      </c>
      <c r="F231" s="16" t="s">
        <v>61</v>
      </c>
      <c r="G231" s="1" t="s">
        <v>69</v>
      </c>
      <c r="H231" s="1" t="s">
        <v>2629</v>
      </c>
      <c r="I231" s="9">
        <v>19425415</v>
      </c>
      <c r="J231" s="94"/>
      <c r="K231" s="2"/>
      <c r="L231" s="2"/>
      <c r="M231" s="40">
        <f t="shared" si="12"/>
        <v>19425415</v>
      </c>
      <c r="N231" s="1">
        <v>1121707170</v>
      </c>
      <c r="O231" s="1" t="s">
        <v>2905</v>
      </c>
      <c r="P231" s="1" t="s">
        <v>2651</v>
      </c>
      <c r="Q231" s="3">
        <v>44964</v>
      </c>
      <c r="R231" s="3">
        <v>44964</v>
      </c>
      <c r="S231" s="3">
        <v>45275</v>
      </c>
      <c r="T231" s="35"/>
      <c r="U231" s="3"/>
      <c r="V231" s="3"/>
      <c r="W231" s="50"/>
      <c r="X231" s="9">
        <v>9250200</v>
      </c>
      <c r="Y231" s="9">
        <v>10175215</v>
      </c>
      <c r="Z231" s="34">
        <f t="shared" si="11"/>
        <v>0.47619059875940872</v>
      </c>
      <c r="AA231" s="1">
        <v>12545859</v>
      </c>
      <c r="AB231" s="1" t="s">
        <v>2632</v>
      </c>
      <c r="AC231" s="1"/>
      <c r="AD231" s="1"/>
      <c r="AE231" s="3"/>
      <c r="AF231" s="194" t="s">
        <v>2906</v>
      </c>
      <c r="AG231" s="15" t="s">
        <v>192</v>
      </c>
      <c r="AH231" s="15" t="s">
        <v>192</v>
      </c>
    </row>
    <row r="232" spans="1:34" s="4" customFormat="1" x14ac:dyDescent="0.25">
      <c r="A232" s="16">
        <v>891780202</v>
      </c>
      <c r="B232" s="16" t="s">
        <v>54</v>
      </c>
      <c r="C232" s="14" t="s">
        <v>2627</v>
      </c>
      <c r="D232" s="16" t="s">
        <v>60</v>
      </c>
      <c r="E232" s="1" t="s">
        <v>2907</v>
      </c>
      <c r="F232" s="16" t="s">
        <v>61</v>
      </c>
      <c r="G232" s="1" t="s">
        <v>69</v>
      </c>
      <c r="H232" s="1" t="s">
        <v>2629</v>
      </c>
      <c r="I232" s="9">
        <v>19048225</v>
      </c>
      <c r="J232" s="94"/>
      <c r="K232" s="2"/>
      <c r="L232" s="2"/>
      <c r="M232" s="40">
        <f t="shared" si="12"/>
        <v>19048225</v>
      </c>
      <c r="N232" s="1">
        <v>1010029979</v>
      </c>
      <c r="O232" s="1" t="s">
        <v>2908</v>
      </c>
      <c r="P232" s="1" t="s">
        <v>2636</v>
      </c>
      <c r="Q232" s="3">
        <v>44964</v>
      </c>
      <c r="R232" s="3">
        <v>44964</v>
      </c>
      <c r="S232" s="3">
        <v>45275</v>
      </c>
      <c r="T232" s="35"/>
      <c r="U232" s="3"/>
      <c r="V232" s="3"/>
      <c r="W232" s="50"/>
      <c r="X232" s="9">
        <v>9070585</v>
      </c>
      <c r="Y232" s="9">
        <v>9977640</v>
      </c>
      <c r="Z232" s="34">
        <f t="shared" si="11"/>
        <v>0.47619056368769269</v>
      </c>
      <c r="AA232" s="1">
        <v>12545859</v>
      </c>
      <c r="AB232" s="1" t="s">
        <v>2632</v>
      </c>
      <c r="AC232" s="1"/>
      <c r="AD232" s="1"/>
      <c r="AE232" s="3"/>
      <c r="AF232" s="194" t="s">
        <v>2909</v>
      </c>
      <c r="AG232" s="15" t="s">
        <v>192</v>
      </c>
      <c r="AH232" s="15"/>
    </row>
    <row r="233" spans="1:34" s="4" customFormat="1" x14ac:dyDescent="0.25">
      <c r="A233" s="16">
        <v>891780203</v>
      </c>
      <c r="B233" s="16" t="s">
        <v>54</v>
      </c>
      <c r="C233" s="14" t="s">
        <v>2627</v>
      </c>
      <c r="D233" s="16" t="s">
        <v>60</v>
      </c>
      <c r="E233" s="1" t="s">
        <v>2910</v>
      </c>
      <c r="F233" s="16" t="s">
        <v>61</v>
      </c>
      <c r="G233" s="1" t="s">
        <v>69</v>
      </c>
      <c r="H233" s="1" t="s">
        <v>2629</v>
      </c>
      <c r="I233" s="9">
        <v>21029244</v>
      </c>
      <c r="J233" s="94"/>
      <c r="K233" s="2"/>
      <c r="L233" s="2"/>
      <c r="M233" s="40">
        <f t="shared" si="12"/>
        <v>21029244</v>
      </c>
      <c r="N233" s="1">
        <v>1117494753</v>
      </c>
      <c r="O233" s="1" t="s">
        <v>2911</v>
      </c>
      <c r="P233" s="1" t="s">
        <v>2651</v>
      </c>
      <c r="Q233" s="3">
        <v>44964</v>
      </c>
      <c r="R233" s="3">
        <v>44964</v>
      </c>
      <c r="S233" s="3">
        <v>45275</v>
      </c>
      <c r="T233" s="35"/>
      <c r="U233" s="3"/>
      <c r="V233" s="3"/>
      <c r="W233" s="50"/>
      <c r="X233" s="9">
        <v>10013925</v>
      </c>
      <c r="Y233" s="9">
        <v>11015319</v>
      </c>
      <c r="Z233" s="34">
        <f t="shared" si="11"/>
        <v>0.47619044222417123</v>
      </c>
      <c r="AA233" s="1">
        <v>12545859</v>
      </c>
      <c r="AB233" s="1" t="s">
        <v>2632</v>
      </c>
      <c r="AC233" s="1"/>
      <c r="AD233" s="1"/>
      <c r="AE233" s="3"/>
      <c r="AF233" s="194" t="s">
        <v>2912</v>
      </c>
      <c r="AG233" s="15" t="s">
        <v>192</v>
      </c>
      <c r="AH233" s="15" t="s">
        <v>192</v>
      </c>
    </row>
    <row r="234" spans="1:34" s="4" customFormat="1" x14ac:dyDescent="0.25">
      <c r="A234" s="16">
        <v>891780204</v>
      </c>
      <c r="B234" s="16" t="s">
        <v>54</v>
      </c>
      <c r="C234" s="14" t="s">
        <v>2627</v>
      </c>
      <c r="D234" s="16" t="s">
        <v>60</v>
      </c>
      <c r="E234" s="1" t="s">
        <v>2913</v>
      </c>
      <c r="F234" s="16" t="s">
        <v>61</v>
      </c>
      <c r="G234" s="1" t="s">
        <v>69</v>
      </c>
      <c r="H234" s="1" t="s">
        <v>2629</v>
      </c>
      <c r="I234" s="9">
        <v>21029244</v>
      </c>
      <c r="J234" s="94"/>
      <c r="K234" s="2"/>
      <c r="L234" s="2"/>
      <c r="M234" s="40">
        <f t="shared" si="12"/>
        <v>21029244</v>
      </c>
      <c r="N234" s="1">
        <v>1121214476</v>
      </c>
      <c r="O234" s="1" t="s">
        <v>2914</v>
      </c>
      <c r="P234" s="1" t="s">
        <v>2651</v>
      </c>
      <c r="Q234" s="3">
        <v>44964</v>
      </c>
      <c r="R234" s="3">
        <v>44964</v>
      </c>
      <c r="S234" s="3">
        <v>45275</v>
      </c>
      <c r="T234" s="35"/>
      <c r="U234" s="3"/>
      <c r="V234" s="3"/>
      <c r="W234" s="50"/>
      <c r="X234" s="9">
        <v>10013925</v>
      </c>
      <c r="Y234" s="9">
        <v>11015319</v>
      </c>
      <c r="Z234" s="34">
        <f t="shared" si="11"/>
        <v>0.47619044222417123</v>
      </c>
      <c r="AA234" s="1">
        <v>12545859</v>
      </c>
      <c r="AB234" s="1" t="s">
        <v>2632</v>
      </c>
      <c r="AC234" s="1"/>
      <c r="AD234" s="1"/>
      <c r="AE234" s="3"/>
      <c r="AF234" s="194" t="s">
        <v>2915</v>
      </c>
      <c r="AG234" s="15" t="s">
        <v>192</v>
      </c>
      <c r="AH234" s="15" t="s">
        <v>192</v>
      </c>
    </row>
    <row r="235" spans="1:34" s="4" customFormat="1" x14ac:dyDescent="0.25">
      <c r="A235" s="16">
        <v>891780205</v>
      </c>
      <c r="B235" s="16" t="s">
        <v>54</v>
      </c>
      <c r="C235" s="14" t="s">
        <v>2627</v>
      </c>
      <c r="D235" s="16" t="s">
        <v>60</v>
      </c>
      <c r="E235" s="1" t="s">
        <v>2916</v>
      </c>
      <c r="F235" s="16" t="s">
        <v>61</v>
      </c>
      <c r="G235" s="1" t="s">
        <v>69</v>
      </c>
      <c r="H235" s="1" t="s">
        <v>2629</v>
      </c>
      <c r="I235" s="9">
        <v>19425415</v>
      </c>
      <c r="J235" s="94"/>
      <c r="K235" s="2"/>
      <c r="L235" s="2"/>
      <c r="M235" s="40">
        <f t="shared" si="12"/>
        <v>19425415</v>
      </c>
      <c r="N235" s="1">
        <v>19007702</v>
      </c>
      <c r="O235" s="1" t="s">
        <v>2917</v>
      </c>
      <c r="P235" s="1" t="s">
        <v>2918</v>
      </c>
      <c r="Q235" s="3">
        <v>44964</v>
      </c>
      <c r="R235" s="3">
        <v>44964</v>
      </c>
      <c r="S235" s="3">
        <v>45275</v>
      </c>
      <c r="T235" s="35"/>
      <c r="U235" s="3"/>
      <c r="V235" s="3"/>
      <c r="W235" s="50"/>
      <c r="X235" s="9">
        <v>9250200</v>
      </c>
      <c r="Y235" s="9">
        <v>10175215</v>
      </c>
      <c r="Z235" s="34">
        <f t="shared" si="11"/>
        <v>0.47619059875940872</v>
      </c>
      <c r="AA235" s="1">
        <v>12545859</v>
      </c>
      <c r="AB235" s="1" t="s">
        <v>2632</v>
      </c>
      <c r="AC235" s="1"/>
      <c r="AD235" s="1"/>
      <c r="AE235" s="3"/>
      <c r="AF235" s="194" t="s">
        <v>2919</v>
      </c>
      <c r="AG235" s="15" t="s">
        <v>192</v>
      </c>
      <c r="AH235" s="15"/>
    </row>
    <row r="236" spans="1:34" s="4" customFormat="1" x14ac:dyDescent="0.25">
      <c r="A236" s="16">
        <v>891780206</v>
      </c>
      <c r="B236" s="16" t="s">
        <v>54</v>
      </c>
      <c r="C236" s="14" t="s">
        <v>2627</v>
      </c>
      <c r="D236" s="16" t="s">
        <v>60</v>
      </c>
      <c r="E236" s="1" t="s">
        <v>2920</v>
      </c>
      <c r="F236" s="16" t="s">
        <v>61</v>
      </c>
      <c r="G236" s="1" t="s">
        <v>69</v>
      </c>
      <c r="H236" s="1" t="s">
        <v>2629</v>
      </c>
      <c r="I236" s="9">
        <v>26909244</v>
      </c>
      <c r="J236" s="94"/>
      <c r="K236" s="2"/>
      <c r="L236" s="2"/>
      <c r="M236" s="40">
        <f t="shared" si="12"/>
        <v>26909244</v>
      </c>
      <c r="N236" s="1">
        <v>16188896</v>
      </c>
      <c r="O236" s="1" t="s">
        <v>2921</v>
      </c>
      <c r="P236" s="1" t="s">
        <v>2651</v>
      </c>
      <c r="Q236" s="3">
        <v>44964</v>
      </c>
      <c r="R236" s="3">
        <v>44964</v>
      </c>
      <c r="S236" s="3">
        <v>45275</v>
      </c>
      <c r="T236" s="35"/>
      <c r="U236" s="3"/>
      <c r="V236" s="3"/>
      <c r="W236" s="50"/>
      <c r="X236" s="9">
        <v>12813925</v>
      </c>
      <c r="Y236" s="9">
        <v>14095319</v>
      </c>
      <c r="Z236" s="34">
        <f t="shared" si="11"/>
        <v>0.47619044964622564</v>
      </c>
      <c r="AA236" s="1">
        <v>12545859</v>
      </c>
      <c r="AB236" s="1" t="s">
        <v>2632</v>
      </c>
      <c r="AC236" s="1"/>
      <c r="AD236" s="1"/>
      <c r="AE236" s="3"/>
      <c r="AF236" s="194" t="s">
        <v>2922</v>
      </c>
      <c r="AG236" s="15" t="s">
        <v>192</v>
      </c>
      <c r="AH236" s="15" t="s">
        <v>192</v>
      </c>
    </row>
    <row r="237" spans="1:34" s="4" customFormat="1" x14ac:dyDescent="0.25">
      <c r="A237" s="16">
        <v>891780207</v>
      </c>
      <c r="B237" s="16" t="s">
        <v>54</v>
      </c>
      <c r="C237" s="14" t="s">
        <v>2627</v>
      </c>
      <c r="D237" s="16" t="s">
        <v>60</v>
      </c>
      <c r="E237" s="1" t="s">
        <v>2923</v>
      </c>
      <c r="F237" s="16" t="s">
        <v>61</v>
      </c>
      <c r="G237" s="1" t="s">
        <v>69</v>
      </c>
      <c r="H237" s="1" t="s">
        <v>2629</v>
      </c>
      <c r="I237" s="9">
        <v>19425427</v>
      </c>
      <c r="J237" s="94"/>
      <c r="K237" s="2"/>
      <c r="L237" s="2"/>
      <c r="M237" s="40">
        <f t="shared" si="12"/>
        <v>19425427</v>
      </c>
      <c r="N237" s="1">
        <v>1147686961</v>
      </c>
      <c r="O237" s="1" t="s">
        <v>2924</v>
      </c>
      <c r="P237" s="1" t="s">
        <v>2651</v>
      </c>
      <c r="Q237" s="3">
        <v>44964</v>
      </c>
      <c r="R237" s="3">
        <v>44964</v>
      </c>
      <c r="S237" s="3">
        <v>45275</v>
      </c>
      <c r="T237" s="35"/>
      <c r="U237" s="3"/>
      <c r="V237" s="3"/>
      <c r="W237" s="50"/>
      <c r="X237" s="9">
        <v>9250205</v>
      </c>
      <c r="Y237" s="9">
        <v>10175222</v>
      </c>
      <c r="Z237" s="34">
        <f t="shared" si="11"/>
        <v>0.47619056198867599</v>
      </c>
      <c r="AA237" s="1">
        <v>12545859</v>
      </c>
      <c r="AB237" s="1" t="s">
        <v>2632</v>
      </c>
      <c r="AC237" s="1"/>
      <c r="AD237" s="1"/>
      <c r="AE237" s="3"/>
      <c r="AF237" s="194" t="s">
        <v>2925</v>
      </c>
      <c r="AG237" s="15" t="s">
        <v>192</v>
      </c>
      <c r="AH237" s="15" t="s">
        <v>192</v>
      </c>
    </row>
    <row r="238" spans="1:34" s="4" customFormat="1" x14ac:dyDescent="0.25">
      <c r="A238" s="16">
        <v>891780208</v>
      </c>
      <c r="B238" s="16" t="s">
        <v>54</v>
      </c>
      <c r="C238" s="14" t="s">
        <v>2627</v>
      </c>
      <c r="D238" s="16" t="s">
        <v>60</v>
      </c>
      <c r="E238" s="1" t="s">
        <v>2926</v>
      </c>
      <c r="F238" s="16" t="s">
        <v>61</v>
      </c>
      <c r="G238" s="1" t="s">
        <v>69</v>
      </c>
      <c r="H238" s="1" t="s">
        <v>2629</v>
      </c>
      <c r="I238" s="9">
        <v>19425415</v>
      </c>
      <c r="J238" s="94"/>
      <c r="K238" s="2"/>
      <c r="L238" s="2"/>
      <c r="M238" s="40">
        <f t="shared" si="12"/>
        <v>19425415</v>
      </c>
      <c r="N238" s="1">
        <v>1119212838</v>
      </c>
      <c r="O238" s="1" t="s">
        <v>2927</v>
      </c>
      <c r="P238" s="1" t="s">
        <v>2651</v>
      </c>
      <c r="Q238" s="3">
        <v>44964</v>
      </c>
      <c r="R238" s="3">
        <v>44964</v>
      </c>
      <c r="S238" s="3">
        <v>45275</v>
      </c>
      <c r="T238" s="35"/>
      <c r="U238" s="3"/>
      <c r="V238" s="3"/>
      <c r="W238" s="50"/>
      <c r="X238" s="9">
        <v>7955172</v>
      </c>
      <c r="Y238" s="9">
        <v>11470243</v>
      </c>
      <c r="Z238" s="34">
        <f t="shared" si="11"/>
        <v>0.40952391493309154</v>
      </c>
      <c r="AA238" s="1">
        <v>12545859</v>
      </c>
      <c r="AB238" s="1" t="s">
        <v>2632</v>
      </c>
      <c r="AC238" s="1"/>
      <c r="AD238" s="1"/>
      <c r="AE238" s="3"/>
      <c r="AF238" s="194" t="s">
        <v>2928</v>
      </c>
      <c r="AG238" s="15" t="s">
        <v>192</v>
      </c>
      <c r="AH238" s="15" t="s">
        <v>192</v>
      </c>
    </row>
    <row r="239" spans="1:34" s="4" customFormat="1" x14ac:dyDescent="0.25">
      <c r="A239" s="16">
        <v>891780209</v>
      </c>
      <c r="B239" s="16" t="s">
        <v>54</v>
      </c>
      <c r="C239" s="14" t="s">
        <v>2627</v>
      </c>
      <c r="D239" s="16" t="s">
        <v>60</v>
      </c>
      <c r="E239" s="1" t="s">
        <v>2929</v>
      </c>
      <c r="F239" s="16" t="s">
        <v>61</v>
      </c>
      <c r="G239" s="1" t="s">
        <v>69</v>
      </c>
      <c r="H239" s="1" t="s">
        <v>2629</v>
      </c>
      <c r="I239" s="9">
        <v>21029244</v>
      </c>
      <c r="J239" s="94"/>
      <c r="K239" s="2"/>
      <c r="L239" s="2"/>
      <c r="M239" s="40">
        <f t="shared" si="12"/>
        <v>21029244</v>
      </c>
      <c r="N239" s="1">
        <v>50955393</v>
      </c>
      <c r="O239" s="1" t="s">
        <v>2930</v>
      </c>
      <c r="P239" s="1" t="s">
        <v>2651</v>
      </c>
      <c r="Q239" s="3">
        <v>44964</v>
      </c>
      <c r="R239" s="3">
        <v>44964</v>
      </c>
      <c r="S239" s="3">
        <v>45275</v>
      </c>
      <c r="T239" s="35"/>
      <c r="U239" s="3"/>
      <c r="V239" s="3"/>
      <c r="W239" s="50"/>
      <c r="X239" s="9">
        <v>10013925</v>
      </c>
      <c r="Y239" s="9">
        <v>11015319</v>
      </c>
      <c r="Z239" s="34">
        <f t="shared" si="11"/>
        <v>0.47619044222417123</v>
      </c>
      <c r="AA239" s="1">
        <v>12545859</v>
      </c>
      <c r="AB239" s="1" t="s">
        <v>2632</v>
      </c>
      <c r="AC239" s="1"/>
      <c r="AD239" s="1"/>
      <c r="AE239" s="3"/>
      <c r="AF239" s="194" t="s">
        <v>2931</v>
      </c>
      <c r="AG239" s="15" t="s">
        <v>192</v>
      </c>
      <c r="AH239" s="15" t="s">
        <v>192</v>
      </c>
    </row>
    <row r="240" spans="1:34" s="4" customFormat="1" x14ac:dyDescent="0.25">
      <c r="A240" s="16">
        <v>891780210</v>
      </c>
      <c r="B240" s="16" t="s">
        <v>54</v>
      </c>
      <c r="C240" s="14" t="s">
        <v>2627</v>
      </c>
      <c r="D240" s="16" t="s">
        <v>60</v>
      </c>
      <c r="E240" s="1" t="s">
        <v>2932</v>
      </c>
      <c r="F240" s="16" t="s">
        <v>61</v>
      </c>
      <c r="G240" s="1" t="s">
        <v>69</v>
      </c>
      <c r="H240" s="1" t="s">
        <v>2629</v>
      </c>
      <c r="I240" s="9">
        <v>19425427</v>
      </c>
      <c r="J240" s="94"/>
      <c r="K240" s="2"/>
      <c r="L240" s="2"/>
      <c r="M240" s="40">
        <f t="shared" si="12"/>
        <v>19425427</v>
      </c>
      <c r="N240" s="1">
        <v>68295521</v>
      </c>
      <c r="O240" s="1" t="s">
        <v>2933</v>
      </c>
      <c r="P240" s="1" t="s">
        <v>2651</v>
      </c>
      <c r="Q240" s="3">
        <v>44964</v>
      </c>
      <c r="R240" s="3">
        <v>44964</v>
      </c>
      <c r="S240" s="3">
        <v>45275</v>
      </c>
      <c r="T240" s="35"/>
      <c r="U240" s="3"/>
      <c r="V240" s="3"/>
      <c r="W240" s="50"/>
      <c r="X240" s="9">
        <v>9250205</v>
      </c>
      <c r="Y240" s="9">
        <v>10175222</v>
      </c>
      <c r="Z240" s="34">
        <f t="shared" si="11"/>
        <v>0.47619056198867599</v>
      </c>
      <c r="AA240" s="1">
        <v>12545859</v>
      </c>
      <c r="AB240" s="1" t="s">
        <v>2632</v>
      </c>
      <c r="AC240" s="1"/>
      <c r="AD240" s="1"/>
      <c r="AE240" s="3"/>
      <c r="AF240" s="194" t="s">
        <v>2934</v>
      </c>
      <c r="AG240" s="15" t="s">
        <v>192</v>
      </c>
      <c r="AH240" s="15" t="s">
        <v>192</v>
      </c>
    </row>
    <row r="241" spans="1:34" s="4" customFormat="1" x14ac:dyDescent="0.25">
      <c r="A241" s="16">
        <v>891780211</v>
      </c>
      <c r="B241" s="16" t="s">
        <v>54</v>
      </c>
      <c r="C241" s="14" t="s">
        <v>2627</v>
      </c>
      <c r="D241" s="16" t="s">
        <v>60</v>
      </c>
      <c r="E241" s="1" t="s">
        <v>2935</v>
      </c>
      <c r="F241" s="16" t="s">
        <v>61</v>
      </c>
      <c r="G241" s="1" t="s">
        <v>69</v>
      </c>
      <c r="H241" s="1" t="s">
        <v>2629</v>
      </c>
      <c r="I241" s="9">
        <v>19048225</v>
      </c>
      <c r="J241" s="94"/>
      <c r="K241" s="2"/>
      <c r="L241" s="2"/>
      <c r="M241" s="40">
        <f t="shared" si="12"/>
        <v>19048225</v>
      </c>
      <c r="N241" s="1">
        <v>1121219668</v>
      </c>
      <c r="O241" s="1" t="s">
        <v>2936</v>
      </c>
      <c r="P241" s="1" t="s">
        <v>2636</v>
      </c>
      <c r="Q241" s="3">
        <v>44964</v>
      </c>
      <c r="R241" s="3">
        <v>44964</v>
      </c>
      <c r="S241" s="3">
        <v>45275</v>
      </c>
      <c r="T241" s="35"/>
      <c r="U241" s="3"/>
      <c r="V241" s="3"/>
      <c r="W241" s="50"/>
      <c r="X241" s="9">
        <v>1814117</v>
      </c>
      <c r="Y241" s="9">
        <v>17234108</v>
      </c>
      <c r="Z241" s="34">
        <f t="shared" si="11"/>
        <v>9.5238112737538544E-2</v>
      </c>
      <c r="AA241" s="1">
        <v>12545859</v>
      </c>
      <c r="AB241" s="1" t="s">
        <v>2632</v>
      </c>
      <c r="AC241" s="1"/>
      <c r="AD241" s="1"/>
      <c r="AE241" s="3"/>
      <c r="AF241" s="194" t="s">
        <v>2937</v>
      </c>
      <c r="AG241" s="15" t="s">
        <v>192</v>
      </c>
      <c r="AH241" s="15" t="s">
        <v>192</v>
      </c>
    </row>
    <row r="242" spans="1:34" s="4" customFormat="1" x14ac:dyDescent="0.25">
      <c r="A242" s="16">
        <v>891780212</v>
      </c>
      <c r="B242" s="16" t="s">
        <v>54</v>
      </c>
      <c r="C242" s="14" t="s">
        <v>2627</v>
      </c>
      <c r="D242" s="16" t="s">
        <v>60</v>
      </c>
      <c r="E242" s="1" t="s">
        <v>2938</v>
      </c>
      <c r="F242" s="16" t="s">
        <v>61</v>
      </c>
      <c r="G242" s="1" t="s">
        <v>69</v>
      </c>
      <c r="H242" s="1" t="s">
        <v>2629</v>
      </c>
      <c r="I242" s="9">
        <v>19048225</v>
      </c>
      <c r="J242" s="94"/>
      <c r="K242" s="2"/>
      <c r="L242" s="2"/>
      <c r="M242" s="40">
        <f t="shared" si="12"/>
        <v>19048225</v>
      </c>
      <c r="N242" s="1">
        <v>1116495938</v>
      </c>
      <c r="O242" s="1" t="s">
        <v>2939</v>
      </c>
      <c r="P242" s="1" t="s">
        <v>2636</v>
      </c>
      <c r="Q242" s="3">
        <v>44964</v>
      </c>
      <c r="R242" s="3">
        <v>44964</v>
      </c>
      <c r="S242" s="3">
        <v>45275</v>
      </c>
      <c r="T242" s="35"/>
      <c r="U242" s="3"/>
      <c r="V242" s="3"/>
      <c r="W242" s="50"/>
      <c r="X242" s="9">
        <v>9070585</v>
      </c>
      <c r="Y242" s="9">
        <v>9977640</v>
      </c>
      <c r="Z242" s="34">
        <f t="shared" si="11"/>
        <v>0.47619056368769269</v>
      </c>
      <c r="AA242" s="1">
        <v>12545859</v>
      </c>
      <c r="AB242" s="1" t="s">
        <v>2632</v>
      </c>
      <c r="AC242" s="1"/>
      <c r="AD242" s="1"/>
      <c r="AE242" s="3"/>
      <c r="AF242" s="194" t="s">
        <v>2940</v>
      </c>
      <c r="AG242" s="15" t="s">
        <v>192</v>
      </c>
      <c r="AH242" s="15" t="s">
        <v>192</v>
      </c>
    </row>
    <row r="243" spans="1:34" s="4" customFormat="1" x14ac:dyDescent="0.25">
      <c r="A243" s="16">
        <v>891780213</v>
      </c>
      <c r="B243" s="16" t="s">
        <v>54</v>
      </c>
      <c r="C243" s="14" t="s">
        <v>2627</v>
      </c>
      <c r="D243" s="16" t="s">
        <v>60</v>
      </c>
      <c r="E243" s="1" t="s">
        <v>2941</v>
      </c>
      <c r="F243" s="16" t="s">
        <v>61</v>
      </c>
      <c r="G243" s="1" t="s">
        <v>69</v>
      </c>
      <c r="H243" s="1" t="s">
        <v>2629</v>
      </c>
      <c r="I243" s="9">
        <v>21029244</v>
      </c>
      <c r="J243" s="94"/>
      <c r="K243" s="2"/>
      <c r="L243" s="2"/>
      <c r="M243" s="40">
        <f t="shared" si="12"/>
        <v>21029244</v>
      </c>
      <c r="N243" s="1">
        <v>86082122</v>
      </c>
      <c r="O243" s="1" t="s">
        <v>2942</v>
      </c>
      <c r="P243" s="1" t="s">
        <v>2651</v>
      </c>
      <c r="Q243" s="3">
        <v>44964</v>
      </c>
      <c r="R243" s="3">
        <v>44964</v>
      </c>
      <c r="S243" s="3">
        <v>45275</v>
      </c>
      <c r="T243" s="35"/>
      <c r="U243" s="3"/>
      <c r="V243" s="3"/>
      <c r="W243" s="50"/>
      <c r="X243" s="9">
        <v>10013925</v>
      </c>
      <c r="Y243" s="9">
        <v>11015319</v>
      </c>
      <c r="Z243" s="34">
        <f t="shared" si="11"/>
        <v>0.47619044222417123</v>
      </c>
      <c r="AA243" s="1">
        <v>12545859</v>
      </c>
      <c r="AB243" s="1" t="s">
        <v>2632</v>
      </c>
      <c r="AC243" s="1"/>
      <c r="AD243" s="1"/>
      <c r="AE243" s="3"/>
      <c r="AF243" s="194" t="s">
        <v>2943</v>
      </c>
      <c r="AG243" s="15" t="s">
        <v>192</v>
      </c>
      <c r="AH243" s="15" t="s">
        <v>192</v>
      </c>
    </row>
    <row r="244" spans="1:34" s="4" customFormat="1" x14ac:dyDescent="0.25">
      <c r="A244" s="16">
        <v>891780214</v>
      </c>
      <c r="B244" s="16" t="s">
        <v>54</v>
      </c>
      <c r="C244" s="14" t="s">
        <v>2627</v>
      </c>
      <c r="D244" s="16" t="s">
        <v>60</v>
      </c>
      <c r="E244" s="1" t="s">
        <v>2944</v>
      </c>
      <c r="F244" s="16" t="s">
        <v>61</v>
      </c>
      <c r="G244" s="1" t="s">
        <v>69</v>
      </c>
      <c r="H244" s="1" t="s">
        <v>2629</v>
      </c>
      <c r="I244" s="9">
        <v>21029244</v>
      </c>
      <c r="J244" s="94"/>
      <c r="K244" s="2"/>
      <c r="L244" s="2"/>
      <c r="M244" s="40">
        <f t="shared" si="12"/>
        <v>21029244</v>
      </c>
      <c r="N244" s="1">
        <v>96194334</v>
      </c>
      <c r="O244" s="1" t="s">
        <v>2945</v>
      </c>
      <c r="P244" s="1" t="s">
        <v>2651</v>
      </c>
      <c r="Q244" s="3">
        <v>44964</v>
      </c>
      <c r="R244" s="3">
        <v>44964</v>
      </c>
      <c r="S244" s="3">
        <v>45275</v>
      </c>
      <c r="T244" s="35"/>
      <c r="U244" s="3"/>
      <c r="V244" s="3"/>
      <c r="W244" s="50"/>
      <c r="X244" s="9">
        <v>10013925</v>
      </c>
      <c r="Y244" s="9">
        <v>11015319</v>
      </c>
      <c r="Z244" s="34">
        <f t="shared" si="11"/>
        <v>0.47619044222417123</v>
      </c>
      <c r="AA244" s="1">
        <v>12545859</v>
      </c>
      <c r="AB244" s="1" t="s">
        <v>2632</v>
      </c>
      <c r="AC244" s="1"/>
      <c r="AD244" s="1"/>
      <c r="AE244" s="3"/>
      <c r="AF244" s="194" t="s">
        <v>2946</v>
      </c>
      <c r="AG244" s="15" t="s">
        <v>192</v>
      </c>
      <c r="AH244" s="15"/>
    </row>
    <row r="245" spans="1:34" s="4" customFormat="1" x14ac:dyDescent="0.25">
      <c r="A245" s="16">
        <v>891780215</v>
      </c>
      <c r="B245" s="16" t="s">
        <v>54</v>
      </c>
      <c r="C245" s="14" t="s">
        <v>2627</v>
      </c>
      <c r="D245" s="16" t="s">
        <v>60</v>
      </c>
      <c r="E245" s="1" t="s">
        <v>2947</v>
      </c>
      <c r="F245" s="16" t="s">
        <v>61</v>
      </c>
      <c r="G245" s="1" t="s">
        <v>69</v>
      </c>
      <c r="H245" s="1" t="s">
        <v>2629</v>
      </c>
      <c r="I245" s="9">
        <v>19048225</v>
      </c>
      <c r="J245" s="94"/>
      <c r="K245" s="2"/>
      <c r="L245" s="2"/>
      <c r="M245" s="40">
        <f t="shared" si="12"/>
        <v>19048225</v>
      </c>
      <c r="N245" s="1">
        <v>41250936</v>
      </c>
      <c r="O245" s="1" t="s">
        <v>2948</v>
      </c>
      <c r="P245" s="1" t="s">
        <v>2636</v>
      </c>
      <c r="Q245" s="3">
        <v>44964</v>
      </c>
      <c r="R245" s="3">
        <v>44964</v>
      </c>
      <c r="S245" s="3">
        <v>45275</v>
      </c>
      <c r="T245" s="35"/>
      <c r="U245" s="3"/>
      <c r="V245" s="3"/>
      <c r="W245" s="50"/>
      <c r="X245" s="9">
        <v>9070585</v>
      </c>
      <c r="Y245" s="9">
        <v>9977640</v>
      </c>
      <c r="Z245" s="34">
        <f t="shared" si="11"/>
        <v>0.47619056368769269</v>
      </c>
      <c r="AA245" s="1">
        <v>12545859</v>
      </c>
      <c r="AB245" s="1" t="s">
        <v>2632</v>
      </c>
      <c r="AC245" s="1"/>
      <c r="AD245" s="1"/>
      <c r="AE245" s="3"/>
      <c r="AF245" s="194" t="s">
        <v>2949</v>
      </c>
      <c r="AG245" s="15" t="s">
        <v>192</v>
      </c>
      <c r="AH245" s="15" t="s">
        <v>192</v>
      </c>
    </row>
    <row r="246" spans="1:34" s="4" customFormat="1" x14ac:dyDescent="0.25">
      <c r="A246" s="16">
        <v>891780216</v>
      </c>
      <c r="B246" s="16" t="s">
        <v>54</v>
      </c>
      <c r="C246" s="14" t="s">
        <v>2627</v>
      </c>
      <c r="D246" s="16" t="s">
        <v>60</v>
      </c>
      <c r="E246" s="1" t="s">
        <v>2950</v>
      </c>
      <c r="F246" s="16" t="s">
        <v>61</v>
      </c>
      <c r="G246" s="1" t="s">
        <v>69</v>
      </c>
      <c r="H246" s="1" t="s">
        <v>2629</v>
      </c>
      <c r="I246" s="9">
        <v>19048225</v>
      </c>
      <c r="J246" s="94"/>
      <c r="K246" s="2"/>
      <c r="L246" s="2"/>
      <c r="M246" s="40">
        <f t="shared" si="12"/>
        <v>19048225</v>
      </c>
      <c r="N246" s="1">
        <v>41057406</v>
      </c>
      <c r="O246" s="1" t="s">
        <v>2951</v>
      </c>
      <c r="P246" s="1" t="s">
        <v>2651</v>
      </c>
      <c r="Q246" s="3">
        <v>44964</v>
      </c>
      <c r="R246" s="3">
        <v>44964</v>
      </c>
      <c r="S246" s="3">
        <v>45275</v>
      </c>
      <c r="T246" s="35"/>
      <c r="U246" s="3"/>
      <c r="V246" s="3"/>
      <c r="W246" s="50"/>
      <c r="X246" s="9">
        <v>9070585</v>
      </c>
      <c r="Y246" s="9">
        <v>9977640</v>
      </c>
      <c r="Z246" s="34">
        <f t="shared" si="11"/>
        <v>0.47619056368769269</v>
      </c>
      <c r="AA246" s="1">
        <v>12545859</v>
      </c>
      <c r="AB246" s="1" t="s">
        <v>2632</v>
      </c>
      <c r="AC246" s="1"/>
      <c r="AD246" s="1"/>
      <c r="AE246" s="3"/>
      <c r="AF246" s="194" t="s">
        <v>2952</v>
      </c>
      <c r="AG246" s="15" t="s">
        <v>192</v>
      </c>
      <c r="AH246" s="15" t="s">
        <v>192</v>
      </c>
    </row>
    <row r="247" spans="1:34" s="4" customFormat="1" x14ac:dyDescent="0.25">
      <c r="A247" s="16">
        <v>891780217</v>
      </c>
      <c r="B247" s="16" t="s">
        <v>54</v>
      </c>
      <c r="C247" s="14" t="s">
        <v>2627</v>
      </c>
      <c r="D247" s="16" t="s">
        <v>60</v>
      </c>
      <c r="E247" s="1" t="s">
        <v>2953</v>
      </c>
      <c r="F247" s="16" t="s">
        <v>61</v>
      </c>
      <c r="G247" s="1" t="s">
        <v>69</v>
      </c>
      <c r="H247" s="1" t="s">
        <v>2629</v>
      </c>
      <c r="I247" s="9">
        <v>21029244</v>
      </c>
      <c r="J247" s="94"/>
      <c r="K247" s="2"/>
      <c r="L247" s="2"/>
      <c r="M247" s="40">
        <f t="shared" si="12"/>
        <v>21029244</v>
      </c>
      <c r="N247" s="1">
        <v>40266404</v>
      </c>
      <c r="O247" s="1" t="s">
        <v>2954</v>
      </c>
      <c r="P247" s="1" t="s">
        <v>2651</v>
      </c>
      <c r="Q247" s="3">
        <v>44964</v>
      </c>
      <c r="R247" s="3">
        <v>44964</v>
      </c>
      <c r="S247" s="3">
        <v>45275</v>
      </c>
      <c r="T247" s="35"/>
      <c r="U247" s="3"/>
      <c r="V247" s="3"/>
      <c r="W247" s="50"/>
      <c r="X247" s="9">
        <v>10013925</v>
      </c>
      <c r="Y247" s="9">
        <v>11015319</v>
      </c>
      <c r="Z247" s="34">
        <f t="shared" si="11"/>
        <v>0.47619044222417123</v>
      </c>
      <c r="AA247" s="1">
        <v>12545859</v>
      </c>
      <c r="AB247" s="1" t="s">
        <v>2632</v>
      </c>
      <c r="AC247" s="1"/>
      <c r="AD247" s="1"/>
      <c r="AE247" s="3"/>
      <c r="AF247" s="194" t="s">
        <v>2955</v>
      </c>
      <c r="AG247" s="15" t="s">
        <v>192</v>
      </c>
      <c r="AH247" s="15" t="s">
        <v>192</v>
      </c>
    </row>
    <row r="248" spans="1:34" s="4" customFormat="1" x14ac:dyDescent="0.25">
      <c r="A248" s="16">
        <v>891780218</v>
      </c>
      <c r="B248" s="16" t="s">
        <v>54</v>
      </c>
      <c r="C248" s="14" t="s">
        <v>2627</v>
      </c>
      <c r="D248" s="16" t="s">
        <v>60</v>
      </c>
      <c r="E248" s="1" t="s">
        <v>2956</v>
      </c>
      <c r="F248" s="16" t="s">
        <v>61</v>
      </c>
      <c r="G248" s="1" t="s">
        <v>69</v>
      </c>
      <c r="H248" s="1" t="s">
        <v>2629</v>
      </c>
      <c r="I248" s="9">
        <v>19048225</v>
      </c>
      <c r="J248" s="94"/>
      <c r="K248" s="2"/>
      <c r="L248" s="2"/>
      <c r="M248" s="40">
        <f t="shared" si="12"/>
        <v>19048225</v>
      </c>
      <c r="N248" s="1">
        <v>1006788367</v>
      </c>
      <c r="O248" s="1" t="s">
        <v>2957</v>
      </c>
      <c r="P248" s="1" t="s">
        <v>2636</v>
      </c>
      <c r="Q248" s="3">
        <v>44964</v>
      </c>
      <c r="R248" s="3">
        <v>44964</v>
      </c>
      <c r="S248" s="3">
        <v>45275</v>
      </c>
      <c r="T248" s="35"/>
      <c r="U248" s="3"/>
      <c r="V248" s="3"/>
      <c r="W248" s="50"/>
      <c r="X248" s="9">
        <v>9070585</v>
      </c>
      <c r="Y248" s="9">
        <v>9977640</v>
      </c>
      <c r="Z248" s="34">
        <f t="shared" si="11"/>
        <v>0.47619056368769269</v>
      </c>
      <c r="AA248" s="1">
        <v>12545859</v>
      </c>
      <c r="AB248" s="1" t="s">
        <v>2632</v>
      </c>
      <c r="AC248" s="1"/>
      <c r="AD248" s="1"/>
      <c r="AE248" s="3"/>
      <c r="AF248" s="194" t="s">
        <v>2958</v>
      </c>
      <c r="AG248" s="15" t="s">
        <v>192</v>
      </c>
      <c r="AH248" s="15" t="s">
        <v>192</v>
      </c>
    </row>
    <row r="249" spans="1:34" s="4" customFormat="1" x14ac:dyDescent="0.25">
      <c r="A249" s="16">
        <v>891780219</v>
      </c>
      <c r="B249" s="16" t="s">
        <v>54</v>
      </c>
      <c r="C249" s="14" t="s">
        <v>2627</v>
      </c>
      <c r="D249" s="16" t="s">
        <v>60</v>
      </c>
      <c r="E249" s="1" t="s">
        <v>2959</v>
      </c>
      <c r="F249" s="16" t="s">
        <v>61</v>
      </c>
      <c r="G249" s="1" t="s">
        <v>69</v>
      </c>
      <c r="H249" s="1" t="s">
        <v>2629</v>
      </c>
      <c r="I249" s="9">
        <v>19048225</v>
      </c>
      <c r="J249" s="94"/>
      <c r="K249" s="2"/>
      <c r="L249" s="2"/>
      <c r="M249" s="40">
        <f t="shared" si="12"/>
        <v>19048225</v>
      </c>
      <c r="N249" s="1">
        <v>1006499323</v>
      </c>
      <c r="O249" s="1" t="s">
        <v>2960</v>
      </c>
      <c r="P249" s="1" t="s">
        <v>2636</v>
      </c>
      <c r="Q249" s="3">
        <v>44964</v>
      </c>
      <c r="R249" s="3">
        <v>44964</v>
      </c>
      <c r="S249" s="3">
        <v>45275</v>
      </c>
      <c r="T249" s="35"/>
      <c r="U249" s="3"/>
      <c r="V249" s="3"/>
      <c r="W249" s="50"/>
      <c r="X249" s="9">
        <v>9070585</v>
      </c>
      <c r="Y249" s="9">
        <v>9977640</v>
      </c>
      <c r="Z249" s="34">
        <f t="shared" si="11"/>
        <v>0.47619056368769269</v>
      </c>
      <c r="AA249" s="1">
        <v>12545859</v>
      </c>
      <c r="AB249" s="1" t="s">
        <v>2632</v>
      </c>
      <c r="AC249" s="1"/>
      <c r="AD249" s="1"/>
      <c r="AE249" s="3"/>
      <c r="AF249" s="194" t="s">
        <v>2961</v>
      </c>
      <c r="AG249" s="15" t="s">
        <v>192</v>
      </c>
      <c r="AH249" s="15" t="s">
        <v>192</v>
      </c>
    </row>
    <row r="250" spans="1:34" s="4" customFormat="1" x14ac:dyDescent="0.25">
      <c r="A250" s="16">
        <v>891780220</v>
      </c>
      <c r="B250" s="16" t="s">
        <v>54</v>
      </c>
      <c r="C250" s="14" t="s">
        <v>2627</v>
      </c>
      <c r="D250" s="16" t="s">
        <v>60</v>
      </c>
      <c r="E250" s="1" t="s">
        <v>2962</v>
      </c>
      <c r="F250" s="16" t="s">
        <v>61</v>
      </c>
      <c r="G250" s="1" t="s">
        <v>69</v>
      </c>
      <c r="H250" s="1" t="s">
        <v>2629</v>
      </c>
      <c r="I250" s="9">
        <v>19425415</v>
      </c>
      <c r="J250" s="94"/>
      <c r="K250" s="2"/>
      <c r="L250" s="2"/>
      <c r="M250" s="40">
        <f t="shared" si="12"/>
        <v>19425415</v>
      </c>
      <c r="N250" s="1">
        <v>1125473051</v>
      </c>
      <c r="O250" s="1" t="s">
        <v>2963</v>
      </c>
      <c r="P250" s="1" t="s">
        <v>2651</v>
      </c>
      <c r="Q250" s="3">
        <v>44964</v>
      </c>
      <c r="R250" s="3">
        <v>44964</v>
      </c>
      <c r="S250" s="3">
        <v>45275</v>
      </c>
      <c r="T250" s="35"/>
      <c r="U250" s="3"/>
      <c r="V250" s="3"/>
      <c r="W250" s="50"/>
      <c r="X250" s="9">
        <v>9250200</v>
      </c>
      <c r="Y250" s="9">
        <v>10175215</v>
      </c>
      <c r="Z250" s="34">
        <f t="shared" si="11"/>
        <v>0.47619059875940872</v>
      </c>
      <c r="AA250" s="1">
        <v>12545859</v>
      </c>
      <c r="AB250" s="1" t="s">
        <v>2632</v>
      </c>
      <c r="AC250" s="1"/>
      <c r="AD250" s="1"/>
      <c r="AE250" s="3"/>
      <c r="AF250" s="194" t="s">
        <v>2964</v>
      </c>
      <c r="AG250" s="15" t="s">
        <v>192</v>
      </c>
      <c r="AH250" s="15" t="s">
        <v>192</v>
      </c>
    </row>
    <row r="251" spans="1:34" s="4" customFormat="1" x14ac:dyDescent="0.25">
      <c r="A251" s="16">
        <v>891780221</v>
      </c>
      <c r="B251" s="16" t="s">
        <v>54</v>
      </c>
      <c r="C251" s="14" t="s">
        <v>2627</v>
      </c>
      <c r="D251" s="16" t="s">
        <v>60</v>
      </c>
      <c r="E251" s="1" t="s">
        <v>2965</v>
      </c>
      <c r="F251" s="16" t="s">
        <v>61</v>
      </c>
      <c r="G251" s="1" t="s">
        <v>69</v>
      </c>
      <c r="H251" s="1" t="s">
        <v>2629</v>
      </c>
      <c r="I251" s="9">
        <v>19425415</v>
      </c>
      <c r="J251" s="94"/>
      <c r="K251" s="2"/>
      <c r="L251" s="2"/>
      <c r="M251" s="40">
        <f t="shared" si="12"/>
        <v>19425415</v>
      </c>
      <c r="N251" s="1">
        <v>1122725940</v>
      </c>
      <c r="O251" s="1" t="s">
        <v>2966</v>
      </c>
      <c r="P251" s="1" t="s">
        <v>2651</v>
      </c>
      <c r="Q251" s="3">
        <v>44964</v>
      </c>
      <c r="R251" s="3">
        <v>44964</v>
      </c>
      <c r="S251" s="3">
        <v>45275</v>
      </c>
      <c r="T251" s="35"/>
      <c r="U251" s="3"/>
      <c r="V251" s="3"/>
      <c r="W251" s="50"/>
      <c r="X251" s="9">
        <v>9250200</v>
      </c>
      <c r="Y251" s="9">
        <v>10175215</v>
      </c>
      <c r="Z251" s="34">
        <f t="shared" si="11"/>
        <v>0.47619059875940872</v>
      </c>
      <c r="AA251" s="1">
        <v>12545859</v>
      </c>
      <c r="AB251" s="1" t="s">
        <v>2632</v>
      </c>
      <c r="AC251" s="1"/>
      <c r="AD251" s="1"/>
      <c r="AE251" s="3"/>
      <c r="AF251" s="194" t="s">
        <v>2967</v>
      </c>
      <c r="AG251" s="15" t="s">
        <v>192</v>
      </c>
      <c r="AH251" s="15" t="s">
        <v>192</v>
      </c>
    </row>
    <row r="252" spans="1:34" s="4" customFormat="1" x14ac:dyDescent="0.25">
      <c r="A252" s="16">
        <v>891780222</v>
      </c>
      <c r="B252" s="16" t="s">
        <v>54</v>
      </c>
      <c r="C252" s="14" t="s">
        <v>2627</v>
      </c>
      <c r="D252" s="16" t="s">
        <v>60</v>
      </c>
      <c r="E252" s="1" t="s">
        <v>2968</v>
      </c>
      <c r="F252" s="16" t="s">
        <v>61</v>
      </c>
      <c r="G252" s="1" t="s">
        <v>69</v>
      </c>
      <c r="H252" s="1" t="s">
        <v>2629</v>
      </c>
      <c r="I252" s="9">
        <v>17095630</v>
      </c>
      <c r="J252" s="94"/>
      <c r="K252" s="2"/>
      <c r="L252" s="2"/>
      <c r="M252" s="40">
        <f t="shared" si="12"/>
        <v>17095630</v>
      </c>
      <c r="N252" s="1">
        <v>1051662444</v>
      </c>
      <c r="O252" s="1" t="s">
        <v>2969</v>
      </c>
      <c r="P252" s="1" t="s">
        <v>2647</v>
      </c>
      <c r="Q252" s="3">
        <v>44964</v>
      </c>
      <c r="R252" s="3">
        <v>44964</v>
      </c>
      <c r="S252" s="3">
        <v>45275</v>
      </c>
      <c r="T252" s="35"/>
      <c r="U252" s="3"/>
      <c r="V252" s="3"/>
      <c r="W252" s="50"/>
      <c r="X252" s="9">
        <v>8140775</v>
      </c>
      <c r="Y252" s="9">
        <v>8954855</v>
      </c>
      <c r="Z252" s="34">
        <f t="shared" si="11"/>
        <v>0.47619040655418959</v>
      </c>
      <c r="AA252" s="1">
        <v>12545859</v>
      </c>
      <c r="AB252" s="1" t="s">
        <v>2632</v>
      </c>
      <c r="AC252" s="1"/>
      <c r="AD252" s="1"/>
      <c r="AE252" s="3"/>
      <c r="AF252" s="194" t="s">
        <v>2970</v>
      </c>
      <c r="AG252" s="15" t="s">
        <v>192</v>
      </c>
      <c r="AH252" s="15" t="s">
        <v>192</v>
      </c>
    </row>
    <row r="253" spans="1:34" s="4" customFormat="1" x14ac:dyDescent="0.25">
      <c r="A253" s="16">
        <v>891780223</v>
      </c>
      <c r="B253" s="16" t="s">
        <v>54</v>
      </c>
      <c r="C253" s="14" t="s">
        <v>2627</v>
      </c>
      <c r="D253" s="16" t="s">
        <v>60</v>
      </c>
      <c r="E253" s="1" t="s">
        <v>2971</v>
      </c>
      <c r="F253" s="16" t="s">
        <v>61</v>
      </c>
      <c r="G253" s="1" t="s">
        <v>69</v>
      </c>
      <c r="H253" s="1" t="s">
        <v>2629</v>
      </c>
      <c r="I253" s="9">
        <v>19048225</v>
      </c>
      <c r="J253" s="94"/>
      <c r="K253" s="2"/>
      <c r="L253" s="2"/>
      <c r="M253" s="40">
        <f t="shared" si="12"/>
        <v>19048225</v>
      </c>
      <c r="N253" s="1">
        <v>1052995192</v>
      </c>
      <c r="O253" s="1" t="s">
        <v>2972</v>
      </c>
      <c r="P253" s="1" t="s">
        <v>2636</v>
      </c>
      <c r="Q253" s="3">
        <v>44964</v>
      </c>
      <c r="R253" s="3">
        <v>44964</v>
      </c>
      <c r="S253" s="3">
        <v>45275</v>
      </c>
      <c r="T253" s="35"/>
      <c r="U253" s="3"/>
      <c r="V253" s="3"/>
      <c r="W253" s="50"/>
      <c r="X253" s="9">
        <v>9070585</v>
      </c>
      <c r="Y253" s="9">
        <v>9977640</v>
      </c>
      <c r="Z253" s="34">
        <f t="shared" si="11"/>
        <v>0.47619056368769269</v>
      </c>
      <c r="AA253" s="1">
        <v>12545859</v>
      </c>
      <c r="AB253" s="1" t="s">
        <v>2632</v>
      </c>
      <c r="AC253" s="1"/>
      <c r="AD253" s="1"/>
      <c r="AE253" s="3"/>
      <c r="AF253" s="194" t="s">
        <v>2973</v>
      </c>
      <c r="AG253" s="15" t="s">
        <v>192</v>
      </c>
      <c r="AH253" s="15" t="s">
        <v>192</v>
      </c>
    </row>
    <row r="254" spans="1:34" s="4" customFormat="1" x14ac:dyDescent="0.25">
      <c r="A254" s="16">
        <v>891780224</v>
      </c>
      <c r="B254" s="16" t="s">
        <v>54</v>
      </c>
      <c r="C254" s="14" t="s">
        <v>2627</v>
      </c>
      <c r="D254" s="16" t="s">
        <v>60</v>
      </c>
      <c r="E254" s="1" t="s">
        <v>2974</v>
      </c>
      <c r="F254" s="16" t="s">
        <v>61</v>
      </c>
      <c r="G254" s="1" t="s">
        <v>69</v>
      </c>
      <c r="H254" s="1" t="s">
        <v>2629</v>
      </c>
      <c r="I254" s="9">
        <v>19425427</v>
      </c>
      <c r="J254" s="94"/>
      <c r="K254" s="2"/>
      <c r="L254" s="2"/>
      <c r="M254" s="40">
        <f t="shared" si="12"/>
        <v>19425427</v>
      </c>
      <c r="N254" s="1">
        <v>53176437</v>
      </c>
      <c r="O254" s="1" t="s">
        <v>2975</v>
      </c>
      <c r="P254" s="1" t="s">
        <v>2651</v>
      </c>
      <c r="Q254" s="3">
        <v>44964</v>
      </c>
      <c r="R254" s="3">
        <v>44964</v>
      </c>
      <c r="S254" s="3">
        <v>45275</v>
      </c>
      <c r="T254" s="35"/>
      <c r="U254" s="3"/>
      <c r="V254" s="3"/>
      <c r="W254" s="50"/>
      <c r="X254" s="9">
        <v>9250205</v>
      </c>
      <c r="Y254" s="9">
        <v>10175222</v>
      </c>
      <c r="Z254" s="34">
        <f t="shared" si="11"/>
        <v>0.47619056198867599</v>
      </c>
      <c r="AA254" s="1">
        <v>12545859</v>
      </c>
      <c r="AB254" s="1" t="s">
        <v>2632</v>
      </c>
      <c r="AC254" s="1"/>
      <c r="AD254" s="1"/>
      <c r="AE254" s="3"/>
      <c r="AF254" s="194" t="s">
        <v>2976</v>
      </c>
      <c r="AG254" s="15" t="s">
        <v>192</v>
      </c>
      <c r="AH254" s="15" t="s">
        <v>192</v>
      </c>
    </row>
    <row r="255" spans="1:34" s="4" customFormat="1" x14ac:dyDescent="0.25">
      <c r="A255" s="16">
        <v>891780225</v>
      </c>
      <c r="B255" s="16" t="s">
        <v>54</v>
      </c>
      <c r="C255" s="14" t="s">
        <v>2627</v>
      </c>
      <c r="D255" s="16" t="s">
        <v>60</v>
      </c>
      <c r="E255" s="1" t="s">
        <v>2977</v>
      </c>
      <c r="F255" s="16" t="s">
        <v>61</v>
      </c>
      <c r="G255" s="1" t="s">
        <v>69</v>
      </c>
      <c r="H255" s="1" t="s">
        <v>2629</v>
      </c>
      <c r="I255" s="9">
        <v>19048225</v>
      </c>
      <c r="J255" s="94"/>
      <c r="K255" s="2"/>
      <c r="L255" s="2"/>
      <c r="M255" s="40">
        <f t="shared" si="12"/>
        <v>19048225</v>
      </c>
      <c r="N255" s="1">
        <v>45770098</v>
      </c>
      <c r="O255" s="1" t="s">
        <v>2978</v>
      </c>
      <c r="P255" s="1" t="s">
        <v>2636</v>
      </c>
      <c r="Q255" s="3">
        <v>44964</v>
      </c>
      <c r="R255" s="3">
        <v>44964</v>
      </c>
      <c r="S255" s="3">
        <v>45275</v>
      </c>
      <c r="T255" s="35"/>
      <c r="U255" s="3"/>
      <c r="V255" s="3"/>
      <c r="W255" s="50"/>
      <c r="X255" s="9">
        <v>9070585</v>
      </c>
      <c r="Y255" s="9">
        <v>9977640</v>
      </c>
      <c r="Z255" s="34">
        <f t="shared" si="11"/>
        <v>0.47619056368769269</v>
      </c>
      <c r="AA255" s="1">
        <v>12545859</v>
      </c>
      <c r="AB255" s="1" t="s">
        <v>2632</v>
      </c>
      <c r="AC255" s="1"/>
      <c r="AD255" s="1"/>
      <c r="AE255" s="3"/>
      <c r="AF255" s="194" t="s">
        <v>2979</v>
      </c>
      <c r="AG255" s="15" t="s">
        <v>192</v>
      </c>
      <c r="AH255" s="15" t="s">
        <v>192</v>
      </c>
    </row>
    <row r="256" spans="1:34" s="4" customFormat="1" x14ac:dyDescent="0.25">
      <c r="A256" s="16">
        <v>891780226</v>
      </c>
      <c r="B256" s="16" t="s">
        <v>54</v>
      </c>
      <c r="C256" s="14" t="s">
        <v>2627</v>
      </c>
      <c r="D256" s="16" t="s">
        <v>60</v>
      </c>
      <c r="E256" s="1" t="s">
        <v>2980</v>
      </c>
      <c r="F256" s="16" t="s">
        <v>61</v>
      </c>
      <c r="G256" s="1" t="s">
        <v>69</v>
      </c>
      <c r="H256" s="1" t="s">
        <v>2629</v>
      </c>
      <c r="I256" s="9">
        <v>19048225</v>
      </c>
      <c r="J256" s="94"/>
      <c r="K256" s="2"/>
      <c r="L256" s="2"/>
      <c r="M256" s="40">
        <f t="shared" si="12"/>
        <v>19048225</v>
      </c>
      <c r="N256" s="1">
        <v>1042004348</v>
      </c>
      <c r="O256" s="1" t="s">
        <v>2981</v>
      </c>
      <c r="P256" s="1" t="s">
        <v>2636</v>
      </c>
      <c r="Q256" s="3">
        <v>44964</v>
      </c>
      <c r="R256" s="3">
        <v>44964</v>
      </c>
      <c r="S256" s="3">
        <v>45275</v>
      </c>
      <c r="T256" s="35"/>
      <c r="U256" s="3"/>
      <c r="V256" s="3"/>
      <c r="W256" s="50"/>
      <c r="X256" s="9">
        <v>9070585</v>
      </c>
      <c r="Y256" s="9">
        <v>9977640</v>
      </c>
      <c r="Z256" s="34">
        <f t="shared" si="11"/>
        <v>0.47619056368769269</v>
      </c>
      <c r="AA256" s="1">
        <v>12545859</v>
      </c>
      <c r="AB256" s="1" t="s">
        <v>2632</v>
      </c>
      <c r="AC256" s="1"/>
      <c r="AD256" s="1"/>
      <c r="AE256" s="3"/>
      <c r="AF256" s="194" t="s">
        <v>2982</v>
      </c>
      <c r="AG256" s="15" t="s">
        <v>192</v>
      </c>
      <c r="AH256" s="15" t="s">
        <v>192</v>
      </c>
    </row>
    <row r="257" spans="1:34" s="4" customFormat="1" x14ac:dyDescent="0.25">
      <c r="A257" s="16">
        <v>891780227</v>
      </c>
      <c r="B257" s="16" t="s">
        <v>54</v>
      </c>
      <c r="C257" s="14" t="s">
        <v>2627</v>
      </c>
      <c r="D257" s="16" t="s">
        <v>60</v>
      </c>
      <c r="E257" s="1" t="s">
        <v>2983</v>
      </c>
      <c r="F257" s="16" t="s">
        <v>61</v>
      </c>
      <c r="G257" s="1" t="s">
        <v>69</v>
      </c>
      <c r="H257" s="1" t="s">
        <v>2629</v>
      </c>
      <c r="I257" s="9">
        <v>19048225</v>
      </c>
      <c r="J257" s="94"/>
      <c r="K257" s="2"/>
      <c r="L257" s="2"/>
      <c r="M257" s="40">
        <f t="shared" si="12"/>
        <v>19048225</v>
      </c>
      <c r="N257" s="1">
        <v>1193529136</v>
      </c>
      <c r="O257" s="1" t="s">
        <v>2984</v>
      </c>
      <c r="P257" s="1" t="s">
        <v>2636</v>
      </c>
      <c r="Q257" s="3">
        <v>44964</v>
      </c>
      <c r="R257" s="3">
        <v>44964</v>
      </c>
      <c r="S257" s="3">
        <v>45275</v>
      </c>
      <c r="T257" s="35"/>
      <c r="U257" s="3"/>
      <c r="V257" s="3"/>
      <c r="W257" s="50"/>
      <c r="X257" s="9">
        <v>9070585</v>
      </c>
      <c r="Y257" s="9">
        <v>9977640</v>
      </c>
      <c r="Z257" s="34">
        <f t="shared" si="11"/>
        <v>0.47619056368769269</v>
      </c>
      <c r="AA257" s="1">
        <v>12545859</v>
      </c>
      <c r="AB257" s="1" t="s">
        <v>2632</v>
      </c>
      <c r="AC257" s="1"/>
      <c r="AD257" s="1"/>
      <c r="AE257" s="3"/>
      <c r="AF257" s="194" t="s">
        <v>2985</v>
      </c>
      <c r="AG257" s="15" t="s">
        <v>192</v>
      </c>
      <c r="AH257" s="15" t="s">
        <v>192</v>
      </c>
    </row>
    <row r="258" spans="1:34" s="4" customFormat="1" x14ac:dyDescent="0.25">
      <c r="A258" s="16">
        <v>891780228</v>
      </c>
      <c r="B258" s="16" t="s">
        <v>54</v>
      </c>
      <c r="C258" s="14" t="s">
        <v>2627</v>
      </c>
      <c r="D258" s="16" t="s">
        <v>60</v>
      </c>
      <c r="E258" s="1" t="s">
        <v>2986</v>
      </c>
      <c r="F258" s="16" t="s">
        <v>61</v>
      </c>
      <c r="G258" s="1" t="s">
        <v>69</v>
      </c>
      <c r="H258" s="1" t="s">
        <v>2629</v>
      </c>
      <c r="I258" s="9">
        <v>17143399</v>
      </c>
      <c r="J258" s="94"/>
      <c r="K258" s="2"/>
      <c r="L258" s="2"/>
      <c r="M258" s="40">
        <f t="shared" si="12"/>
        <v>17143399</v>
      </c>
      <c r="N258" s="1">
        <v>1051739807</v>
      </c>
      <c r="O258" s="1" t="s">
        <v>2987</v>
      </c>
      <c r="P258" s="1" t="s">
        <v>2647</v>
      </c>
      <c r="Q258" s="3">
        <v>44964</v>
      </c>
      <c r="R258" s="3">
        <v>44964</v>
      </c>
      <c r="S258" s="3">
        <v>45275</v>
      </c>
      <c r="T258" s="35"/>
      <c r="U258" s="3"/>
      <c r="V258" s="3"/>
      <c r="W258" s="50"/>
      <c r="X258" s="9">
        <v>8163525</v>
      </c>
      <c r="Y258" s="9">
        <v>8979874</v>
      </c>
      <c r="Z258" s="34">
        <f t="shared" si="11"/>
        <v>0.47619057340962545</v>
      </c>
      <c r="AA258" s="1">
        <v>12545859</v>
      </c>
      <c r="AB258" s="1" t="s">
        <v>2632</v>
      </c>
      <c r="AC258" s="1"/>
      <c r="AD258" s="1"/>
      <c r="AE258" s="3"/>
      <c r="AF258" s="194" t="s">
        <v>2988</v>
      </c>
      <c r="AG258" s="15" t="s">
        <v>192</v>
      </c>
      <c r="AH258" s="15" t="s">
        <v>192</v>
      </c>
    </row>
    <row r="259" spans="1:34" s="4" customFormat="1" x14ac:dyDescent="0.25">
      <c r="A259" s="16">
        <v>891780229</v>
      </c>
      <c r="B259" s="16" t="s">
        <v>54</v>
      </c>
      <c r="C259" s="14" t="s">
        <v>2627</v>
      </c>
      <c r="D259" s="16" t="s">
        <v>60</v>
      </c>
      <c r="E259" s="1" t="s">
        <v>2989</v>
      </c>
      <c r="F259" s="16" t="s">
        <v>61</v>
      </c>
      <c r="G259" s="1" t="s">
        <v>69</v>
      </c>
      <c r="H259" s="1" t="s">
        <v>2629</v>
      </c>
      <c r="I259" s="9">
        <v>19425415</v>
      </c>
      <c r="J259" s="94"/>
      <c r="K259" s="2"/>
      <c r="L259" s="2"/>
      <c r="M259" s="40">
        <f t="shared" si="12"/>
        <v>19425415</v>
      </c>
      <c r="N259" s="1">
        <v>71218110</v>
      </c>
      <c r="O259" s="1" t="s">
        <v>2990</v>
      </c>
      <c r="P259" s="1" t="s">
        <v>2636</v>
      </c>
      <c r="Q259" s="3">
        <v>44964</v>
      </c>
      <c r="R259" s="3">
        <v>44964</v>
      </c>
      <c r="S259" s="3">
        <v>45275</v>
      </c>
      <c r="T259" s="35"/>
      <c r="U259" s="3"/>
      <c r="V259" s="3"/>
      <c r="W259" s="50"/>
      <c r="X259" s="9">
        <v>9250200</v>
      </c>
      <c r="Y259" s="9">
        <v>10175215</v>
      </c>
      <c r="Z259" s="34">
        <f t="shared" si="11"/>
        <v>0.47619059875940872</v>
      </c>
      <c r="AA259" s="1">
        <v>12545859</v>
      </c>
      <c r="AB259" s="1" t="s">
        <v>2632</v>
      </c>
      <c r="AC259" s="1"/>
      <c r="AD259" s="1"/>
      <c r="AE259" s="3"/>
      <c r="AF259" s="194" t="s">
        <v>2991</v>
      </c>
      <c r="AG259" s="15" t="s">
        <v>192</v>
      </c>
      <c r="AH259" s="15" t="s">
        <v>192</v>
      </c>
    </row>
    <row r="260" spans="1:34" s="4" customFormat="1" x14ac:dyDescent="0.25">
      <c r="A260" s="16">
        <v>891780230</v>
      </c>
      <c r="B260" s="16" t="s">
        <v>54</v>
      </c>
      <c r="C260" s="14" t="s">
        <v>2627</v>
      </c>
      <c r="D260" s="16" t="s">
        <v>60</v>
      </c>
      <c r="E260" s="1" t="s">
        <v>2992</v>
      </c>
      <c r="F260" s="16" t="s">
        <v>61</v>
      </c>
      <c r="G260" s="1" t="s">
        <v>69</v>
      </c>
      <c r="H260" s="1" t="s">
        <v>2629</v>
      </c>
      <c r="I260" s="9">
        <v>20821033</v>
      </c>
      <c r="J260" s="94"/>
      <c r="K260" s="2"/>
      <c r="L260" s="2"/>
      <c r="M260" s="40">
        <f t="shared" si="12"/>
        <v>20821033</v>
      </c>
      <c r="N260" s="1">
        <v>92257950</v>
      </c>
      <c r="O260" s="1" t="s">
        <v>2993</v>
      </c>
      <c r="P260" s="1" t="s">
        <v>2651</v>
      </c>
      <c r="Q260" s="3">
        <v>44964</v>
      </c>
      <c r="R260" s="3">
        <v>44964</v>
      </c>
      <c r="S260" s="3">
        <v>45275</v>
      </c>
      <c r="T260" s="35"/>
      <c r="U260" s="3"/>
      <c r="V260" s="3"/>
      <c r="W260" s="50"/>
      <c r="X260" s="9">
        <v>9914780</v>
      </c>
      <c r="Y260" s="9">
        <v>10906253</v>
      </c>
      <c r="Z260" s="34">
        <f t="shared" si="11"/>
        <v>0.47619059054370644</v>
      </c>
      <c r="AA260" s="1">
        <v>12545859</v>
      </c>
      <c r="AB260" s="1" t="s">
        <v>2632</v>
      </c>
      <c r="AC260" s="1"/>
      <c r="AD260" s="1"/>
      <c r="AE260" s="3"/>
      <c r="AF260" s="194" t="s">
        <v>2994</v>
      </c>
      <c r="AG260" s="15" t="s">
        <v>192</v>
      </c>
      <c r="AH260" s="15" t="s">
        <v>192</v>
      </c>
    </row>
    <row r="261" spans="1:34" s="4" customFormat="1" x14ac:dyDescent="0.25">
      <c r="A261" s="16">
        <v>891780231</v>
      </c>
      <c r="B261" s="16" t="s">
        <v>54</v>
      </c>
      <c r="C261" s="14" t="s">
        <v>2627</v>
      </c>
      <c r="D261" s="16" t="s">
        <v>60</v>
      </c>
      <c r="E261" s="1" t="s">
        <v>2995</v>
      </c>
      <c r="F261" s="16" t="s">
        <v>61</v>
      </c>
      <c r="G261" s="1" t="s">
        <v>69</v>
      </c>
      <c r="H261" s="1" t="s">
        <v>2629</v>
      </c>
      <c r="I261" s="9">
        <v>21029244</v>
      </c>
      <c r="J261" s="94"/>
      <c r="K261" s="2"/>
      <c r="L261" s="2"/>
      <c r="M261" s="40">
        <f t="shared" si="12"/>
        <v>21029244</v>
      </c>
      <c r="N261" s="1">
        <v>19871174</v>
      </c>
      <c r="O261" s="1" t="s">
        <v>2996</v>
      </c>
      <c r="P261" s="1" t="s">
        <v>2651</v>
      </c>
      <c r="Q261" s="3">
        <v>44964</v>
      </c>
      <c r="R261" s="3">
        <v>44964</v>
      </c>
      <c r="S261" s="3">
        <v>45275</v>
      </c>
      <c r="T261" s="35"/>
      <c r="U261" s="3"/>
      <c r="V261" s="3"/>
      <c r="W261" s="50"/>
      <c r="X261" s="9">
        <v>10013925</v>
      </c>
      <c r="Y261" s="9">
        <v>11015319</v>
      </c>
      <c r="Z261" s="34">
        <f t="shared" ref="Z261:Z324" si="13">+(X261/M261)</f>
        <v>0.47619044222417123</v>
      </c>
      <c r="AA261" s="1">
        <v>12545859</v>
      </c>
      <c r="AB261" s="1" t="s">
        <v>2632</v>
      </c>
      <c r="AC261" s="1"/>
      <c r="AD261" s="1"/>
      <c r="AE261" s="3"/>
      <c r="AF261" s="194" t="s">
        <v>2997</v>
      </c>
      <c r="AG261" s="15" t="s">
        <v>192</v>
      </c>
      <c r="AH261" s="15" t="s">
        <v>192</v>
      </c>
    </row>
    <row r="262" spans="1:34" s="4" customFormat="1" x14ac:dyDescent="0.25">
      <c r="A262" s="16">
        <v>891780232</v>
      </c>
      <c r="B262" s="16" t="s">
        <v>54</v>
      </c>
      <c r="C262" s="14" t="s">
        <v>2627</v>
      </c>
      <c r="D262" s="16" t="s">
        <v>60</v>
      </c>
      <c r="E262" s="1" t="s">
        <v>2998</v>
      </c>
      <c r="F262" s="16" t="s">
        <v>61</v>
      </c>
      <c r="G262" s="1" t="s">
        <v>69</v>
      </c>
      <c r="H262" s="1" t="s">
        <v>2629</v>
      </c>
      <c r="I262" s="9">
        <v>19048225</v>
      </c>
      <c r="J262" s="94"/>
      <c r="K262" s="2"/>
      <c r="L262" s="2"/>
      <c r="M262" s="40">
        <f t="shared" ref="M262:M325" si="14">I262+K262-L262</f>
        <v>19048225</v>
      </c>
      <c r="N262" s="1">
        <v>1063481862</v>
      </c>
      <c r="O262" s="1" t="s">
        <v>2999</v>
      </c>
      <c r="P262" s="1" t="s">
        <v>2636</v>
      </c>
      <c r="Q262" s="3">
        <v>44964</v>
      </c>
      <c r="R262" s="3">
        <v>44964</v>
      </c>
      <c r="S262" s="3">
        <v>45275</v>
      </c>
      <c r="T262" s="35"/>
      <c r="U262" s="3"/>
      <c r="V262" s="3"/>
      <c r="W262" s="50"/>
      <c r="X262" s="9">
        <v>9070585</v>
      </c>
      <c r="Y262" s="9">
        <v>9977640</v>
      </c>
      <c r="Z262" s="34">
        <f t="shared" si="13"/>
        <v>0.47619056368769269</v>
      </c>
      <c r="AA262" s="1">
        <v>12545859</v>
      </c>
      <c r="AB262" s="1" t="s">
        <v>2632</v>
      </c>
      <c r="AC262" s="1"/>
      <c r="AD262" s="1"/>
      <c r="AE262" s="3"/>
      <c r="AF262" s="194" t="s">
        <v>3000</v>
      </c>
      <c r="AG262" s="15" t="s">
        <v>192</v>
      </c>
      <c r="AH262" s="15" t="s">
        <v>192</v>
      </c>
    </row>
    <row r="263" spans="1:34" s="4" customFormat="1" x14ac:dyDescent="0.25">
      <c r="A263" s="16">
        <v>891780233</v>
      </c>
      <c r="B263" s="16" t="s">
        <v>54</v>
      </c>
      <c r="C263" s="14" t="s">
        <v>2627</v>
      </c>
      <c r="D263" s="16" t="s">
        <v>60</v>
      </c>
      <c r="E263" s="1" t="s">
        <v>3001</v>
      </c>
      <c r="F263" s="16" t="s">
        <v>61</v>
      </c>
      <c r="G263" s="1" t="s">
        <v>69</v>
      </c>
      <c r="H263" s="1" t="s">
        <v>2629</v>
      </c>
      <c r="I263" s="9">
        <v>19048225</v>
      </c>
      <c r="J263" s="94"/>
      <c r="K263" s="2"/>
      <c r="L263" s="2"/>
      <c r="M263" s="40">
        <f t="shared" si="14"/>
        <v>19048225</v>
      </c>
      <c r="N263" s="1">
        <v>1002496860</v>
      </c>
      <c r="O263" s="1" t="s">
        <v>3002</v>
      </c>
      <c r="P263" s="1" t="s">
        <v>2636</v>
      </c>
      <c r="Q263" s="3">
        <v>44964</v>
      </c>
      <c r="R263" s="3">
        <v>44964</v>
      </c>
      <c r="S263" s="3">
        <v>45275</v>
      </c>
      <c r="T263" s="35"/>
      <c r="U263" s="3"/>
      <c r="V263" s="3"/>
      <c r="W263" s="50"/>
      <c r="X263" s="9">
        <v>9070585</v>
      </c>
      <c r="Y263" s="9">
        <v>9977640</v>
      </c>
      <c r="Z263" s="34">
        <f t="shared" si="13"/>
        <v>0.47619056368769269</v>
      </c>
      <c r="AA263" s="1">
        <v>12545859</v>
      </c>
      <c r="AB263" s="1" t="s">
        <v>2632</v>
      </c>
      <c r="AC263" s="1"/>
      <c r="AD263" s="1"/>
      <c r="AE263" s="3"/>
      <c r="AF263" s="194" t="s">
        <v>3003</v>
      </c>
      <c r="AG263" s="15" t="s">
        <v>192</v>
      </c>
      <c r="AH263" s="15" t="s">
        <v>192</v>
      </c>
    </row>
    <row r="264" spans="1:34" s="4" customFormat="1" x14ac:dyDescent="0.25">
      <c r="A264" s="16">
        <v>891780234</v>
      </c>
      <c r="B264" s="16" t="s">
        <v>54</v>
      </c>
      <c r="C264" s="14" t="s">
        <v>2627</v>
      </c>
      <c r="D264" s="16" t="s">
        <v>60</v>
      </c>
      <c r="E264" s="1" t="s">
        <v>3004</v>
      </c>
      <c r="F264" s="16" t="s">
        <v>61</v>
      </c>
      <c r="G264" s="1" t="s">
        <v>69</v>
      </c>
      <c r="H264" s="1" t="s">
        <v>2629</v>
      </c>
      <c r="I264" s="9">
        <v>21029244</v>
      </c>
      <c r="J264" s="94"/>
      <c r="K264" s="2"/>
      <c r="L264" s="2"/>
      <c r="M264" s="40">
        <f t="shared" si="14"/>
        <v>21029244</v>
      </c>
      <c r="N264" s="1">
        <v>5010318</v>
      </c>
      <c r="O264" s="1" t="s">
        <v>3005</v>
      </c>
      <c r="P264" s="1" t="s">
        <v>2651</v>
      </c>
      <c r="Q264" s="3">
        <v>44964</v>
      </c>
      <c r="R264" s="3">
        <v>44964</v>
      </c>
      <c r="S264" s="3">
        <v>45275</v>
      </c>
      <c r="T264" s="35"/>
      <c r="U264" s="3"/>
      <c r="V264" s="3"/>
      <c r="W264" s="50"/>
      <c r="X264" s="9">
        <v>10013925</v>
      </c>
      <c r="Y264" s="9">
        <v>11015319</v>
      </c>
      <c r="Z264" s="34">
        <f t="shared" si="13"/>
        <v>0.47619044222417123</v>
      </c>
      <c r="AA264" s="1">
        <v>12545859</v>
      </c>
      <c r="AB264" s="1" t="s">
        <v>2632</v>
      </c>
      <c r="AC264" s="1"/>
      <c r="AD264" s="1"/>
      <c r="AE264" s="3"/>
      <c r="AF264" s="194" t="s">
        <v>3006</v>
      </c>
      <c r="AG264" s="15" t="s">
        <v>192</v>
      </c>
      <c r="AH264" s="15" t="s">
        <v>192</v>
      </c>
    </row>
    <row r="265" spans="1:34" s="4" customFormat="1" x14ac:dyDescent="0.25">
      <c r="A265" s="16">
        <v>891780235</v>
      </c>
      <c r="B265" s="16" t="s">
        <v>54</v>
      </c>
      <c r="C265" s="14" t="s">
        <v>2627</v>
      </c>
      <c r="D265" s="16" t="s">
        <v>60</v>
      </c>
      <c r="E265" s="1" t="s">
        <v>3007</v>
      </c>
      <c r="F265" s="16" t="s">
        <v>61</v>
      </c>
      <c r="G265" s="1" t="s">
        <v>69</v>
      </c>
      <c r="H265" s="1" t="s">
        <v>2629</v>
      </c>
      <c r="I265" s="9">
        <v>19048225</v>
      </c>
      <c r="J265" s="94"/>
      <c r="K265" s="2"/>
      <c r="L265" s="2"/>
      <c r="M265" s="40">
        <f t="shared" si="14"/>
        <v>19048225</v>
      </c>
      <c r="N265" s="1">
        <v>1052040272</v>
      </c>
      <c r="O265" s="1" t="s">
        <v>3008</v>
      </c>
      <c r="P265" s="1" t="s">
        <v>2636</v>
      </c>
      <c r="Q265" s="3">
        <v>44964</v>
      </c>
      <c r="R265" s="3">
        <v>44964</v>
      </c>
      <c r="S265" s="3">
        <v>45275</v>
      </c>
      <c r="T265" s="35"/>
      <c r="U265" s="3"/>
      <c r="V265" s="3"/>
      <c r="W265" s="50"/>
      <c r="X265" s="9">
        <v>9070585</v>
      </c>
      <c r="Y265" s="9">
        <v>9977640</v>
      </c>
      <c r="Z265" s="34">
        <f t="shared" si="13"/>
        <v>0.47619056368769269</v>
      </c>
      <c r="AA265" s="1">
        <v>12545859</v>
      </c>
      <c r="AB265" s="1" t="s">
        <v>2632</v>
      </c>
      <c r="AC265" s="1"/>
      <c r="AD265" s="1"/>
      <c r="AE265" s="3"/>
      <c r="AF265" s="194" t="s">
        <v>3009</v>
      </c>
      <c r="AG265" s="15" t="s">
        <v>192</v>
      </c>
      <c r="AH265" s="15" t="s">
        <v>192</v>
      </c>
    </row>
    <row r="266" spans="1:34" s="4" customFormat="1" x14ac:dyDescent="0.25">
      <c r="A266" s="16">
        <v>891780236</v>
      </c>
      <c r="B266" s="16" t="s">
        <v>54</v>
      </c>
      <c r="C266" s="14" t="s">
        <v>2627</v>
      </c>
      <c r="D266" s="16" t="s">
        <v>60</v>
      </c>
      <c r="E266" s="1" t="s">
        <v>3010</v>
      </c>
      <c r="F266" s="16" t="s">
        <v>61</v>
      </c>
      <c r="G266" s="1" t="s">
        <v>69</v>
      </c>
      <c r="H266" s="1" t="s">
        <v>2629</v>
      </c>
      <c r="I266" s="9">
        <v>19048225</v>
      </c>
      <c r="J266" s="94"/>
      <c r="K266" s="2"/>
      <c r="L266" s="2"/>
      <c r="M266" s="40">
        <f t="shared" si="14"/>
        <v>19048225</v>
      </c>
      <c r="N266" s="1">
        <v>1051746030</v>
      </c>
      <c r="O266" s="1" t="s">
        <v>3011</v>
      </c>
      <c r="P266" s="1" t="s">
        <v>2636</v>
      </c>
      <c r="Q266" s="3">
        <v>44964</v>
      </c>
      <c r="R266" s="3">
        <v>44964</v>
      </c>
      <c r="S266" s="3">
        <v>45275</v>
      </c>
      <c r="T266" s="35"/>
      <c r="U266" s="3"/>
      <c r="V266" s="3"/>
      <c r="W266" s="50"/>
      <c r="X266" s="9">
        <v>9070585</v>
      </c>
      <c r="Y266" s="9">
        <v>9977640</v>
      </c>
      <c r="Z266" s="34">
        <f t="shared" si="13"/>
        <v>0.47619056368769269</v>
      </c>
      <c r="AA266" s="1">
        <v>12545859</v>
      </c>
      <c r="AB266" s="1" t="s">
        <v>2632</v>
      </c>
      <c r="AC266" s="1"/>
      <c r="AD266" s="1"/>
      <c r="AE266" s="3"/>
      <c r="AF266" s="194" t="s">
        <v>3012</v>
      </c>
      <c r="AG266" s="15" t="s">
        <v>192</v>
      </c>
      <c r="AH266" s="15" t="s">
        <v>192</v>
      </c>
    </row>
    <row r="267" spans="1:34" s="4" customFormat="1" x14ac:dyDescent="0.25">
      <c r="A267" s="16">
        <v>891780237</v>
      </c>
      <c r="B267" s="16" t="s">
        <v>54</v>
      </c>
      <c r="C267" s="14" t="s">
        <v>2627</v>
      </c>
      <c r="D267" s="16" t="s">
        <v>60</v>
      </c>
      <c r="E267" s="1" t="s">
        <v>3013</v>
      </c>
      <c r="F267" s="16" t="s">
        <v>61</v>
      </c>
      <c r="G267" s="1" t="s">
        <v>69</v>
      </c>
      <c r="H267" s="1" t="s">
        <v>2629</v>
      </c>
      <c r="I267" s="9">
        <v>19048225</v>
      </c>
      <c r="J267" s="94"/>
      <c r="K267" s="2"/>
      <c r="L267" s="2"/>
      <c r="M267" s="40">
        <f t="shared" si="14"/>
        <v>19048225</v>
      </c>
      <c r="N267" s="1">
        <v>1067032134</v>
      </c>
      <c r="O267" s="1" t="s">
        <v>3014</v>
      </c>
      <c r="P267" s="1" t="s">
        <v>2651</v>
      </c>
      <c r="Q267" s="3">
        <v>44964</v>
      </c>
      <c r="R267" s="3">
        <v>44964</v>
      </c>
      <c r="S267" s="3">
        <v>45275</v>
      </c>
      <c r="T267" s="35"/>
      <c r="U267" s="3"/>
      <c r="V267" s="3"/>
      <c r="W267" s="50"/>
      <c r="X267" s="9">
        <v>9070585</v>
      </c>
      <c r="Y267" s="9">
        <v>9977640</v>
      </c>
      <c r="Z267" s="34">
        <f t="shared" si="13"/>
        <v>0.47619056368769269</v>
      </c>
      <c r="AA267" s="1">
        <v>12545859</v>
      </c>
      <c r="AB267" s="1" t="s">
        <v>2632</v>
      </c>
      <c r="AC267" s="1"/>
      <c r="AD267" s="1"/>
      <c r="AE267" s="3"/>
      <c r="AF267" s="194" t="s">
        <v>3015</v>
      </c>
      <c r="AG267" s="15" t="s">
        <v>192</v>
      </c>
      <c r="AH267" s="15" t="s">
        <v>192</v>
      </c>
    </row>
    <row r="268" spans="1:34" s="4" customFormat="1" x14ac:dyDescent="0.25">
      <c r="A268" s="16">
        <v>891780238</v>
      </c>
      <c r="B268" s="16" t="s">
        <v>54</v>
      </c>
      <c r="C268" s="14" t="s">
        <v>2627</v>
      </c>
      <c r="D268" s="16" t="s">
        <v>60</v>
      </c>
      <c r="E268" s="1" t="s">
        <v>3016</v>
      </c>
      <c r="F268" s="16" t="s">
        <v>61</v>
      </c>
      <c r="G268" s="1" t="s">
        <v>69</v>
      </c>
      <c r="H268" s="1" t="s">
        <v>2629</v>
      </c>
      <c r="I268" s="9">
        <v>19048225</v>
      </c>
      <c r="J268" s="94"/>
      <c r="K268" s="2"/>
      <c r="L268" s="2"/>
      <c r="M268" s="40">
        <f t="shared" si="14"/>
        <v>19048225</v>
      </c>
      <c r="N268" s="1">
        <v>77184929</v>
      </c>
      <c r="O268" s="1" t="s">
        <v>3017</v>
      </c>
      <c r="P268" s="1" t="s">
        <v>2636</v>
      </c>
      <c r="Q268" s="3">
        <v>44964</v>
      </c>
      <c r="R268" s="3">
        <v>44964</v>
      </c>
      <c r="S268" s="3">
        <v>45275</v>
      </c>
      <c r="T268" s="35"/>
      <c r="U268" s="3"/>
      <c r="V268" s="3"/>
      <c r="W268" s="50"/>
      <c r="X268" s="9">
        <v>9070585</v>
      </c>
      <c r="Y268" s="9">
        <v>9977640</v>
      </c>
      <c r="Z268" s="34">
        <f t="shared" si="13"/>
        <v>0.47619056368769269</v>
      </c>
      <c r="AA268" s="1">
        <v>12545859</v>
      </c>
      <c r="AB268" s="1" t="s">
        <v>2632</v>
      </c>
      <c r="AC268" s="1"/>
      <c r="AD268" s="1"/>
      <c r="AE268" s="3"/>
      <c r="AF268" s="194" t="s">
        <v>3018</v>
      </c>
      <c r="AG268" s="15" t="s">
        <v>192</v>
      </c>
      <c r="AH268" s="15" t="s">
        <v>192</v>
      </c>
    </row>
    <row r="269" spans="1:34" s="4" customFormat="1" x14ac:dyDescent="0.25">
      <c r="A269" s="16">
        <v>891780239</v>
      </c>
      <c r="B269" s="16" t="s">
        <v>54</v>
      </c>
      <c r="C269" s="14" t="s">
        <v>2627</v>
      </c>
      <c r="D269" s="16" t="s">
        <v>60</v>
      </c>
      <c r="E269" s="1" t="s">
        <v>3019</v>
      </c>
      <c r="F269" s="16" t="s">
        <v>61</v>
      </c>
      <c r="G269" s="1" t="s">
        <v>69</v>
      </c>
      <c r="H269" s="1" t="s">
        <v>2629</v>
      </c>
      <c r="I269" s="9">
        <v>1850040</v>
      </c>
      <c r="J269" s="94"/>
      <c r="K269" s="2"/>
      <c r="L269" s="2"/>
      <c r="M269" s="40">
        <f t="shared" si="14"/>
        <v>1850040</v>
      </c>
      <c r="N269" s="1">
        <v>1063494464</v>
      </c>
      <c r="O269" s="1" t="s">
        <v>3020</v>
      </c>
      <c r="P269" s="1" t="s">
        <v>2651</v>
      </c>
      <c r="Q269" s="3">
        <v>44964</v>
      </c>
      <c r="R269" s="3">
        <v>44964</v>
      </c>
      <c r="S269" s="3">
        <v>44985</v>
      </c>
      <c r="T269" s="35"/>
      <c r="U269" s="3"/>
      <c r="V269" s="3"/>
      <c r="W269" s="50"/>
      <c r="X269" s="9">
        <v>1850040</v>
      </c>
      <c r="Y269" s="9">
        <f>M269-X269</f>
        <v>0</v>
      </c>
      <c r="Z269" s="34">
        <f t="shared" si="13"/>
        <v>1</v>
      </c>
      <c r="AA269" s="1">
        <v>12545859</v>
      </c>
      <c r="AB269" s="1" t="s">
        <v>2632</v>
      </c>
      <c r="AC269" s="1"/>
      <c r="AD269" s="1"/>
      <c r="AE269" s="3"/>
      <c r="AF269" s="194" t="s">
        <v>3021</v>
      </c>
      <c r="AG269" s="15" t="s">
        <v>192</v>
      </c>
      <c r="AH269" s="15" t="s">
        <v>192</v>
      </c>
    </row>
    <row r="270" spans="1:34" s="4" customFormat="1" x14ac:dyDescent="0.25">
      <c r="A270" s="16">
        <v>891780240</v>
      </c>
      <c r="B270" s="16" t="s">
        <v>54</v>
      </c>
      <c r="C270" s="14" t="s">
        <v>2627</v>
      </c>
      <c r="D270" s="16" t="s">
        <v>60</v>
      </c>
      <c r="E270" s="1" t="s">
        <v>3022</v>
      </c>
      <c r="F270" s="16" t="s">
        <v>61</v>
      </c>
      <c r="G270" s="1" t="s">
        <v>69</v>
      </c>
      <c r="H270" s="1" t="s">
        <v>2629</v>
      </c>
      <c r="I270" s="9">
        <v>21029244</v>
      </c>
      <c r="J270" s="94"/>
      <c r="K270" s="2"/>
      <c r="L270" s="2"/>
      <c r="M270" s="40">
        <f t="shared" si="14"/>
        <v>21029244</v>
      </c>
      <c r="N270" s="1">
        <v>1052040936</v>
      </c>
      <c r="O270" s="1" t="s">
        <v>3023</v>
      </c>
      <c r="P270" s="1" t="s">
        <v>2651</v>
      </c>
      <c r="Q270" s="3">
        <v>44964</v>
      </c>
      <c r="R270" s="3">
        <v>44964</v>
      </c>
      <c r="S270" s="3">
        <v>45275</v>
      </c>
      <c r="T270" s="35"/>
      <c r="U270" s="3"/>
      <c r="V270" s="3"/>
      <c r="W270" s="50"/>
      <c r="X270" s="9">
        <v>10013925</v>
      </c>
      <c r="Y270" s="9">
        <v>11015319</v>
      </c>
      <c r="Z270" s="34">
        <f t="shared" si="13"/>
        <v>0.47619044222417123</v>
      </c>
      <c r="AA270" s="1">
        <v>12545859</v>
      </c>
      <c r="AB270" s="1" t="s">
        <v>2632</v>
      </c>
      <c r="AC270" s="1"/>
      <c r="AD270" s="1"/>
      <c r="AE270" s="3"/>
      <c r="AF270" s="194" t="s">
        <v>3024</v>
      </c>
      <c r="AG270" s="15" t="s">
        <v>192</v>
      </c>
      <c r="AH270" s="15" t="s">
        <v>192</v>
      </c>
    </row>
    <row r="271" spans="1:34" s="4" customFormat="1" x14ac:dyDescent="0.25">
      <c r="A271" s="16">
        <v>891780241</v>
      </c>
      <c r="B271" s="16" t="s">
        <v>54</v>
      </c>
      <c r="C271" s="14" t="s">
        <v>2627</v>
      </c>
      <c r="D271" s="16" t="s">
        <v>60</v>
      </c>
      <c r="E271" s="1" t="s">
        <v>3025</v>
      </c>
      <c r="F271" s="16" t="s">
        <v>61</v>
      </c>
      <c r="G271" s="1" t="s">
        <v>69</v>
      </c>
      <c r="H271" s="1" t="s">
        <v>2629</v>
      </c>
      <c r="I271" s="9">
        <v>19048225</v>
      </c>
      <c r="J271" s="94"/>
      <c r="K271" s="2"/>
      <c r="L271" s="2"/>
      <c r="M271" s="40">
        <f t="shared" si="14"/>
        <v>19048225</v>
      </c>
      <c r="N271" s="1">
        <v>49754969</v>
      </c>
      <c r="O271" s="1" t="s">
        <v>3026</v>
      </c>
      <c r="P271" s="1" t="s">
        <v>2636</v>
      </c>
      <c r="Q271" s="3">
        <v>44964</v>
      </c>
      <c r="R271" s="3">
        <v>44964</v>
      </c>
      <c r="S271" s="3">
        <v>45275</v>
      </c>
      <c r="T271" s="35"/>
      <c r="U271" s="3"/>
      <c r="V271" s="3"/>
      <c r="W271" s="50"/>
      <c r="X271" s="9">
        <v>9070585</v>
      </c>
      <c r="Y271" s="9">
        <v>9977640</v>
      </c>
      <c r="Z271" s="34">
        <f t="shared" si="13"/>
        <v>0.47619056368769269</v>
      </c>
      <c r="AA271" s="1">
        <v>12545859</v>
      </c>
      <c r="AB271" s="1" t="s">
        <v>2632</v>
      </c>
      <c r="AC271" s="1"/>
      <c r="AD271" s="1"/>
      <c r="AE271" s="3"/>
      <c r="AF271" s="194" t="s">
        <v>3027</v>
      </c>
      <c r="AG271" s="15" t="s">
        <v>192</v>
      </c>
      <c r="AH271" s="15" t="s">
        <v>192</v>
      </c>
    </row>
    <row r="272" spans="1:34" s="4" customFormat="1" x14ac:dyDescent="0.25">
      <c r="A272" s="16">
        <v>891780242</v>
      </c>
      <c r="B272" s="16" t="s">
        <v>54</v>
      </c>
      <c r="C272" s="14" t="s">
        <v>2627</v>
      </c>
      <c r="D272" s="16" t="s">
        <v>60</v>
      </c>
      <c r="E272" s="1" t="s">
        <v>3028</v>
      </c>
      <c r="F272" s="16" t="s">
        <v>61</v>
      </c>
      <c r="G272" s="1" t="s">
        <v>69</v>
      </c>
      <c r="H272" s="1" t="s">
        <v>2629</v>
      </c>
      <c r="I272" s="9">
        <v>19048225</v>
      </c>
      <c r="J272" s="94"/>
      <c r="K272" s="2"/>
      <c r="L272" s="2"/>
      <c r="M272" s="40">
        <f t="shared" si="14"/>
        <v>19048225</v>
      </c>
      <c r="N272" s="1">
        <v>52971682</v>
      </c>
      <c r="O272" s="1" t="s">
        <v>3029</v>
      </c>
      <c r="P272" s="1" t="s">
        <v>2636</v>
      </c>
      <c r="Q272" s="3">
        <v>44964</v>
      </c>
      <c r="R272" s="3">
        <v>44964</v>
      </c>
      <c r="S272" s="3">
        <v>45275</v>
      </c>
      <c r="T272" s="35"/>
      <c r="U272" s="3"/>
      <c r="V272" s="3"/>
      <c r="W272" s="50"/>
      <c r="X272" s="9">
        <v>3628234</v>
      </c>
      <c r="Y272" s="9">
        <v>15419991</v>
      </c>
      <c r="Z272" s="34">
        <f t="shared" si="13"/>
        <v>0.19047622547507709</v>
      </c>
      <c r="AA272" s="1">
        <v>12545859</v>
      </c>
      <c r="AB272" s="1" t="s">
        <v>2632</v>
      </c>
      <c r="AC272" s="1"/>
      <c r="AD272" s="1"/>
      <c r="AE272" s="3"/>
      <c r="AF272" s="194" t="s">
        <v>3030</v>
      </c>
      <c r="AG272" s="15" t="s">
        <v>192</v>
      </c>
      <c r="AH272" s="15" t="s">
        <v>192</v>
      </c>
    </row>
    <row r="273" spans="1:34" s="4" customFormat="1" x14ac:dyDescent="0.25">
      <c r="A273" s="16">
        <v>891780243</v>
      </c>
      <c r="B273" s="16" t="s">
        <v>54</v>
      </c>
      <c r="C273" s="14" t="s">
        <v>2627</v>
      </c>
      <c r="D273" s="16" t="s">
        <v>60</v>
      </c>
      <c r="E273" s="1" t="s">
        <v>3031</v>
      </c>
      <c r="F273" s="16" t="s">
        <v>61</v>
      </c>
      <c r="G273" s="1" t="s">
        <v>69</v>
      </c>
      <c r="H273" s="1" t="s">
        <v>2629</v>
      </c>
      <c r="I273" s="9">
        <v>22637953</v>
      </c>
      <c r="J273" s="94"/>
      <c r="K273" s="2"/>
      <c r="L273" s="2"/>
      <c r="M273" s="40">
        <f t="shared" si="14"/>
        <v>22637953</v>
      </c>
      <c r="N273" s="1">
        <v>30687111</v>
      </c>
      <c r="O273" s="1" t="s">
        <v>3032</v>
      </c>
      <c r="P273" s="1" t="s">
        <v>3033</v>
      </c>
      <c r="Q273" s="3">
        <v>44964</v>
      </c>
      <c r="R273" s="3">
        <v>44964</v>
      </c>
      <c r="S273" s="3">
        <v>45275</v>
      </c>
      <c r="T273" s="35"/>
      <c r="U273" s="3"/>
      <c r="V273" s="3"/>
      <c r="W273" s="50"/>
      <c r="X273" s="9">
        <v>10779980</v>
      </c>
      <c r="Y273" s="9">
        <v>11857973</v>
      </c>
      <c r="Z273" s="34">
        <f t="shared" si="13"/>
        <v>0.47619058136572684</v>
      </c>
      <c r="AA273" s="1">
        <v>12545859</v>
      </c>
      <c r="AB273" s="1" t="s">
        <v>2632</v>
      </c>
      <c r="AC273" s="1"/>
      <c r="AD273" s="1"/>
      <c r="AE273" s="3"/>
      <c r="AF273" s="194" t="s">
        <v>3034</v>
      </c>
      <c r="AG273" s="15" t="s">
        <v>192</v>
      </c>
      <c r="AH273" s="15" t="s">
        <v>192</v>
      </c>
    </row>
    <row r="274" spans="1:34" s="4" customFormat="1" x14ac:dyDescent="0.25">
      <c r="A274" s="16">
        <v>891780244</v>
      </c>
      <c r="B274" s="16" t="s">
        <v>54</v>
      </c>
      <c r="C274" s="14" t="s">
        <v>2627</v>
      </c>
      <c r="D274" s="16" t="s">
        <v>60</v>
      </c>
      <c r="E274" s="1" t="s">
        <v>3035</v>
      </c>
      <c r="F274" s="16" t="s">
        <v>61</v>
      </c>
      <c r="G274" s="1" t="s">
        <v>69</v>
      </c>
      <c r="H274" s="1" t="s">
        <v>2629</v>
      </c>
      <c r="I274" s="9">
        <v>20214593</v>
      </c>
      <c r="J274" s="94"/>
      <c r="K274" s="2"/>
      <c r="L274" s="2"/>
      <c r="M274" s="40">
        <f t="shared" si="14"/>
        <v>20214593</v>
      </c>
      <c r="N274" s="1">
        <v>1075089018</v>
      </c>
      <c r="O274" s="1" t="s">
        <v>3036</v>
      </c>
      <c r="P274" s="1" t="s">
        <v>2857</v>
      </c>
      <c r="Q274" s="3">
        <v>44964</v>
      </c>
      <c r="R274" s="3">
        <v>44964</v>
      </c>
      <c r="S274" s="3">
        <v>45275</v>
      </c>
      <c r="T274" s="35"/>
      <c r="U274" s="3"/>
      <c r="V274" s="3"/>
      <c r="W274" s="50"/>
      <c r="X274" s="9">
        <v>9625995</v>
      </c>
      <c r="Y274" s="9">
        <v>10588598</v>
      </c>
      <c r="Z274" s="34">
        <f t="shared" si="13"/>
        <v>0.4761903937417884</v>
      </c>
      <c r="AA274" s="1">
        <v>12545859</v>
      </c>
      <c r="AB274" s="1" t="s">
        <v>2632</v>
      </c>
      <c r="AC274" s="1"/>
      <c r="AD274" s="1"/>
      <c r="AE274" s="3"/>
      <c r="AF274" s="194" t="s">
        <v>3037</v>
      </c>
      <c r="AG274" s="15" t="s">
        <v>192</v>
      </c>
      <c r="AH274" s="15" t="s">
        <v>192</v>
      </c>
    </row>
    <row r="275" spans="1:34" s="4" customFormat="1" x14ac:dyDescent="0.25">
      <c r="A275" s="16">
        <v>891780245</v>
      </c>
      <c r="B275" s="16" t="s">
        <v>54</v>
      </c>
      <c r="C275" s="14" t="s">
        <v>2627</v>
      </c>
      <c r="D275" s="16" t="s">
        <v>60</v>
      </c>
      <c r="E275" s="1" t="s">
        <v>3038</v>
      </c>
      <c r="F275" s="16" t="s">
        <v>61</v>
      </c>
      <c r="G275" s="1" t="s">
        <v>69</v>
      </c>
      <c r="H275" s="1" t="s">
        <v>2629</v>
      </c>
      <c r="I275" s="9">
        <v>19048225</v>
      </c>
      <c r="J275" s="94"/>
      <c r="K275" s="2"/>
      <c r="L275" s="2"/>
      <c r="M275" s="40">
        <f t="shared" si="14"/>
        <v>19048225</v>
      </c>
      <c r="N275" s="1">
        <v>1001153892</v>
      </c>
      <c r="O275" s="1" t="s">
        <v>3039</v>
      </c>
      <c r="P275" s="1" t="s">
        <v>2834</v>
      </c>
      <c r="Q275" s="3">
        <v>44964</v>
      </c>
      <c r="R275" s="3">
        <v>44964</v>
      </c>
      <c r="S275" s="3">
        <v>45275</v>
      </c>
      <c r="T275" s="35"/>
      <c r="U275" s="3"/>
      <c r="V275" s="3"/>
      <c r="W275" s="50"/>
      <c r="X275" s="9">
        <v>9070585</v>
      </c>
      <c r="Y275" s="9">
        <v>9977640</v>
      </c>
      <c r="Z275" s="34">
        <f t="shared" si="13"/>
        <v>0.47619056368769269</v>
      </c>
      <c r="AA275" s="1">
        <v>12545859</v>
      </c>
      <c r="AB275" s="1" t="s">
        <v>2632</v>
      </c>
      <c r="AC275" s="1"/>
      <c r="AD275" s="1"/>
      <c r="AE275" s="3"/>
      <c r="AF275" s="194" t="s">
        <v>3040</v>
      </c>
      <c r="AG275" s="15" t="s">
        <v>192</v>
      </c>
      <c r="AH275" s="15" t="s">
        <v>192</v>
      </c>
    </row>
    <row r="276" spans="1:34" s="4" customFormat="1" x14ac:dyDescent="0.25">
      <c r="A276" s="16">
        <v>891780246</v>
      </c>
      <c r="B276" s="16" t="s">
        <v>54</v>
      </c>
      <c r="C276" s="14" t="s">
        <v>2627</v>
      </c>
      <c r="D276" s="16" t="s">
        <v>60</v>
      </c>
      <c r="E276" s="1" t="s">
        <v>3041</v>
      </c>
      <c r="F276" s="16" t="s">
        <v>61</v>
      </c>
      <c r="G276" s="1" t="s">
        <v>69</v>
      </c>
      <c r="H276" s="1" t="s">
        <v>2629</v>
      </c>
      <c r="I276" s="9">
        <v>19048225</v>
      </c>
      <c r="J276" s="94"/>
      <c r="K276" s="2"/>
      <c r="L276" s="2"/>
      <c r="M276" s="40">
        <f t="shared" si="14"/>
        <v>19048225</v>
      </c>
      <c r="N276" s="1">
        <v>1030460108</v>
      </c>
      <c r="O276" s="1" t="s">
        <v>3042</v>
      </c>
      <c r="P276" s="1" t="s">
        <v>2857</v>
      </c>
      <c r="Q276" s="3">
        <v>44964</v>
      </c>
      <c r="R276" s="3">
        <v>44964</v>
      </c>
      <c r="S276" s="3">
        <v>45275</v>
      </c>
      <c r="T276" s="35"/>
      <c r="U276" s="3"/>
      <c r="V276" s="3"/>
      <c r="W276" s="50"/>
      <c r="X276" s="9">
        <v>9070585</v>
      </c>
      <c r="Y276" s="9">
        <v>9977640</v>
      </c>
      <c r="Z276" s="34">
        <f t="shared" si="13"/>
        <v>0.47619056368769269</v>
      </c>
      <c r="AA276" s="1">
        <v>12545859</v>
      </c>
      <c r="AB276" s="1" t="s">
        <v>2632</v>
      </c>
      <c r="AC276" s="1"/>
      <c r="AD276" s="1"/>
      <c r="AE276" s="3"/>
      <c r="AF276" s="194" t="s">
        <v>3043</v>
      </c>
      <c r="AG276" s="15" t="s">
        <v>192</v>
      </c>
      <c r="AH276" s="15" t="s">
        <v>192</v>
      </c>
    </row>
    <row r="277" spans="1:34" s="4" customFormat="1" x14ac:dyDescent="0.25">
      <c r="A277" s="16">
        <v>891780247</v>
      </c>
      <c r="B277" s="16" t="s">
        <v>54</v>
      </c>
      <c r="C277" s="14" t="s">
        <v>2627</v>
      </c>
      <c r="D277" s="16" t="s">
        <v>60</v>
      </c>
      <c r="E277" s="1" t="s">
        <v>3044</v>
      </c>
      <c r="F277" s="16" t="s">
        <v>61</v>
      </c>
      <c r="G277" s="1" t="s">
        <v>69</v>
      </c>
      <c r="H277" s="1" t="s">
        <v>2629</v>
      </c>
      <c r="I277" s="9">
        <v>19121631</v>
      </c>
      <c r="J277" s="94"/>
      <c r="K277" s="2"/>
      <c r="L277" s="2"/>
      <c r="M277" s="40">
        <f t="shared" si="14"/>
        <v>19121631</v>
      </c>
      <c r="N277" s="1">
        <v>11803799</v>
      </c>
      <c r="O277" s="1" t="s">
        <v>3045</v>
      </c>
      <c r="P277" s="1" t="s">
        <v>2857</v>
      </c>
      <c r="Q277" s="3">
        <v>44964</v>
      </c>
      <c r="R277" s="3">
        <v>44964</v>
      </c>
      <c r="S277" s="3">
        <v>45275</v>
      </c>
      <c r="T277" s="35"/>
      <c r="U277" s="3"/>
      <c r="V277" s="3"/>
      <c r="W277" s="50"/>
      <c r="X277" s="9">
        <v>9105540</v>
      </c>
      <c r="Y277" s="9">
        <v>10016091</v>
      </c>
      <c r="Z277" s="34">
        <f t="shared" si="13"/>
        <v>0.47619055090018209</v>
      </c>
      <c r="AA277" s="1">
        <v>12545859</v>
      </c>
      <c r="AB277" s="1" t="s">
        <v>2632</v>
      </c>
      <c r="AC277" s="1"/>
      <c r="AD277" s="1"/>
      <c r="AE277" s="3"/>
      <c r="AF277" s="194" t="s">
        <v>3046</v>
      </c>
      <c r="AG277" s="15" t="s">
        <v>192</v>
      </c>
      <c r="AH277" s="15" t="s">
        <v>192</v>
      </c>
    </row>
    <row r="278" spans="1:34" s="4" customFormat="1" x14ac:dyDescent="0.25">
      <c r="A278" s="16">
        <v>891780248</v>
      </c>
      <c r="B278" s="16" t="s">
        <v>54</v>
      </c>
      <c r="C278" s="14" t="s">
        <v>2627</v>
      </c>
      <c r="D278" s="16" t="s">
        <v>60</v>
      </c>
      <c r="E278" s="1" t="s">
        <v>3047</v>
      </c>
      <c r="F278" s="16" t="s">
        <v>61</v>
      </c>
      <c r="G278" s="1" t="s">
        <v>69</v>
      </c>
      <c r="H278" s="1" t="s">
        <v>2629</v>
      </c>
      <c r="I278" s="9">
        <v>19048225</v>
      </c>
      <c r="J278" s="94"/>
      <c r="K278" s="2"/>
      <c r="L278" s="2"/>
      <c r="M278" s="40">
        <f t="shared" si="14"/>
        <v>19048225</v>
      </c>
      <c r="N278" s="1">
        <v>1128005002</v>
      </c>
      <c r="O278" s="1" t="s">
        <v>3048</v>
      </c>
      <c r="P278" s="1" t="s">
        <v>2857</v>
      </c>
      <c r="Q278" s="3">
        <v>44964</v>
      </c>
      <c r="R278" s="3">
        <v>44964</v>
      </c>
      <c r="S278" s="3">
        <v>45275</v>
      </c>
      <c r="T278" s="35"/>
      <c r="U278" s="3"/>
      <c r="V278" s="3"/>
      <c r="W278" s="50"/>
      <c r="X278" s="9">
        <v>9070585</v>
      </c>
      <c r="Y278" s="9">
        <v>9977640</v>
      </c>
      <c r="Z278" s="34">
        <f t="shared" si="13"/>
        <v>0.47619056368769269</v>
      </c>
      <c r="AA278" s="1">
        <v>12545859</v>
      </c>
      <c r="AB278" s="1" t="s">
        <v>2632</v>
      </c>
      <c r="AC278" s="1"/>
      <c r="AD278" s="1"/>
      <c r="AE278" s="3"/>
      <c r="AF278" s="194" t="s">
        <v>3049</v>
      </c>
      <c r="AG278" s="15" t="s">
        <v>192</v>
      </c>
      <c r="AH278" s="15" t="s">
        <v>192</v>
      </c>
    </row>
    <row r="279" spans="1:34" s="4" customFormat="1" x14ac:dyDescent="0.25">
      <c r="A279" s="16">
        <v>891780249</v>
      </c>
      <c r="B279" s="16" t="s">
        <v>54</v>
      </c>
      <c r="C279" s="14" t="s">
        <v>2627</v>
      </c>
      <c r="D279" s="16" t="s">
        <v>60</v>
      </c>
      <c r="E279" s="1" t="s">
        <v>3050</v>
      </c>
      <c r="F279" s="16" t="s">
        <v>61</v>
      </c>
      <c r="G279" s="1" t="s">
        <v>69</v>
      </c>
      <c r="H279" s="1" t="s">
        <v>2629</v>
      </c>
      <c r="I279" s="9">
        <v>19048225</v>
      </c>
      <c r="J279" s="94"/>
      <c r="K279" s="2"/>
      <c r="L279" s="2"/>
      <c r="M279" s="40">
        <f t="shared" si="14"/>
        <v>19048225</v>
      </c>
      <c r="N279" s="1">
        <v>1039652997</v>
      </c>
      <c r="O279" s="1" t="s">
        <v>3051</v>
      </c>
      <c r="P279" s="1" t="s">
        <v>2857</v>
      </c>
      <c r="Q279" s="3">
        <v>44964</v>
      </c>
      <c r="R279" s="3">
        <v>44964</v>
      </c>
      <c r="S279" s="3">
        <v>45275</v>
      </c>
      <c r="T279" s="35"/>
      <c r="U279" s="3"/>
      <c r="V279" s="3"/>
      <c r="W279" s="50"/>
      <c r="X279" s="9">
        <v>9070585</v>
      </c>
      <c r="Y279" s="9">
        <v>9977640</v>
      </c>
      <c r="Z279" s="34">
        <f t="shared" si="13"/>
        <v>0.47619056368769269</v>
      </c>
      <c r="AA279" s="1">
        <v>12545859</v>
      </c>
      <c r="AB279" s="1" t="s">
        <v>2632</v>
      </c>
      <c r="AC279" s="1"/>
      <c r="AD279" s="1"/>
      <c r="AE279" s="3"/>
      <c r="AF279" s="194" t="s">
        <v>3052</v>
      </c>
      <c r="AG279" s="15" t="s">
        <v>192</v>
      </c>
      <c r="AH279" s="15" t="s">
        <v>192</v>
      </c>
    </row>
    <row r="280" spans="1:34" s="4" customFormat="1" x14ac:dyDescent="0.25">
      <c r="A280" s="16">
        <v>891780250</v>
      </c>
      <c r="B280" s="16" t="s">
        <v>54</v>
      </c>
      <c r="C280" s="14" t="s">
        <v>2627</v>
      </c>
      <c r="D280" s="16" t="s">
        <v>60</v>
      </c>
      <c r="E280" s="1" t="s">
        <v>3053</v>
      </c>
      <c r="F280" s="16" t="s">
        <v>61</v>
      </c>
      <c r="G280" s="1" t="s">
        <v>69</v>
      </c>
      <c r="H280" s="1" t="s">
        <v>2629</v>
      </c>
      <c r="I280" s="9">
        <v>17143399</v>
      </c>
      <c r="J280" s="94"/>
      <c r="K280" s="2"/>
      <c r="L280" s="2"/>
      <c r="M280" s="40">
        <f t="shared" si="14"/>
        <v>17143399</v>
      </c>
      <c r="N280" s="1">
        <v>1010076349</v>
      </c>
      <c r="O280" s="1" t="s">
        <v>3054</v>
      </c>
      <c r="P280" s="1" t="s">
        <v>2834</v>
      </c>
      <c r="Q280" s="3">
        <v>44964</v>
      </c>
      <c r="R280" s="3">
        <v>44964</v>
      </c>
      <c r="S280" s="3">
        <v>45275</v>
      </c>
      <c r="T280" s="35"/>
      <c r="U280" s="3"/>
      <c r="V280" s="3"/>
      <c r="W280" s="50"/>
      <c r="X280" s="9">
        <v>8163525</v>
      </c>
      <c r="Y280" s="9">
        <v>8979874</v>
      </c>
      <c r="Z280" s="34">
        <f t="shared" si="13"/>
        <v>0.47619057340962545</v>
      </c>
      <c r="AA280" s="1">
        <v>12545859</v>
      </c>
      <c r="AB280" s="1" t="s">
        <v>2632</v>
      </c>
      <c r="AC280" s="1"/>
      <c r="AD280" s="1"/>
      <c r="AE280" s="3"/>
      <c r="AF280" s="194" t="s">
        <v>3055</v>
      </c>
      <c r="AG280" s="15" t="s">
        <v>192</v>
      </c>
      <c r="AH280" s="15" t="s">
        <v>192</v>
      </c>
    </row>
    <row r="281" spans="1:34" s="4" customFormat="1" x14ac:dyDescent="0.25">
      <c r="A281" s="16">
        <v>891780251</v>
      </c>
      <c r="B281" s="16" t="s">
        <v>54</v>
      </c>
      <c r="C281" s="14" t="s">
        <v>2627</v>
      </c>
      <c r="D281" s="16" t="s">
        <v>60</v>
      </c>
      <c r="E281" s="1" t="s">
        <v>3056</v>
      </c>
      <c r="F281" s="16" t="s">
        <v>61</v>
      </c>
      <c r="G281" s="1" t="s">
        <v>69</v>
      </c>
      <c r="H281" s="1" t="s">
        <v>2629</v>
      </c>
      <c r="I281" s="9">
        <v>19048225</v>
      </c>
      <c r="J281" s="94"/>
      <c r="K281" s="2"/>
      <c r="L281" s="2"/>
      <c r="M281" s="40">
        <f t="shared" si="14"/>
        <v>19048225</v>
      </c>
      <c r="N281" s="1">
        <v>1045508880</v>
      </c>
      <c r="O281" s="1" t="s">
        <v>3057</v>
      </c>
      <c r="P281" s="1" t="s">
        <v>2857</v>
      </c>
      <c r="Q281" s="3">
        <v>44964</v>
      </c>
      <c r="R281" s="3">
        <v>44964</v>
      </c>
      <c r="S281" s="3">
        <v>45275</v>
      </c>
      <c r="T281" s="35"/>
      <c r="U281" s="3"/>
      <c r="V281" s="3"/>
      <c r="W281" s="50"/>
      <c r="X281" s="9">
        <v>5442351</v>
      </c>
      <c r="Y281" s="9">
        <v>13605874</v>
      </c>
      <c r="Z281" s="34">
        <f t="shared" si="13"/>
        <v>0.2857143382126156</v>
      </c>
      <c r="AA281" s="1">
        <v>12545859</v>
      </c>
      <c r="AB281" s="1" t="s">
        <v>2632</v>
      </c>
      <c r="AC281" s="1"/>
      <c r="AD281" s="1"/>
      <c r="AE281" s="3"/>
      <c r="AF281" s="194" t="s">
        <v>3058</v>
      </c>
      <c r="AG281" s="15" t="s">
        <v>192</v>
      </c>
      <c r="AH281" s="15" t="s">
        <v>192</v>
      </c>
    </row>
    <row r="282" spans="1:34" s="4" customFormat="1" x14ac:dyDescent="0.25">
      <c r="A282" s="16">
        <v>891780252</v>
      </c>
      <c r="B282" s="16" t="s">
        <v>54</v>
      </c>
      <c r="C282" s="14" t="s">
        <v>2627</v>
      </c>
      <c r="D282" s="16" t="s">
        <v>60</v>
      </c>
      <c r="E282" s="1" t="s">
        <v>3059</v>
      </c>
      <c r="F282" s="16" t="s">
        <v>61</v>
      </c>
      <c r="G282" s="1" t="s">
        <v>69</v>
      </c>
      <c r="H282" s="1" t="s">
        <v>2629</v>
      </c>
      <c r="I282" s="9">
        <v>19425415</v>
      </c>
      <c r="J282" s="94"/>
      <c r="K282" s="2"/>
      <c r="L282" s="2"/>
      <c r="M282" s="40">
        <f t="shared" si="14"/>
        <v>19425415</v>
      </c>
      <c r="N282" s="1">
        <v>1193594864</v>
      </c>
      <c r="O282" s="1" t="s">
        <v>3060</v>
      </c>
      <c r="P282" s="1" t="s">
        <v>2857</v>
      </c>
      <c r="Q282" s="3">
        <v>44964</v>
      </c>
      <c r="R282" s="3">
        <v>44964</v>
      </c>
      <c r="S282" s="3">
        <v>45275</v>
      </c>
      <c r="T282" s="35"/>
      <c r="U282" s="3"/>
      <c r="V282" s="3"/>
      <c r="W282" s="50"/>
      <c r="X282" s="9">
        <v>9250200</v>
      </c>
      <c r="Y282" s="9">
        <v>10175215</v>
      </c>
      <c r="Z282" s="34">
        <f t="shared" si="13"/>
        <v>0.47619059875940872</v>
      </c>
      <c r="AA282" s="1">
        <v>12545859</v>
      </c>
      <c r="AB282" s="1" t="s">
        <v>2632</v>
      </c>
      <c r="AC282" s="1"/>
      <c r="AD282" s="1"/>
      <c r="AE282" s="3"/>
      <c r="AF282" s="194" t="s">
        <v>3061</v>
      </c>
      <c r="AG282" s="15" t="s">
        <v>192</v>
      </c>
      <c r="AH282" s="15" t="s">
        <v>192</v>
      </c>
    </row>
    <row r="283" spans="1:34" s="4" customFormat="1" x14ac:dyDescent="0.25">
      <c r="A283" s="16">
        <v>891780253</v>
      </c>
      <c r="B283" s="16" t="s">
        <v>54</v>
      </c>
      <c r="C283" s="14" t="s">
        <v>2627</v>
      </c>
      <c r="D283" s="16" t="s">
        <v>60</v>
      </c>
      <c r="E283" s="1" t="s">
        <v>3062</v>
      </c>
      <c r="F283" s="16" t="s">
        <v>61</v>
      </c>
      <c r="G283" s="1" t="s">
        <v>69</v>
      </c>
      <c r="H283" s="1" t="s">
        <v>2629</v>
      </c>
      <c r="I283" s="9">
        <v>24454873</v>
      </c>
      <c r="J283" s="94"/>
      <c r="K283" s="2"/>
      <c r="L283" s="2"/>
      <c r="M283" s="40">
        <f t="shared" si="14"/>
        <v>24454873</v>
      </c>
      <c r="N283" s="1">
        <v>1003928077</v>
      </c>
      <c r="O283" s="1" t="s">
        <v>3063</v>
      </c>
      <c r="P283" s="1" t="s">
        <v>2834</v>
      </c>
      <c r="Q283" s="3">
        <v>44964</v>
      </c>
      <c r="R283" s="3">
        <v>44964</v>
      </c>
      <c r="S283" s="3">
        <v>45275</v>
      </c>
      <c r="T283" s="35"/>
      <c r="U283" s="3"/>
      <c r="V283" s="3"/>
      <c r="W283" s="50"/>
      <c r="X283" s="9">
        <v>11645180</v>
      </c>
      <c r="Y283" s="9">
        <v>12809693</v>
      </c>
      <c r="Z283" s="34">
        <f t="shared" si="13"/>
        <v>0.47619057355153716</v>
      </c>
      <c r="AA283" s="1">
        <v>12545859</v>
      </c>
      <c r="AB283" s="1" t="s">
        <v>2632</v>
      </c>
      <c r="AC283" s="1"/>
      <c r="AD283" s="1"/>
      <c r="AE283" s="3"/>
      <c r="AF283" s="194" t="s">
        <v>3064</v>
      </c>
      <c r="AG283" s="15" t="s">
        <v>192</v>
      </c>
      <c r="AH283" s="15" t="s">
        <v>192</v>
      </c>
    </row>
    <row r="284" spans="1:34" s="4" customFormat="1" x14ac:dyDescent="0.25">
      <c r="A284" s="16">
        <v>891780254</v>
      </c>
      <c r="B284" s="16" t="s">
        <v>54</v>
      </c>
      <c r="C284" s="14" t="s">
        <v>2627</v>
      </c>
      <c r="D284" s="16" t="s">
        <v>60</v>
      </c>
      <c r="E284" s="1" t="s">
        <v>3065</v>
      </c>
      <c r="F284" s="16" t="s">
        <v>61</v>
      </c>
      <c r="G284" s="1" t="s">
        <v>69</v>
      </c>
      <c r="H284" s="1" t="s">
        <v>2629</v>
      </c>
      <c r="I284" s="9">
        <v>17143399</v>
      </c>
      <c r="J284" s="94"/>
      <c r="K284" s="2"/>
      <c r="L284" s="2"/>
      <c r="M284" s="40">
        <f t="shared" si="14"/>
        <v>17143399</v>
      </c>
      <c r="N284" s="1">
        <v>1193549595</v>
      </c>
      <c r="O284" s="1" t="s">
        <v>3066</v>
      </c>
      <c r="P284" s="1" t="s">
        <v>2834</v>
      </c>
      <c r="Q284" s="3">
        <v>44964</v>
      </c>
      <c r="R284" s="3">
        <v>44964</v>
      </c>
      <c r="S284" s="3">
        <v>45275</v>
      </c>
      <c r="T284" s="35"/>
      <c r="U284" s="3"/>
      <c r="V284" s="3"/>
      <c r="W284" s="50"/>
      <c r="X284" s="9">
        <v>8163525</v>
      </c>
      <c r="Y284" s="9">
        <v>8979874</v>
      </c>
      <c r="Z284" s="34">
        <f t="shared" si="13"/>
        <v>0.47619057340962545</v>
      </c>
      <c r="AA284" s="1">
        <v>12545859</v>
      </c>
      <c r="AB284" s="1" t="s">
        <v>2632</v>
      </c>
      <c r="AC284" s="1"/>
      <c r="AD284" s="1"/>
      <c r="AE284" s="3"/>
      <c r="AF284" s="194" t="s">
        <v>3067</v>
      </c>
      <c r="AG284" s="15" t="s">
        <v>192</v>
      </c>
      <c r="AH284" s="15" t="s">
        <v>192</v>
      </c>
    </row>
    <row r="285" spans="1:34" s="4" customFormat="1" x14ac:dyDescent="0.25">
      <c r="A285" s="16">
        <v>891780255</v>
      </c>
      <c r="B285" s="16" t="s">
        <v>54</v>
      </c>
      <c r="C285" s="14" t="s">
        <v>2627</v>
      </c>
      <c r="D285" s="16" t="s">
        <v>60</v>
      </c>
      <c r="E285" s="1" t="s">
        <v>3068</v>
      </c>
      <c r="F285" s="16" t="s">
        <v>61</v>
      </c>
      <c r="G285" s="1" t="s">
        <v>69</v>
      </c>
      <c r="H285" s="1" t="s">
        <v>2629</v>
      </c>
      <c r="I285" s="9">
        <v>19425415</v>
      </c>
      <c r="J285" s="94"/>
      <c r="K285" s="2"/>
      <c r="L285" s="2"/>
      <c r="M285" s="40">
        <f t="shared" si="14"/>
        <v>19425415</v>
      </c>
      <c r="N285" s="1">
        <v>1001846710</v>
      </c>
      <c r="O285" s="1" t="s">
        <v>3069</v>
      </c>
      <c r="P285" s="1" t="s">
        <v>3070</v>
      </c>
      <c r="Q285" s="3">
        <v>44964</v>
      </c>
      <c r="R285" s="3">
        <v>44964</v>
      </c>
      <c r="S285" s="3">
        <v>45275</v>
      </c>
      <c r="T285" s="35"/>
      <c r="U285" s="3"/>
      <c r="V285" s="3"/>
      <c r="W285" s="50"/>
      <c r="X285" s="9">
        <v>9250200</v>
      </c>
      <c r="Y285" s="9">
        <v>10175215</v>
      </c>
      <c r="Z285" s="34">
        <f t="shared" si="13"/>
        <v>0.47619059875940872</v>
      </c>
      <c r="AA285" s="1">
        <v>12545859</v>
      </c>
      <c r="AB285" s="1" t="s">
        <v>2632</v>
      </c>
      <c r="AC285" s="1"/>
      <c r="AD285" s="1"/>
      <c r="AE285" s="3"/>
      <c r="AF285" s="194" t="s">
        <v>3071</v>
      </c>
      <c r="AG285" s="15" t="s">
        <v>192</v>
      </c>
      <c r="AH285" s="15" t="s">
        <v>192</v>
      </c>
    </row>
    <row r="286" spans="1:34" s="4" customFormat="1" x14ac:dyDescent="0.25">
      <c r="A286" s="16">
        <v>891780256</v>
      </c>
      <c r="B286" s="16" t="s">
        <v>54</v>
      </c>
      <c r="C286" s="14" t="s">
        <v>2627</v>
      </c>
      <c r="D286" s="16" t="s">
        <v>60</v>
      </c>
      <c r="E286" s="1" t="s">
        <v>3072</v>
      </c>
      <c r="F286" s="16" t="s">
        <v>61</v>
      </c>
      <c r="G286" s="1" t="s">
        <v>69</v>
      </c>
      <c r="H286" s="1" t="s">
        <v>2629</v>
      </c>
      <c r="I286" s="9">
        <v>17143399</v>
      </c>
      <c r="J286" s="94"/>
      <c r="K286" s="2"/>
      <c r="L286" s="2"/>
      <c r="M286" s="40">
        <f t="shared" si="14"/>
        <v>17143399</v>
      </c>
      <c r="N286" s="1">
        <v>1077460387</v>
      </c>
      <c r="O286" s="1" t="s">
        <v>3073</v>
      </c>
      <c r="P286" s="1" t="s">
        <v>2834</v>
      </c>
      <c r="Q286" s="3">
        <v>44964</v>
      </c>
      <c r="R286" s="3">
        <v>44964</v>
      </c>
      <c r="S286" s="3">
        <v>45275</v>
      </c>
      <c r="T286" s="35"/>
      <c r="U286" s="3"/>
      <c r="V286" s="3"/>
      <c r="W286" s="50"/>
      <c r="X286" s="9">
        <v>6530820</v>
      </c>
      <c r="Y286" s="9">
        <v>10612579</v>
      </c>
      <c r="Z286" s="34">
        <f t="shared" si="13"/>
        <v>0.38095245872770039</v>
      </c>
      <c r="AA286" s="1">
        <v>12545859</v>
      </c>
      <c r="AB286" s="1" t="s">
        <v>2632</v>
      </c>
      <c r="AC286" s="1"/>
      <c r="AD286" s="1"/>
      <c r="AE286" s="3"/>
      <c r="AF286" s="194" t="s">
        <v>3074</v>
      </c>
      <c r="AG286" s="15" t="s">
        <v>192</v>
      </c>
      <c r="AH286" s="15" t="s">
        <v>192</v>
      </c>
    </row>
    <row r="287" spans="1:34" s="4" customFormat="1" x14ac:dyDescent="0.25">
      <c r="A287" s="16">
        <v>891780257</v>
      </c>
      <c r="B287" s="16" t="s">
        <v>54</v>
      </c>
      <c r="C287" s="14" t="s">
        <v>2627</v>
      </c>
      <c r="D287" s="16" t="s">
        <v>60</v>
      </c>
      <c r="E287" s="1" t="s">
        <v>3075</v>
      </c>
      <c r="F287" s="16" t="s">
        <v>61</v>
      </c>
      <c r="G287" s="1" t="s">
        <v>69</v>
      </c>
      <c r="H287" s="1" t="s">
        <v>2629</v>
      </c>
      <c r="I287" s="9">
        <v>26218873</v>
      </c>
      <c r="J287" s="94"/>
      <c r="K287" s="2"/>
      <c r="L287" s="2"/>
      <c r="M287" s="40">
        <f t="shared" si="14"/>
        <v>26218873</v>
      </c>
      <c r="N287" s="1">
        <v>11807924</v>
      </c>
      <c r="O287" s="1" t="s">
        <v>3076</v>
      </c>
      <c r="P287" s="1" t="s">
        <v>2834</v>
      </c>
      <c r="Q287" s="3">
        <v>44964</v>
      </c>
      <c r="R287" s="3">
        <v>44964</v>
      </c>
      <c r="S287" s="3">
        <v>45275</v>
      </c>
      <c r="T287" s="35"/>
      <c r="U287" s="3"/>
      <c r="V287" s="3"/>
      <c r="W287" s="50"/>
      <c r="X287" s="9">
        <v>12485180</v>
      </c>
      <c r="Y287" s="9">
        <v>13733693</v>
      </c>
      <c r="Z287" s="34">
        <f t="shared" si="13"/>
        <v>0.4761905670011064</v>
      </c>
      <c r="AA287" s="1">
        <v>12545859</v>
      </c>
      <c r="AB287" s="1" t="s">
        <v>2632</v>
      </c>
      <c r="AC287" s="1"/>
      <c r="AD287" s="1"/>
      <c r="AE287" s="3"/>
      <c r="AF287" s="194" t="s">
        <v>3077</v>
      </c>
      <c r="AG287" s="15" t="s">
        <v>192</v>
      </c>
      <c r="AH287" s="15" t="s">
        <v>192</v>
      </c>
    </row>
    <row r="288" spans="1:34" s="4" customFormat="1" x14ac:dyDescent="0.25">
      <c r="A288" s="16">
        <v>891780258</v>
      </c>
      <c r="B288" s="16" t="s">
        <v>54</v>
      </c>
      <c r="C288" s="14" t="s">
        <v>2627</v>
      </c>
      <c r="D288" s="16" t="s">
        <v>60</v>
      </c>
      <c r="E288" s="1" t="s">
        <v>3078</v>
      </c>
      <c r="F288" s="16" t="s">
        <v>61</v>
      </c>
      <c r="G288" s="1" t="s">
        <v>69</v>
      </c>
      <c r="H288" s="1" t="s">
        <v>2629</v>
      </c>
      <c r="I288" s="9">
        <v>19425415</v>
      </c>
      <c r="J288" s="94"/>
      <c r="K288" s="2"/>
      <c r="L288" s="2"/>
      <c r="M288" s="40">
        <f t="shared" si="14"/>
        <v>19425415</v>
      </c>
      <c r="N288" s="1">
        <v>1070810826</v>
      </c>
      <c r="O288" s="1" t="s">
        <v>3079</v>
      </c>
      <c r="P288" s="1" t="s">
        <v>2651</v>
      </c>
      <c r="Q288" s="3">
        <v>44964</v>
      </c>
      <c r="R288" s="3">
        <v>44964</v>
      </c>
      <c r="S288" s="3">
        <v>45275</v>
      </c>
      <c r="T288" s="35"/>
      <c r="U288" s="3"/>
      <c r="V288" s="3"/>
      <c r="W288" s="50"/>
      <c r="X288" s="9">
        <v>9065196</v>
      </c>
      <c r="Y288" s="9">
        <v>10360219</v>
      </c>
      <c r="Z288" s="34">
        <f t="shared" si="13"/>
        <v>0.46666678678422058</v>
      </c>
      <c r="AA288" s="1">
        <v>12545859</v>
      </c>
      <c r="AB288" s="1" t="s">
        <v>2632</v>
      </c>
      <c r="AC288" s="1"/>
      <c r="AD288" s="1"/>
      <c r="AE288" s="3"/>
      <c r="AF288" s="194" t="s">
        <v>3080</v>
      </c>
      <c r="AG288" s="15" t="s">
        <v>192</v>
      </c>
      <c r="AH288" s="15" t="s">
        <v>192</v>
      </c>
    </row>
    <row r="289" spans="1:34" s="4" customFormat="1" x14ac:dyDescent="0.25">
      <c r="A289" s="16">
        <v>891780259</v>
      </c>
      <c r="B289" s="16" t="s">
        <v>54</v>
      </c>
      <c r="C289" s="14" t="s">
        <v>2627</v>
      </c>
      <c r="D289" s="16" t="s">
        <v>60</v>
      </c>
      <c r="E289" s="1" t="s">
        <v>3081</v>
      </c>
      <c r="F289" s="16" t="s">
        <v>61</v>
      </c>
      <c r="G289" s="1" t="s">
        <v>69</v>
      </c>
      <c r="H289" s="1" t="s">
        <v>2629</v>
      </c>
      <c r="I289" s="9">
        <v>19425415</v>
      </c>
      <c r="J289" s="94"/>
      <c r="K289" s="2"/>
      <c r="L289" s="2"/>
      <c r="M289" s="40">
        <f t="shared" si="14"/>
        <v>19425415</v>
      </c>
      <c r="N289" s="1">
        <v>1003656285</v>
      </c>
      <c r="O289" s="1" t="s">
        <v>3082</v>
      </c>
      <c r="P289" s="1" t="s">
        <v>2651</v>
      </c>
      <c r="Q289" s="3">
        <v>44964</v>
      </c>
      <c r="R289" s="3">
        <v>44964</v>
      </c>
      <c r="S289" s="3">
        <v>45275</v>
      </c>
      <c r="T289" s="35"/>
      <c r="U289" s="3"/>
      <c r="V289" s="3"/>
      <c r="W289" s="50"/>
      <c r="X289" s="9">
        <v>0</v>
      </c>
      <c r="Y289" s="9">
        <v>19425415</v>
      </c>
      <c r="Z289" s="34">
        <f t="shared" si="13"/>
        <v>0</v>
      </c>
      <c r="AA289" s="1">
        <v>12545859</v>
      </c>
      <c r="AB289" s="1" t="s">
        <v>2632</v>
      </c>
      <c r="AC289" s="1"/>
      <c r="AD289" s="1"/>
      <c r="AE289" s="3"/>
      <c r="AF289" s="194" t="s">
        <v>3083</v>
      </c>
      <c r="AG289" s="15" t="s">
        <v>192</v>
      </c>
      <c r="AH289" s="15" t="s">
        <v>192</v>
      </c>
    </row>
    <row r="290" spans="1:34" s="4" customFormat="1" x14ac:dyDescent="0.25">
      <c r="A290" s="16">
        <v>891780260</v>
      </c>
      <c r="B290" s="16" t="s">
        <v>54</v>
      </c>
      <c r="C290" s="14" t="s">
        <v>2627</v>
      </c>
      <c r="D290" s="16" t="s">
        <v>60</v>
      </c>
      <c r="E290" s="1" t="s">
        <v>3084</v>
      </c>
      <c r="F290" s="16" t="s">
        <v>61</v>
      </c>
      <c r="G290" s="1" t="s">
        <v>69</v>
      </c>
      <c r="H290" s="1" t="s">
        <v>2629</v>
      </c>
      <c r="I290" s="9">
        <v>21029244</v>
      </c>
      <c r="J290" s="94"/>
      <c r="K290" s="2"/>
      <c r="L290" s="2"/>
      <c r="M290" s="40">
        <f t="shared" si="14"/>
        <v>21029244</v>
      </c>
      <c r="N290" s="1">
        <v>1104871007</v>
      </c>
      <c r="O290" s="1" t="s">
        <v>3085</v>
      </c>
      <c r="P290" s="1" t="s">
        <v>2651</v>
      </c>
      <c r="Q290" s="3">
        <v>44964</v>
      </c>
      <c r="R290" s="3">
        <v>44964</v>
      </c>
      <c r="S290" s="3">
        <v>45275</v>
      </c>
      <c r="T290" s="35"/>
      <c r="U290" s="3"/>
      <c r="V290" s="3"/>
      <c r="W290" s="50"/>
      <c r="X290" s="9">
        <v>10013925</v>
      </c>
      <c r="Y290" s="9">
        <v>11015319</v>
      </c>
      <c r="Z290" s="34">
        <f t="shared" si="13"/>
        <v>0.47619044222417123</v>
      </c>
      <c r="AA290" s="1">
        <v>12545859</v>
      </c>
      <c r="AB290" s="1" t="s">
        <v>2632</v>
      </c>
      <c r="AC290" s="1"/>
      <c r="AD290" s="1"/>
      <c r="AE290" s="3"/>
      <c r="AF290" s="194" t="s">
        <v>3086</v>
      </c>
      <c r="AG290" s="15" t="s">
        <v>192</v>
      </c>
      <c r="AH290" s="15" t="s">
        <v>192</v>
      </c>
    </row>
    <row r="291" spans="1:34" s="4" customFormat="1" x14ac:dyDescent="0.25">
      <c r="A291" s="16">
        <v>891780261</v>
      </c>
      <c r="B291" s="16" t="s">
        <v>54</v>
      </c>
      <c r="C291" s="14" t="s">
        <v>2627</v>
      </c>
      <c r="D291" s="16" t="s">
        <v>60</v>
      </c>
      <c r="E291" s="1" t="s">
        <v>3087</v>
      </c>
      <c r="F291" s="16" t="s">
        <v>61</v>
      </c>
      <c r="G291" s="1" t="s">
        <v>69</v>
      </c>
      <c r="H291" s="1" t="s">
        <v>2629</v>
      </c>
      <c r="I291" s="9">
        <v>19425415</v>
      </c>
      <c r="J291" s="94"/>
      <c r="K291" s="2"/>
      <c r="L291" s="2"/>
      <c r="M291" s="40">
        <f t="shared" si="14"/>
        <v>19425415</v>
      </c>
      <c r="N291" s="1">
        <v>1104871190</v>
      </c>
      <c r="O291" s="1" t="s">
        <v>3088</v>
      </c>
      <c r="P291" s="1" t="s">
        <v>2651</v>
      </c>
      <c r="Q291" s="3">
        <v>44964</v>
      </c>
      <c r="R291" s="3">
        <v>44964</v>
      </c>
      <c r="S291" s="3">
        <v>45275</v>
      </c>
      <c r="T291" s="35"/>
      <c r="U291" s="3"/>
      <c r="V291" s="3"/>
      <c r="W291" s="50"/>
      <c r="X291" s="9">
        <v>9011485</v>
      </c>
      <c r="Y291" s="9">
        <v>10413930</v>
      </c>
      <c r="Z291" s="34">
        <f t="shared" si="13"/>
        <v>0.46390180081094795</v>
      </c>
      <c r="AA291" s="1">
        <v>12545859</v>
      </c>
      <c r="AB291" s="1" t="s">
        <v>2632</v>
      </c>
      <c r="AC291" s="1"/>
      <c r="AD291" s="1"/>
      <c r="AE291" s="3"/>
      <c r="AF291" s="194" t="s">
        <v>3089</v>
      </c>
      <c r="AG291" s="15" t="s">
        <v>192</v>
      </c>
      <c r="AH291" s="15" t="s">
        <v>192</v>
      </c>
    </row>
    <row r="292" spans="1:34" s="4" customFormat="1" x14ac:dyDescent="0.25">
      <c r="A292" s="16">
        <v>891780262</v>
      </c>
      <c r="B292" s="16" t="s">
        <v>54</v>
      </c>
      <c r="C292" s="14" t="s">
        <v>2627</v>
      </c>
      <c r="D292" s="16" t="s">
        <v>60</v>
      </c>
      <c r="E292" s="1" t="s">
        <v>3090</v>
      </c>
      <c r="F292" s="16" t="s">
        <v>61</v>
      </c>
      <c r="G292" s="1" t="s">
        <v>69</v>
      </c>
      <c r="H292" s="1" t="s">
        <v>2629</v>
      </c>
      <c r="I292" s="9">
        <v>20821033</v>
      </c>
      <c r="J292" s="94"/>
      <c r="K292" s="2"/>
      <c r="L292" s="2"/>
      <c r="M292" s="40">
        <f t="shared" si="14"/>
        <v>20821033</v>
      </c>
      <c r="N292" s="1">
        <v>1063150198</v>
      </c>
      <c r="O292" s="1" t="s">
        <v>3091</v>
      </c>
      <c r="P292" s="1" t="s">
        <v>2651</v>
      </c>
      <c r="Q292" s="3">
        <v>44964</v>
      </c>
      <c r="R292" s="3">
        <v>44964</v>
      </c>
      <c r="S292" s="3">
        <v>45275</v>
      </c>
      <c r="T292" s="35"/>
      <c r="U292" s="3"/>
      <c r="V292" s="3"/>
      <c r="W292" s="50"/>
      <c r="X292" s="9">
        <v>9914780</v>
      </c>
      <c r="Y292" s="9">
        <v>10906253</v>
      </c>
      <c r="Z292" s="34">
        <f t="shared" si="13"/>
        <v>0.47619059054370644</v>
      </c>
      <c r="AA292" s="1">
        <v>12545859</v>
      </c>
      <c r="AB292" s="1" t="s">
        <v>2632</v>
      </c>
      <c r="AC292" s="1"/>
      <c r="AD292" s="1"/>
      <c r="AE292" s="3"/>
      <c r="AF292" s="194" t="s">
        <v>3092</v>
      </c>
      <c r="AG292" s="15" t="s">
        <v>192</v>
      </c>
      <c r="AH292" s="15" t="s">
        <v>192</v>
      </c>
    </row>
    <row r="293" spans="1:34" s="4" customFormat="1" x14ac:dyDescent="0.25">
      <c r="A293" s="16">
        <v>891780263</v>
      </c>
      <c r="B293" s="16" t="s">
        <v>54</v>
      </c>
      <c r="C293" s="14" t="s">
        <v>2627</v>
      </c>
      <c r="D293" s="16" t="s">
        <v>60</v>
      </c>
      <c r="E293" s="1" t="s">
        <v>3093</v>
      </c>
      <c r="F293" s="16" t="s">
        <v>61</v>
      </c>
      <c r="G293" s="1" t="s">
        <v>69</v>
      </c>
      <c r="H293" s="1" t="s">
        <v>2629</v>
      </c>
      <c r="I293" s="9">
        <v>20821033</v>
      </c>
      <c r="J293" s="94"/>
      <c r="K293" s="2"/>
      <c r="L293" s="2"/>
      <c r="M293" s="40">
        <f t="shared" si="14"/>
        <v>20821033</v>
      </c>
      <c r="N293" s="1">
        <v>50970558</v>
      </c>
      <c r="O293" s="1" t="s">
        <v>3094</v>
      </c>
      <c r="P293" s="1" t="s">
        <v>2651</v>
      </c>
      <c r="Q293" s="3">
        <v>44964</v>
      </c>
      <c r="R293" s="3">
        <v>44964</v>
      </c>
      <c r="S293" s="3">
        <v>45275</v>
      </c>
      <c r="T293" s="35"/>
      <c r="U293" s="3"/>
      <c r="V293" s="3"/>
      <c r="W293" s="50"/>
      <c r="X293" s="9">
        <v>9914780</v>
      </c>
      <c r="Y293" s="9">
        <v>10906253</v>
      </c>
      <c r="Z293" s="34">
        <f t="shared" si="13"/>
        <v>0.47619059054370644</v>
      </c>
      <c r="AA293" s="1">
        <v>12545859</v>
      </c>
      <c r="AB293" s="1" t="s">
        <v>2632</v>
      </c>
      <c r="AC293" s="1"/>
      <c r="AD293" s="1"/>
      <c r="AE293" s="3"/>
      <c r="AF293" s="194" t="s">
        <v>3095</v>
      </c>
      <c r="AG293" s="15" t="s">
        <v>192</v>
      </c>
      <c r="AH293" s="15" t="s">
        <v>192</v>
      </c>
    </row>
    <row r="294" spans="1:34" s="4" customFormat="1" x14ac:dyDescent="0.25">
      <c r="A294" s="16">
        <v>891780264</v>
      </c>
      <c r="B294" s="16" t="s">
        <v>54</v>
      </c>
      <c r="C294" s="14" t="s">
        <v>2627</v>
      </c>
      <c r="D294" s="16" t="s">
        <v>60</v>
      </c>
      <c r="E294" s="1" t="s">
        <v>3096</v>
      </c>
      <c r="F294" s="16" t="s">
        <v>61</v>
      </c>
      <c r="G294" s="1" t="s">
        <v>69</v>
      </c>
      <c r="H294" s="1" t="s">
        <v>2629</v>
      </c>
      <c r="I294" s="9">
        <v>21029244</v>
      </c>
      <c r="J294" s="94"/>
      <c r="K294" s="2"/>
      <c r="L294" s="2"/>
      <c r="M294" s="40">
        <f t="shared" si="14"/>
        <v>21029244</v>
      </c>
      <c r="N294" s="1">
        <v>1063164409</v>
      </c>
      <c r="O294" s="1" t="s">
        <v>3097</v>
      </c>
      <c r="P294" s="1" t="s">
        <v>2651</v>
      </c>
      <c r="Q294" s="3">
        <v>44964</v>
      </c>
      <c r="R294" s="3">
        <v>44964</v>
      </c>
      <c r="S294" s="3">
        <v>45275</v>
      </c>
      <c r="T294" s="35"/>
      <c r="U294" s="3"/>
      <c r="V294" s="3"/>
      <c r="W294" s="50"/>
      <c r="X294" s="9">
        <v>10013925</v>
      </c>
      <c r="Y294" s="9">
        <v>11015319</v>
      </c>
      <c r="Z294" s="34">
        <f t="shared" si="13"/>
        <v>0.47619044222417123</v>
      </c>
      <c r="AA294" s="1">
        <v>12545859</v>
      </c>
      <c r="AB294" s="1" t="s">
        <v>2632</v>
      </c>
      <c r="AC294" s="1"/>
      <c r="AD294" s="1"/>
      <c r="AE294" s="3"/>
      <c r="AF294" s="194" t="s">
        <v>3098</v>
      </c>
      <c r="AG294" s="15" t="s">
        <v>192</v>
      </c>
      <c r="AH294" s="15" t="s">
        <v>192</v>
      </c>
    </row>
    <row r="295" spans="1:34" s="4" customFormat="1" x14ac:dyDescent="0.25">
      <c r="A295" s="16">
        <v>891780265</v>
      </c>
      <c r="B295" s="16" t="s">
        <v>54</v>
      </c>
      <c r="C295" s="14" t="s">
        <v>2627</v>
      </c>
      <c r="D295" s="16" t="s">
        <v>60</v>
      </c>
      <c r="E295" s="1" t="s">
        <v>3099</v>
      </c>
      <c r="F295" s="16" t="s">
        <v>61</v>
      </c>
      <c r="G295" s="1" t="s">
        <v>69</v>
      </c>
      <c r="H295" s="1" t="s">
        <v>2629</v>
      </c>
      <c r="I295" s="9">
        <v>21029244</v>
      </c>
      <c r="J295" s="94"/>
      <c r="K295" s="2"/>
      <c r="L295" s="2"/>
      <c r="M295" s="40">
        <f t="shared" si="14"/>
        <v>21029244</v>
      </c>
      <c r="N295" s="1">
        <v>1101455706</v>
      </c>
      <c r="O295" s="1" t="s">
        <v>3100</v>
      </c>
      <c r="P295" s="1" t="s">
        <v>2651</v>
      </c>
      <c r="Q295" s="3">
        <v>44967</v>
      </c>
      <c r="R295" s="3">
        <v>44967</v>
      </c>
      <c r="S295" s="3">
        <v>45275</v>
      </c>
      <c r="T295" s="35"/>
      <c r="U295" s="3"/>
      <c r="V295" s="3"/>
      <c r="W295" s="50"/>
      <c r="X295" s="9">
        <v>10013925</v>
      </c>
      <c r="Y295" s="9">
        <v>11015319</v>
      </c>
      <c r="Z295" s="34">
        <f t="shared" si="13"/>
        <v>0.47619044222417123</v>
      </c>
      <c r="AA295" s="1">
        <v>12545859</v>
      </c>
      <c r="AB295" s="1" t="s">
        <v>2632</v>
      </c>
      <c r="AC295" s="1"/>
      <c r="AD295" s="1"/>
      <c r="AE295" s="3"/>
      <c r="AF295" s="194" t="s">
        <v>3101</v>
      </c>
      <c r="AG295" s="15" t="s">
        <v>192</v>
      </c>
      <c r="AH295" s="15" t="s">
        <v>192</v>
      </c>
    </row>
    <row r="296" spans="1:34" s="4" customFormat="1" x14ac:dyDescent="0.25">
      <c r="A296" s="16">
        <v>891780266</v>
      </c>
      <c r="B296" s="16" t="s">
        <v>54</v>
      </c>
      <c r="C296" s="14" t="s">
        <v>2627</v>
      </c>
      <c r="D296" s="16" t="s">
        <v>60</v>
      </c>
      <c r="E296" s="1" t="s">
        <v>3102</v>
      </c>
      <c r="F296" s="16" t="s">
        <v>61</v>
      </c>
      <c r="G296" s="1" t="s">
        <v>69</v>
      </c>
      <c r="H296" s="1" t="s">
        <v>2629</v>
      </c>
      <c r="I296" s="9">
        <v>19048225</v>
      </c>
      <c r="J296" s="94"/>
      <c r="K296" s="2"/>
      <c r="L296" s="2"/>
      <c r="M296" s="40">
        <f t="shared" si="14"/>
        <v>19048225</v>
      </c>
      <c r="N296" s="1">
        <v>78077574</v>
      </c>
      <c r="O296" s="1" t="s">
        <v>3103</v>
      </c>
      <c r="P296" s="1" t="s">
        <v>2636</v>
      </c>
      <c r="Q296" s="3">
        <v>44967</v>
      </c>
      <c r="R296" s="3">
        <v>44967</v>
      </c>
      <c r="S296" s="3">
        <v>45275</v>
      </c>
      <c r="T296" s="35"/>
      <c r="U296" s="3"/>
      <c r="V296" s="3"/>
      <c r="W296" s="50"/>
      <c r="X296" s="9">
        <v>8405409</v>
      </c>
      <c r="Y296" s="9">
        <v>10642816</v>
      </c>
      <c r="Z296" s="34">
        <f t="shared" si="13"/>
        <v>0.44126993460020553</v>
      </c>
      <c r="AA296" s="1">
        <v>12545859</v>
      </c>
      <c r="AB296" s="1" t="s">
        <v>2632</v>
      </c>
      <c r="AC296" s="1"/>
      <c r="AD296" s="1"/>
      <c r="AE296" s="3"/>
      <c r="AF296" s="194" t="s">
        <v>3104</v>
      </c>
      <c r="AG296" s="15" t="s">
        <v>192</v>
      </c>
      <c r="AH296" s="15" t="s">
        <v>192</v>
      </c>
    </row>
    <row r="297" spans="1:34" s="4" customFormat="1" x14ac:dyDescent="0.25">
      <c r="A297" s="16">
        <v>891780267</v>
      </c>
      <c r="B297" s="16" t="s">
        <v>54</v>
      </c>
      <c r="C297" s="14" t="s">
        <v>2627</v>
      </c>
      <c r="D297" s="16" t="s">
        <v>60</v>
      </c>
      <c r="E297" s="1" t="s">
        <v>3105</v>
      </c>
      <c r="F297" s="16" t="s">
        <v>61</v>
      </c>
      <c r="G297" s="1" t="s">
        <v>69</v>
      </c>
      <c r="H297" s="1" t="s">
        <v>2629</v>
      </c>
      <c r="I297" s="9">
        <v>19048225</v>
      </c>
      <c r="J297" s="94"/>
      <c r="K297" s="2"/>
      <c r="L297" s="2"/>
      <c r="M297" s="40">
        <f t="shared" si="14"/>
        <v>19048225</v>
      </c>
      <c r="N297" s="1">
        <v>1005710276</v>
      </c>
      <c r="O297" s="1" t="s">
        <v>3106</v>
      </c>
      <c r="P297" s="1" t="s">
        <v>2636</v>
      </c>
      <c r="Q297" s="3">
        <v>44967</v>
      </c>
      <c r="R297" s="3">
        <v>44967</v>
      </c>
      <c r="S297" s="3">
        <v>45275</v>
      </c>
      <c r="T297" s="35"/>
      <c r="U297" s="3"/>
      <c r="V297" s="3"/>
      <c r="W297" s="50"/>
      <c r="X297" s="9">
        <v>9070585</v>
      </c>
      <c r="Y297" s="9">
        <v>9977640</v>
      </c>
      <c r="Z297" s="34">
        <f t="shared" si="13"/>
        <v>0.47619056368769269</v>
      </c>
      <c r="AA297" s="1">
        <v>12545859</v>
      </c>
      <c r="AB297" s="1" t="s">
        <v>2632</v>
      </c>
      <c r="AC297" s="1"/>
      <c r="AD297" s="1"/>
      <c r="AE297" s="3"/>
      <c r="AF297" s="194" t="s">
        <v>3107</v>
      </c>
      <c r="AG297" s="15" t="s">
        <v>192</v>
      </c>
      <c r="AH297" s="15" t="s">
        <v>192</v>
      </c>
    </row>
    <row r="298" spans="1:34" s="4" customFormat="1" x14ac:dyDescent="0.25">
      <c r="A298" s="16">
        <v>891780268</v>
      </c>
      <c r="B298" s="16" t="s">
        <v>54</v>
      </c>
      <c r="C298" s="14" t="s">
        <v>2627</v>
      </c>
      <c r="D298" s="16" t="s">
        <v>60</v>
      </c>
      <c r="E298" s="1" t="s">
        <v>3108</v>
      </c>
      <c r="F298" s="16" t="s">
        <v>61</v>
      </c>
      <c r="G298" s="1" t="s">
        <v>69</v>
      </c>
      <c r="H298" s="1" t="s">
        <v>2629</v>
      </c>
      <c r="I298" s="9">
        <v>19048225</v>
      </c>
      <c r="J298" s="94"/>
      <c r="K298" s="2"/>
      <c r="L298" s="2"/>
      <c r="M298" s="40">
        <f t="shared" si="14"/>
        <v>19048225</v>
      </c>
      <c r="N298" s="1">
        <v>1143341503</v>
      </c>
      <c r="O298" s="1" t="s">
        <v>3109</v>
      </c>
      <c r="P298" s="1" t="s">
        <v>2636</v>
      </c>
      <c r="Q298" s="3">
        <v>44967</v>
      </c>
      <c r="R298" s="3">
        <v>44967</v>
      </c>
      <c r="S298" s="3">
        <v>45275</v>
      </c>
      <c r="T298" s="35"/>
      <c r="U298" s="3"/>
      <c r="V298" s="3"/>
      <c r="W298" s="50"/>
      <c r="X298" s="9">
        <v>9070585</v>
      </c>
      <c r="Y298" s="9">
        <v>9977640</v>
      </c>
      <c r="Z298" s="34">
        <f t="shared" si="13"/>
        <v>0.47619056368769269</v>
      </c>
      <c r="AA298" s="1">
        <v>12545859</v>
      </c>
      <c r="AB298" s="1" t="s">
        <v>2632</v>
      </c>
      <c r="AC298" s="1"/>
      <c r="AD298" s="1"/>
      <c r="AE298" s="3"/>
      <c r="AF298" s="194" t="s">
        <v>3110</v>
      </c>
      <c r="AG298" s="15" t="s">
        <v>192</v>
      </c>
      <c r="AH298" s="15" t="s">
        <v>192</v>
      </c>
    </row>
    <row r="299" spans="1:34" s="4" customFormat="1" x14ac:dyDescent="0.25">
      <c r="A299" s="16">
        <v>891780269</v>
      </c>
      <c r="B299" s="16" t="s">
        <v>54</v>
      </c>
      <c r="C299" s="14" t="s">
        <v>2627</v>
      </c>
      <c r="D299" s="16" t="s">
        <v>60</v>
      </c>
      <c r="E299" s="1" t="s">
        <v>3111</v>
      </c>
      <c r="F299" s="16" t="s">
        <v>61</v>
      </c>
      <c r="G299" s="1" t="s">
        <v>69</v>
      </c>
      <c r="H299" s="1" t="s">
        <v>2629</v>
      </c>
      <c r="I299" s="9">
        <v>19048225</v>
      </c>
      <c r="J299" s="94"/>
      <c r="K299" s="2"/>
      <c r="L299" s="2"/>
      <c r="M299" s="40">
        <f t="shared" si="14"/>
        <v>19048225</v>
      </c>
      <c r="N299" s="1">
        <v>1101455713</v>
      </c>
      <c r="O299" s="1" t="s">
        <v>3112</v>
      </c>
      <c r="P299" s="1" t="s">
        <v>2636</v>
      </c>
      <c r="Q299" s="3">
        <v>44967</v>
      </c>
      <c r="R299" s="3">
        <v>44967</v>
      </c>
      <c r="S299" s="3">
        <v>45275</v>
      </c>
      <c r="T299" s="35"/>
      <c r="U299" s="3"/>
      <c r="V299" s="3"/>
      <c r="W299" s="50"/>
      <c r="X299" s="9">
        <v>9070585</v>
      </c>
      <c r="Y299" s="9">
        <v>9977640</v>
      </c>
      <c r="Z299" s="34">
        <f t="shared" si="13"/>
        <v>0.47619056368769269</v>
      </c>
      <c r="AA299" s="1">
        <v>12545859</v>
      </c>
      <c r="AB299" s="1" t="s">
        <v>2632</v>
      </c>
      <c r="AC299" s="1"/>
      <c r="AD299" s="1"/>
      <c r="AE299" s="3"/>
      <c r="AF299" s="194" t="s">
        <v>3113</v>
      </c>
      <c r="AG299" s="15" t="s">
        <v>192</v>
      </c>
      <c r="AH299" s="15" t="s">
        <v>192</v>
      </c>
    </row>
    <row r="300" spans="1:34" s="4" customFormat="1" x14ac:dyDescent="0.25">
      <c r="A300" s="16">
        <v>891780270</v>
      </c>
      <c r="B300" s="16" t="s">
        <v>54</v>
      </c>
      <c r="C300" s="14" t="s">
        <v>2627</v>
      </c>
      <c r="D300" s="16" t="s">
        <v>60</v>
      </c>
      <c r="E300" s="1" t="s">
        <v>3114</v>
      </c>
      <c r="F300" s="16" t="s">
        <v>61</v>
      </c>
      <c r="G300" s="1" t="s">
        <v>69</v>
      </c>
      <c r="H300" s="1" t="s">
        <v>2629</v>
      </c>
      <c r="I300" s="9">
        <v>19425415</v>
      </c>
      <c r="J300" s="94"/>
      <c r="K300" s="2"/>
      <c r="L300" s="2"/>
      <c r="M300" s="40">
        <f t="shared" si="14"/>
        <v>19425415</v>
      </c>
      <c r="N300" s="1">
        <v>1067871655</v>
      </c>
      <c r="O300" s="1" t="s">
        <v>3115</v>
      </c>
      <c r="P300" s="1" t="s">
        <v>2651</v>
      </c>
      <c r="Q300" s="3">
        <v>44967</v>
      </c>
      <c r="R300" s="3">
        <v>44967</v>
      </c>
      <c r="S300" s="3">
        <v>45275</v>
      </c>
      <c r="T300" s="35"/>
      <c r="U300" s="3"/>
      <c r="V300" s="3"/>
      <c r="W300" s="50"/>
      <c r="X300" s="9">
        <v>9250200</v>
      </c>
      <c r="Y300" s="9">
        <v>10175215</v>
      </c>
      <c r="Z300" s="34">
        <f t="shared" si="13"/>
        <v>0.47619059875940872</v>
      </c>
      <c r="AA300" s="1">
        <v>12545859</v>
      </c>
      <c r="AB300" s="1" t="s">
        <v>2632</v>
      </c>
      <c r="AC300" s="1"/>
      <c r="AD300" s="1"/>
      <c r="AE300" s="3"/>
      <c r="AF300" s="194" t="s">
        <v>3116</v>
      </c>
      <c r="AG300" s="15" t="s">
        <v>192</v>
      </c>
      <c r="AH300" s="15" t="s">
        <v>192</v>
      </c>
    </row>
    <row r="301" spans="1:34" s="4" customFormat="1" x14ac:dyDescent="0.25">
      <c r="A301" s="16">
        <v>891780271</v>
      </c>
      <c r="B301" s="16" t="s">
        <v>54</v>
      </c>
      <c r="C301" s="14" t="s">
        <v>2627</v>
      </c>
      <c r="D301" s="16" t="s">
        <v>60</v>
      </c>
      <c r="E301" s="1" t="s">
        <v>3117</v>
      </c>
      <c r="F301" s="16" t="s">
        <v>61</v>
      </c>
      <c r="G301" s="1" t="s">
        <v>69</v>
      </c>
      <c r="H301" s="1" t="s">
        <v>2629</v>
      </c>
      <c r="I301" s="9">
        <v>19048225</v>
      </c>
      <c r="J301" s="94"/>
      <c r="K301" s="2"/>
      <c r="L301" s="2"/>
      <c r="M301" s="40">
        <f t="shared" si="14"/>
        <v>19048225</v>
      </c>
      <c r="N301" s="1">
        <v>50989436</v>
      </c>
      <c r="O301" s="1" t="s">
        <v>3118</v>
      </c>
      <c r="P301" s="1" t="s">
        <v>2636</v>
      </c>
      <c r="Q301" s="3">
        <v>44967</v>
      </c>
      <c r="R301" s="3">
        <v>44967</v>
      </c>
      <c r="S301" s="3">
        <v>45275</v>
      </c>
      <c r="T301" s="35"/>
      <c r="U301" s="3"/>
      <c r="V301" s="3"/>
      <c r="W301" s="50"/>
      <c r="X301" s="9">
        <v>9070585</v>
      </c>
      <c r="Y301" s="9">
        <v>9977640</v>
      </c>
      <c r="Z301" s="34">
        <f t="shared" si="13"/>
        <v>0.47619056368769269</v>
      </c>
      <c r="AA301" s="1">
        <v>12545859</v>
      </c>
      <c r="AB301" s="1" t="s">
        <v>2632</v>
      </c>
      <c r="AC301" s="1"/>
      <c r="AD301" s="1"/>
      <c r="AE301" s="3"/>
      <c r="AF301" s="194" t="s">
        <v>3119</v>
      </c>
      <c r="AG301" s="15" t="s">
        <v>192</v>
      </c>
      <c r="AH301" s="15" t="s">
        <v>192</v>
      </c>
    </row>
    <row r="302" spans="1:34" s="4" customFormat="1" x14ac:dyDescent="0.25">
      <c r="A302" s="16">
        <v>891780272</v>
      </c>
      <c r="B302" s="16" t="s">
        <v>54</v>
      </c>
      <c r="C302" s="14" t="s">
        <v>2627</v>
      </c>
      <c r="D302" s="16" t="s">
        <v>60</v>
      </c>
      <c r="E302" s="1" t="s">
        <v>3120</v>
      </c>
      <c r="F302" s="16" t="s">
        <v>61</v>
      </c>
      <c r="G302" s="1" t="s">
        <v>69</v>
      </c>
      <c r="H302" s="1" t="s">
        <v>2629</v>
      </c>
      <c r="I302" s="9">
        <v>20821033</v>
      </c>
      <c r="J302" s="94"/>
      <c r="K302" s="2"/>
      <c r="L302" s="2"/>
      <c r="M302" s="40">
        <f t="shared" si="14"/>
        <v>20821033</v>
      </c>
      <c r="N302" s="1">
        <v>1066726236</v>
      </c>
      <c r="O302" s="1" t="s">
        <v>3121</v>
      </c>
      <c r="P302" s="1" t="s">
        <v>2651</v>
      </c>
      <c r="Q302" s="3">
        <v>44967</v>
      </c>
      <c r="R302" s="3">
        <v>44967</v>
      </c>
      <c r="S302" s="3">
        <v>45275</v>
      </c>
      <c r="T302" s="35"/>
      <c r="U302" s="3"/>
      <c r="V302" s="3"/>
      <c r="W302" s="50"/>
      <c r="X302" s="9">
        <v>9914780</v>
      </c>
      <c r="Y302" s="9">
        <v>10906253</v>
      </c>
      <c r="Z302" s="34">
        <f t="shared" si="13"/>
        <v>0.47619059054370644</v>
      </c>
      <c r="AA302" s="1">
        <v>12545859</v>
      </c>
      <c r="AB302" s="1" t="s">
        <v>2632</v>
      </c>
      <c r="AC302" s="1"/>
      <c r="AD302" s="1"/>
      <c r="AE302" s="3"/>
      <c r="AF302" s="194" t="s">
        <v>3122</v>
      </c>
      <c r="AG302" s="15" t="s">
        <v>192</v>
      </c>
      <c r="AH302" s="15" t="s">
        <v>192</v>
      </c>
    </row>
    <row r="303" spans="1:34" s="4" customFormat="1" x14ac:dyDescent="0.25">
      <c r="A303" s="16">
        <v>891780273</v>
      </c>
      <c r="B303" s="16" t="s">
        <v>54</v>
      </c>
      <c r="C303" s="14" t="s">
        <v>2627</v>
      </c>
      <c r="D303" s="16" t="s">
        <v>60</v>
      </c>
      <c r="E303" s="1" t="s">
        <v>3123</v>
      </c>
      <c r="F303" s="16" t="s">
        <v>61</v>
      </c>
      <c r="G303" s="1" t="s">
        <v>69</v>
      </c>
      <c r="H303" s="1" t="s">
        <v>2629</v>
      </c>
      <c r="I303" s="9">
        <v>21029244</v>
      </c>
      <c r="J303" s="94"/>
      <c r="K303" s="2"/>
      <c r="L303" s="2"/>
      <c r="M303" s="40">
        <f t="shared" si="14"/>
        <v>21029244</v>
      </c>
      <c r="N303" s="1">
        <v>1003457692</v>
      </c>
      <c r="O303" s="1" t="s">
        <v>3124</v>
      </c>
      <c r="P303" s="1" t="s">
        <v>2651</v>
      </c>
      <c r="Q303" s="3">
        <v>44967</v>
      </c>
      <c r="R303" s="3">
        <v>44967</v>
      </c>
      <c r="S303" s="3">
        <v>45275</v>
      </c>
      <c r="T303" s="35"/>
      <c r="U303" s="3"/>
      <c r="V303" s="3"/>
      <c r="W303" s="50"/>
      <c r="X303" s="9">
        <v>10013925</v>
      </c>
      <c r="Y303" s="9">
        <v>11015319</v>
      </c>
      <c r="Z303" s="34">
        <f t="shared" si="13"/>
        <v>0.47619044222417123</v>
      </c>
      <c r="AA303" s="1">
        <v>12545859</v>
      </c>
      <c r="AB303" s="1" t="s">
        <v>2632</v>
      </c>
      <c r="AC303" s="1"/>
      <c r="AD303" s="1"/>
      <c r="AE303" s="3"/>
      <c r="AF303" s="194" t="s">
        <v>3125</v>
      </c>
      <c r="AG303" s="15" t="s">
        <v>192</v>
      </c>
      <c r="AH303" s="15" t="s">
        <v>192</v>
      </c>
    </row>
    <row r="304" spans="1:34" s="4" customFormat="1" x14ac:dyDescent="0.25">
      <c r="A304" s="16">
        <v>891780274</v>
      </c>
      <c r="B304" s="16" t="s">
        <v>54</v>
      </c>
      <c r="C304" s="14" t="s">
        <v>2627</v>
      </c>
      <c r="D304" s="16" t="s">
        <v>60</v>
      </c>
      <c r="E304" s="1" t="s">
        <v>3126</v>
      </c>
      <c r="F304" s="16" t="s">
        <v>61</v>
      </c>
      <c r="G304" s="1" t="s">
        <v>69</v>
      </c>
      <c r="H304" s="1" t="s">
        <v>2629</v>
      </c>
      <c r="I304" s="9">
        <v>15725336</v>
      </c>
      <c r="J304" s="94"/>
      <c r="K304" s="2"/>
      <c r="L304" s="2"/>
      <c r="M304" s="40">
        <f t="shared" si="14"/>
        <v>15725336</v>
      </c>
      <c r="N304" s="1">
        <v>41061085</v>
      </c>
      <c r="O304" s="1" t="s">
        <v>3127</v>
      </c>
      <c r="P304" s="1" t="s">
        <v>3128</v>
      </c>
      <c r="Q304" s="3">
        <v>44967</v>
      </c>
      <c r="R304" s="3">
        <v>44967</v>
      </c>
      <c r="S304" s="3">
        <v>45214</v>
      </c>
      <c r="T304" s="35"/>
      <c r="U304" s="3"/>
      <c r="V304" s="3"/>
      <c r="W304" s="50"/>
      <c r="X304" s="9">
        <v>9250200</v>
      </c>
      <c r="Y304" s="9">
        <v>6475136</v>
      </c>
      <c r="Z304" s="34">
        <f t="shared" si="13"/>
        <v>0.58823544374504944</v>
      </c>
      <c r="AA304" s="1">
        <v>12545859</v>
      </c>
      <c r="AB304" s="1" t="s">
        <v>2632</v>
      </c>
      <c r="AC304" s="1"/>
      <c r="AD304" s="1"/>
      <c r="AE304" s="3"/>
      <c r="AF304" s="194" t="s">
        <v>3129</v>
      </c>
      <c r="AG304" s="15" t="s">
        <v>192</v>
      </c>
      <c r="AH304" s="15" t="s">
        <v>192</v>
      </c>
    </row>
    <row r="305" spans="1:34" s="4" customFormat="1" x14ac:dyDescent="0.25">
      <c r="A305" s="16">
        <v>891780275</v>
      </c>
      <c r="B305" s="16" t="s">
        <v>54</v>
      </c>
      <c r="C305" s="14" t="s">
        <v>2627</v>
      </c>
      <c r="D305" s="16" t="s">
        <v>60</v>
      </c>
      <c r="E305" s="1" t="s">
        <v>3130</v>
      </c>
      <c r="F305" s="16" t="s">
        <v>61</v>
      </c>
      <c r="G305" s="1" t="s">
        <v>69</v>
      </c>
      <c r="H305" s="1" t="s">
        <v>2629</v>
      </c>
      <c r="I305" s="9">
        <v>15725336</v>
      </c>
      <c r="J305" s="94"/>
      <c r="K305" s="2"/>
      <c r="L305" s="2"/>
      <c r="M305" s="40">
        <f t="shared" si="14"/>
        <v>15725336</v>
      </c>
      <c r="N305" s="1">
        <v>88260836</v>
      </c>
      <c r="O305" s="1" t="s">
        <v>3131</v>
      </c>
      <c r="P305" s="1" t="s">
        <v>3128</v>
      </c>
      <c r="Q305" s="3">
        <v>44967</v>
      </c>
      <c r="R305" s="3">
        <v>44967</v>
      </c>
      <c r="S305" s="3">
        <v>45214</v>
      </c>
      <c r="T305" s="35"/>
      <c r="U305" s="3"/>
      <c r="V305" s="3"/>
      <c r="W305" s="50"/>
      <c r="X305" s="9">
        <v>9250200</v>
      </c>
      <c r="Y305" s="9">
        <v>6475136</v>
      </c>
      <c r="Z305" s="34">
        <f t="shared" si="13"/>
        <v>0.58823544374504944</v>
      </c>
      <c r="AA305" s="1">
        <v>12545859</v>
      </c>
      <c r="AB305" s="1" t="s">
        <v>2632</v>
      </c>
      <c r="AC305" s="1"/>
      <c r="AD305" s="1"/>
      <c r="AE305" s="3"/>
      <c r="AF305" s="194" t="s">
        <v>3132</v>
      </c>
      <c r="AG305" s="15" t="s">
        <v>192</v>
      </c>
      <c r="AH305" s="15" t="s">
        <v>192</v>
      </c>
    </row>
    <row r="306" spans="1:34" s="4" customFormat="1" x14ac:dyDescent="0.25">
      <c r="A306" s="16">
        <v>891780276</v>
      </c>
      <c r="B306" s="16" t="s">
        <v>54</v>
      </c>
      <c r="C306" s="14" t="s">
        <v>2627</v>
      </c>
      <c r="D306" s="16" t="s">
        <v>60</v>
      </c>
      <c r="E306" s="1" t="s">
        <v>3133</v>
      </c>
      <c r="F306" s="16" t="s">
        <v>61</v>
      </c>
      <c r="G306" s="1" t="s">
        <v>69</v>
      </c>
      <c r="H306" s="1" t="s">
        <v>2629</v>
      </c>
      <c r="I306" s="9">
        <v>15725336</v>
      </c>
      <c r="J306" s="94"/>
      <c r="K306" s="2"/>
      <c r="L306" s="2"/>
      <c r="M306" s="40">
        <f t="shared" si="14"/>
        <v>15725336</v>
      </c>
      <c r="N306" s="1">
        <v>1111766301</v>
      </c>
      <c r="O306" s="1" t="s">
        <v>3134</v>
      </c>
      <c r="P306" s="1" t="s">
        <v>3128</v>
      </c>
      <c r="Q306" s="3">
        <v>44967</v>
      </c>
      <c r="R306" s="3">
        <v>44967</v>
      </c>
      <c r="S306" s="3">
        <v>45214</v>
      </c>
      <c r="T306" s="35"/>
      <c r="U306" s="3"/>
      <c r="V306" s="3"/>
      <c r="W306" s="50"/>
      <c r="X306" s="9">
        <v>9250200</v>
      </c>
      <c r="Y306" s="9">
        <v>6475136</v>
      </c>
      <c r="Z306" s="34">
        <f t="shared" si="13"/>
        <v>0.58823544374504944</v>
      </c>
      <c r="AA306" s="1">
        <v>12545859</v>
      </c>
      <c r="AB306" s="1" t="s">
        <v>2632</v>
      </c>
      <c r="AC306" s="1"/>
      <c r="AD306" s="1"/>
      <c r="AE306" s="3"/>
      <c r="AF306" s="194" t="s">
        <v>3135</v>
      </c>
      <c r="AG306" s="15" t="s">
        <v>192</v>
      </c>
      <c r="AH306" s="15" t="s">
        <v>192</v>
      </c>
    </row>
    <row r="307" spans="1:34" s="4" customFormat="1" x14ac:dyDescent="0.25">
      <c r="A307" s="16">
        <v>891780277</v>
      </c>
      <c r="B307" s="16" t="s">
        <v>54</v>
      </c>
      <c r="C307" s="14" t="s">
        <v>2627</v>
      </c>
      <c r="D307" s="16" t="s">
        <v>60</v>
      </c>
      <c r="E307" s="1" t="s">
        <v>3136</v>
      </c>
      <c r="F307" s="16" t="s">
        <v>61</v>
      </c>
      <c r="G307" s="1" t="s">
        <v>69</v>
      </c>
      <c r="H307" s="1" t="s">
        <v>2629</v>
      </c>
      <c r="I307" s="9">
        <v>19048225</v>
      </c>
      <c r="J307" s="94"/>
      <c r="K307" s="2"/>
      <c r="L307" s="2"/>
      <c r="M307" s="40">
        <f t="shared" si="14"/>
        <v>19048225</v>
      </c>
      <c r="N307" s="1">
        <v>72334966</v>
      </c>
      <c r="O307" s="1" t="s">
        <v>3137</v>
      </c>
      <c r="P307" s="1" t="s">
        <v>2636</v>
      </c>
      <c r="Q307" s="3">
        <v>44967</v>
      </c>
      <c r="R307" s="3">
        <v>44967</v>
      </c>
      <c r="S307" s="3">
        <v>45275</v>
      </c>
      <c r="T307" s="35"/>
      <c r="U307" s="3"/>
      <c r="V307" s="3"/>
      <c r="W307" s="50"/>
      <c r="X307" s="9">
        <v>9070585</v>
      </c>
      <c r="Y307" s="9">
        <v>9977640</v>
      </c>
      <c r="Z307" s="34">
        <f t="shared" si="13"/>
        <v>0.47619056368769269</v>
      </c>
      <c r="AA307" s="1">
        <v>12545859</v>
      </c>
      <c r="AB307" s="1" t="s">
        <v>2632</v>
      </c>
      <c r="AC307" s="1"/>
      <c r="AD307" s="1"/>
      <c r="AE307" s="3"/>
      <c r="AF307" s="194" t="s">
        <v>3138</v>
      </c>
      <c r="AG307" s="15" t="s">
        <v>192</v>
      </c>
      <c r="AH307" s="15" t="s">
        <v>192</v>
      </c>
    </row>
    <row r="308" spans="1:34" s="4" customFormat="1" x14ac:dyDescent="0.25">
      <c r="A308" s="16">
        <v>891780278</v>
      </c>
      <c r="B308" s="16" t="s">
        <v>54</v>
      </c>
      <c r="C308" s="14" t="s">
        <v>2627</v>
      </c>
      <c r="D308" s="16" t="s">
        <v>60</v>
      </c>
      <c r="E308" s="1" t="s">
        <v>3139</v>
      </c>
      <c r="F308" s="16" t="s">
        <v>61</v>
      </c>
      <c r="G308" s="1" t="s">
        <v>69</v>
      </c>
      <c r="H308" s="1" t="s">
        <v>2629</v>
      </c>
      <c r="I308" s="9">
        <v>19048225</v>
      </c>
      <c r="J308" s="94"/>
      <c r="K308" s="2"/>
      <c r="L308" s="2"/>
      <c r="M308" s="40">
        <f t="shared" si="14"/>
        <v>19048225</v>
      </c>
      <c r="N308" s="1">
        <v>1062876391</v>
      </c>
      <c r="O308" s="1" t="s">
        <v>3140</v>
      </c>
      <c r="P308" s="1" t="s">
        <v>2636</v>
      </c>
      <c r="Q308" s="3">
        <v>44967</v>
      </c>
      <c r="R308" s="3">
        <v>44967</v>
      </c>
      <c r="S308" s="3">
        <v>45275</v>
      </c>
      <c r="T308" s="35"/>
      <c r="U308" s="3"/>
      <c r="V308" s="3"/>
      <c r="W308" s="50"/>
      <c r="X308" s="9">
        <v>9070585</v>
      </c>
      <c r="Y308" s="9">
        <v>9977640</v>
      </c>
      <c r="Z308" s="34">
        <f t="shared" si="13"/>
        <v>0.47619056368769269</v>
      </c>
      <c r="AA308" s="1">
        <v>12545859</v>
      </c>
      <c r="AB308" s="1" t="s">
        <v>2632</v>
      </c>
      <c r="AC308" s="1"/>
      <c r="AD308" s="1"/>
      <c r="AE308" s="3"/>
      <c r="AF308" s="194" t="s">
        <v>3141</v>
      </c>
      <c r="AG308" s="15" t="s">
        <v>192</v>
      </c>
      <c r="AH308" s="15"/>
    </row>
    <row r="309" spans="1:34" s="4" customFormat="1" x14ac:dyDescent="0.25">
      <c r="A309" s="16">
        <v>891780279</v>
      </c>
      <c r="B309" s="16" t="s">
        <v>54</v>
      </c>
      <c r="C309" s="14" t="s">
        <v>2627</v>
      </c>
      <c r="D309" s="16" t="s">
        <v>60</v>
      </c>
      <c r="E309" s="1" t="s">
        <v>3142</v>
      </c>
      <c r="F309" s="16" t="s">
        <v>61</v>
      </c>
      <c r="G309" s="1" t="s">
        <v>69</v>
      </c>
      <c r="H309" s="1" t="s">
        <v>2629</v>
      </c>
      <c r="I309" s="9">
        <v>21777415</v>
      </c>
      <c r="J309" s="94"/>
      <c r="K309" s="2"/>
      <c r="L309" s="2"/>
      <c r="M309" s="40">
        <f t="shared" si="14"/>
        <v>21777415</v>
      </c>
      <c r="N309" s="1">
        <v>1048994605</v>
      </c>
      <c r="O309" s="1" t="s">
        <v>3143</v>
      </c>
      <c r="P309" s="1" t="s">
        <v>2918</v>
      </c>
      <c r="Q309" s="3">
        <v>44967</v>
      </c>
      <c r="R309" s="3">
        <v>44967</v>
      </c>
      <c r="S309" s="3">
        <v>45275</v>
      </c>
      <c r="T309" s="35"/>
      <c r="U309" s="3"/>
      <c r="V309" s="3"/>
      <c r="W309" s="50"/>
      <c r="X309" s="9">
        <v>10370200</v>
      </c>
      <c r="Y309" s="9">
        <v>11407215</v>
      </c>
      <c r="Z309" s="34">
        <f t="shared" si="13"/>
        <v>0.47619058552174354</v>
      </c>
      <c r="AA309" s="1">
        <v>12545859</v>
      </c>
      <c r="AB309" s="1" t="s">
        <v>2632</v>
      </c>
      <c r="AC309" s="1"/>
      <c r="AD309" s="1"/>
      <c r="AE309" s="3"/>
      <c r="AF309" s="194" t="s">
        <v>3144</v>
      </c>
      <c r="AG309" s="15" t="s">
        <v>192</v>
      </c>
      <c r="AH309" s="15"/>
    </row>
    <row r="310" spans="1:34" s="4" customFormat="1" x14ac:dyDescent="0.25">
      <c r="A310" s="16">
        <v>891780280</v>
      </c>
      <c r="B310" s="16" t="s">
        <v>54</v>
      </c>
      <c r="C310" s="14" t="s">
        <v>2627</v>
      </c>
      <c r="D310" s="16" t="s">
        <v>60</v>
      </c>
      <c r="E310" s="1" t="s">
        <v>3145</v>
      </c>
      <c r="F310" s="16" t="s">
        <v>61</v>
      </c>
      <c r="G310" s="1" t="s">
        <v>69</v>
      </c>
      <c r="H310" s="1" t="s">
        <v>2629</v>
      </c>
      <c r="I310" s="9">
        <v>19425415</v>
      </c>
      <c r="J310" s="94"/>
      <c r="K310" s="2"/>
      <c r="L310" s="2"/>
      <c r="M310" s="40">
        <f t="shared" si="14"/>
        <v>19425415</v>
      </c>
      <c r="N310" s="1">
        <v>1075212826</v>
      </c>
      <c r="O310" s="1" t="s">
        <v>3146</v>
      </c>
      <c r="P310" s="1" t="s">
        <v>2651</v>
      </c>
      <c r="Q310" s="3">
        <v>44967</v>
      </c>
      <c r="R310" s="3">
        <v>44967</v>
      </c>
      <c r="S310" s="3">
        <v>45275</v>
      </c>
      <c r="T310" s="35"/>
      <c r="U310" s="3"/>
      <c r="V310" s="3"/>
      <c r="W310" s="50"/>
      <c r="X310" s="9">
        <v>9250200</v>
      </c>
      <c r="Y310" s="9">
        <v>10175215</v>
      </c>
      <c r="Z310" s="34">
        <f t="shared" si="13"/>
        <v>0.47619059875940872</v>
      </c>
      <c r="AA310" s="1">
        <v>12545859</v>
      </c>
      <c r="AB310" s="1" t="s">
        <v>2632</v>
      </c>
      <c r="AC310" s="1"/>
      <c r="AD310" s="1"/>
      <c r="AE310" s="3"/>
      <c r="AF310" s="194" t="s">
        <v>3147</v>
      </c>
      <c r="AG310" s="15" t="s">
        <v>192</v>
      </c>
      <c r="AH310" s="15" t="s">
        <v>192</v>
      </c>
    </row>
    <row r="311" spans="1:34" s="4" customFormat="1" x14ac:dyDescent="0.25">
      <c r="A311" s="16">
        <v>891780281</v>
      </c>
      <c r="B311" s="16" t="s">
        <v>54</v>
      </c>
      <c r="C311" s="14" t="s">
        <v>2627</v>
      </c>
      <c r="D311" s="16" t="s">
        <v>60</v>
      </c>
      <c r="E311" s="1" t="s">
        <v>3148</v>
      </c>
      <c r="F311" s="16" t="s">
        <v>61</v>
      </c>
      <c r="G311" s="1" t="s">
        <v>69</v>
      </c>
      <c r="H311" s="1" t="s">
        <v>2629</v>
      </c>
      <c r="I311" s="9">
        <v>19425415</v>
      </c>
      <c r="J311" s="94"/>
      <c r="K311" s="2"/>
      <c r="L311" s="2"/>
      <c r="M311" s="40">
        <f t="shared" si="14"/>
        <v>19425415</v>
      </c>
      <c r="N311" s="1">
        <v>14327338</v>
      </c>
      <c r="O311" s="1" t="s">
        <v>3149</v>
      </c>
      <c r="P311" s="1" t="s">
        <v>2651</v>
      </c>
      <c r="Q311" s="3">
        <v>44967</v>
      </c>
      <c r="R311" s="3">
        <v>44967</v>
      </c>
      <c r="S311" s="3">
        <v>45275</v>
      </c>
      <c r="T311" s="35"/>
      <c r="U311" s="3"/>
      <c r="V311" s="3"/>
      <c r="W311" s="50"/>
      <c r="X311" s="9">
        <v>9250200</v>
      </c>
      <c r="Y311" s="9">
        <v>10175215</v>
      </c>
      <c r="Z311" s="34">
        <f t="shared" si="13"/>
        <v>0.47619059875940872</v>
      </c>
      <c r="AA311" s="1">
        <v>12545859</v>
      </c>
      <c r="AB311" s="1" t="s">
        <v>2632</v>
      </c>
      <c r="AC311" s="1"/>
      <c r="AD311" s="1"/>
      <c r="AE311" s="3"/>
      <c r="AF311" s="194" t="s">
        <v>3150</v>
      </c>
      <c r="AG311" s="15" t="s">
        <v>192</v>
      </c>
      <c r="AH311" s="15" t="s">
        <v>192</v>
      </c>
    </row>
    <row r="312" spans="1:34" s="4" customFormat="1" x14ac:dyDescent="0.25">
      <c r="A312" s="16">
        <v>891780282</v>
      </c>
      <c r="B312" s="16" t="s">
        <v>54</v>
      </c>
      <c r="C312" s="14" t="s">
        <v>2627</v>
      </c>
      <c r="D312" s="16" t="s">
        <v>60</v>
      </c>
      <c r="E312" s="1" t="s">
        <v>3151</v>
      </c>
      <c r="F312" s="16" t="s">
        <v>61</v>
      </c>
      <c r="G312" s="1" t="s">
        <v>69</v>
      </c>
      <c r="H312" s="1" t="s">
        <v>2629</v>
      </c>
      <c r="I312" s="9">
        <v>20821033</v>
      </c>
      <c r="J312" s="94"/>
      <c r="K312" s="2"/>
      <c r="L312" s="2"/>
      <c r="M312" s="40">
        <f t="shared" si="14"/>
        <v>20821033</v>
      </c>
      <c r="N312" s="1">
        <v>1096240107</v>
      </c>
      <c r="O312" s="1" t="s">
        <v>3152</v>
      </c>
      <c r="P312" s="1" t="s">
        <v>2651</v>
      </c>
      <c r="Q312" s="3">
        <v>44967</v>
      </c>
      <c r="R312" s="3">
        <v>44967</v>
      </c>
      <c r="S312" s="3">
        <v>45275</v>
      </c>
      <c r="T312" s="35"/>
      <c r="U312" s="3"/>
      <c r="V312" s="3"/>
      <c r="W312" s="50"/>
      <c r="X312" s="9">
        <v>9914780</v>
      </c>
      <c r="Y312" s="9">
        <v>10906253</v>
      </c>
      <c r="Z312" s="34">
        <f t="shared" si="13"/>
        <v>0.47619059054370644</v>
      </c>
      <c r="AA312" s="1">
        <v>12545859</v>
      </c>
      <c r="AB312" s="1" t="s">
        <v>2632</v>
      </c>
      <c r="AC312" s="1"/>
      <c r="AD312" s="1"/>
      <c r="AE312" s="3"/>
      <c r="AF312" s="194" t="s">
        <v>3153</v>
      </c>
      <c r="AG312" s="15" t="s">
        <v>192</v>
      </c>
      <c r="AH312" s="15" t="s">
        <v>192</v>
      </c>
    </row>
    <row r="313" spans="1:34" s="4" customFormat="1" x14ac:dyDescent="0.25">
      <c r="A313" s="16">
        <v>891780283</v>
      </c>
      <c r="B313" s="16" t="s">
        <v>54</v>
      </c>
      <c r="C313" s="14" t="s">
        <v>2627</v>
      </c>
      <c r="D313" s="16" t="s">
        <v>60</v>
      </c>
      <c r="E313" s="1" t="s">
        <v>3154</v>
      </c>
      <c r="F313" s="16" t="s">
        <v>61</v>
      </c>
      <c r="G313" s="1" t="s">
        <v>69</v>
      </c>
      <c r="H313" s="1" t="s">
        <v>2629</v>
      </c>
      <c r="I313" s="9">
        <v>21029244</v>
      </c>
      <c r="J313" s="94"/>
      <c r="K313" s="2"/>
      <c r="L313" s="2"/>
      <c r="M313" s="40">
        <f t="shared" si="14"/>
        <v>21029244</v>
      </c>
      <c r="N313" s="1">
        <v>1105785568</v>
      </c>
      <c r="O313" s="1" t="s">
        <v>3155</v>
      </c>
      <c r="P313" s="1" t="s">
        <v>2651</v>
      </c>
      <c r="Q313" s="3">
        <v>44967</v>
      </c>
      <c r="R313" s="3">
        <v>44967</v>
      </c>
      <c r="S313" s="3">
        <v>45275</v>
      </c>
      <c r="T313" s="35"/>
      <c r="U313" s="3"/>
      <c r="V313" s="3"/>
      <c r="W313" s="50"/>
      <c r="X313" s="9">
        <v>10013925</v>
      </c>
      <c r="Y313" s="9">
        <v>11015319</v>
      </c>
      <c r="Z313" s="34">
        <f t="shared" si="13"/>
        <v>0.47619044222417123</v>
      </c>
      <c r="AA313" s="1">
        <v>12545859</v>
      </c>
      <c r="AB313" s="1" t="s">
        <v>2632</v>
      </c>
      <c r="AC313" s="1"/>
      <c r="AD313" s="1"/>
      <c r="AE313" s="3"/>
      <c r="AF313" s="194" t="s">
        <v>3156</v>
      </c>
      <c r="AG313" s="15" t="s">
        <v>192</v>
      </c>
      <c r="AH313" s="15"/>
    </row>
    <row r="314" spans="1:34" s="4" customFormat="1" x14ac:dyDescent="0.25">
      <c r="A314" s="16">
        <v>891780284</v>
      </c>
      <c r="B314" s="16" t="s">
        <v>54</v>
      </c>
      <c r="C314" s="14" t="s">
        <v>2627</v>
      </c>
      <c r="D314" s="16" t="s">
        <v>60</v>
      </c>
      <c r="E314" s="1" t="s">
        <v>3157</v>
      </c>
      <c r="F314" s="16" t="s">
        <v>61</v>
      </c>
      <c r="G314" s="1" t="s">
        <v>69</v>
      </c>
      <c r="H314" s="1" t="s">
        <v>2629</v>
      </c>
      <c r="I314" s="9">
        <v>19425415</v>
      </c>
      <c r="J314" s="94"/>
      <c r="K314" s="2"/>
      <c r="L314" s="2"/>
      <c r="M314" s="40">
        <f t="shared" si="14"/>
        <v>19425415</v>
      </c>
      <c r="N314" s="1">
        <v>1105786398</v>
      </c>
      <c r="O314" s="1" t="s">
        <v>3158</v>
      </c>
      <c r="P314" s="1" t="s">
        <v>2651</v>
      </c>
      <c r="Q314" s="3">
        <v>44967</v>
      </c>
      <c r="R314" s="3">
        <v>44967</v>
      </c>
      <c r="S314" s="3">
        <v>45275</v>
      </c>
      <c r="T314" s="35"/>
      <c r="U314" s="3"/>
      <c r="V314" s="3"/>
      <c r="W314" s="50"/>
      <c r="X314" s="9">
        <v>9250200</v>
      </c>
      <c r="Y314" s="9">
        <v>10175215</v>
      </c>
      <c r="Z314" s="34">
        <f t="shared" si="13"/>
        <v>0.47619059875940872</v>
      </c>
      <c r="AA314" s="1">
        <v>12545859</v>
      </c>
      <c r="AB314" s="1" t="s">
        <v>2632</v>
      </c>
      <c r="AC314" s="1"/>
      <c r="AD314" s="1"/>
      <c r="AE314" s="3"/>
      <c r="AF314" s="194" t="s">
        <v>3159</v>
      </c>
      <c r="AG314" s="15" t="s">
        <v>192</v>
      </c>
      <c r="AH314" s="15" t="s">
        <v>192</v>
      </c>
    </row>
    <row r="315" spans="1:34" s="4" customFormat="1" x14ac:dyDescent="0.25">
      <c r="A315" s="16">
        <v>891780285</v>
      </c>
      <c r="B315" s="16" t="s">
        <v>54</v>
      </c>
      <c r="C315" s="14" t="s">
        <v>2627</v>
      </c>
      <c r="D315" s="16" t="s">
        <v>60</v>
      </c>
      <c r="E315" s="1" t="s">
        <v>3160</v>
      </c>
      <c r="F315" s="16" t="s">
        <v>61</v>
      </c>
      <c r="G315" s="1" t="s">
        <v>69</v>
      </c>
      <c r="H315" s="1" t="s">
        <v>2629</v>
      </c>
      <c r="I315" s="9">
        <v>19048225</v>
      </c>
      <c r="J315" s="94"/>
      <c r="K315" s="2"/>
      <c r="L315" s="2"/>
      <c r="M315" s="40">
        <f t="shared" si="14"/>
        <v>19048225</v>
      </c>
      <c r="N315" s="1">
        <v>22009602</v>
      </c>
      <c r="O315" s="1" t="s">
        <v>3161</v>
      </c>
      <c r="P315" s="1" t="s">
        <v>2636</v>
      </c>
      <c r="Q315" s="3">
        <v>44967</v>
      </c>
      <c r="R315" s="3">
        <v>44967</v>
      </c>
      <c r="S315" s="3">
        <v>45275</v>
      </c>
      <c r="T315" s="35"/>
      <c r="U315" s="3"/>
      <c r="V315" s="3"/>
      <c r="W315" s="50"/>
      <c r="X315" s="9">
        <v>9070585</v>
      </c>
      <c r="Y315" s="9">
        <v>9977640</v>
      </c>
      <c r="Z315" s="34">
        <f t="shared" si="13"/>
        <v>0.47619056368769269</v>
      </c>
      <c r="AA315" s="1">
        <v>12545859</v>
      </c>
      <c r="AB315" s="1" t="s">
        <v>2632</v>
      </c>
      <c r="AC315" s="1"/>
      <c r="AD315" s="1"/>
      <c r="AE315" s="3"/>
      <c r="AF315" s="194" t="s">
        <v>3162</v>
      </c>
      <c r="AG315" s="15" t="s">
        <v>192</v>
      </c>
      <c r="AH315" s="15" t="s">
        <v>192</v>
      </c>
    </row>
    <row r="316" spans="1:34" s="4" customFormat="1" x14ac:dyDescent="0.25">
      <c r="A316" s="16">
        <v>891780286</v>
      </c>
      <c r="B316" s="16" t="s">
        <v>54</v>
      </c>
      <c r="C316" s="14" t="s">
        <v>2627</v>
      </c>
      <c r="D316" s="16" t="s">
        <v>60</v>
      </c>
      <c r="E316" s="1" t="s">
        <v>3163</v>
      </c>
      <c r="F316" s="16" t="s">
        <v>61</v>
      </c>
      <c r="G316" s="1" t="s">
        <v>69</v>
      </c>
      <c r="H316" s="1" t="s">
        <v>2629</v>
      </c>
      <c r="I316" s="9">
        <v>19425415</v>
      </c>
      <c r="J316" s="94"/>
      <c r="K316" s="2"/>
      <c r="L316" s="2"/>
      <c r="M316" s="40">
        <f t="shared" si="14"/>
        <v>19425415</v>
      </c>
      <c r="N316" s="1">
        <v>52856372</v>
      </c>
      <c r="O316" s="1" t="s">
        <v>3164</v>
      </c>
      <c r="P316" s="1" t="s">
        <v>2651</v>
      </c>
      <c r="Q316" s="3">
        <v>44967</v>
      </c>
      <c r="R316" s="3">
        <v>44967</v>
      </c>
      <c r="S316" s="3">
        <v>45275</v>
      </c>
      <c r="T316" s="35"/>
      <c r="U316" s="3"/>
      <c r="V316" s="3"/>
      <c r="W316" s="50"/>
      <c r="X316" s="9">
        <v>9250200</v>
      </c>
      <c r="Y316" s="9">
        <v>10175215</v>
      </c>
      <c r="Z316" s="34">
        <f t="shared" si="13"/>
        <v>0.47619059875940872</v>
      </c>
      <c r="AA316" s="1">
        <v>12545859</v>
      </c>
      <c r="AB316" s="1" t="s">
        <v>2632</v>
      </c>
      <c r="AC316" s="1"/>
      <c r="AD316" s="1"/>
      <c r="AE316" s="3"/>
      <c r="AF316" s="194" t="s">
        <v>3165</v>
      </c>
      <c r="AG316" s="15" t="s">
        <v>192</v>
      </c>
      <c r="AH316" s="15"/>
    </row>
    <row r="317" spans="1:34" s="4" customFormat="1" x14ac:dyDescent="0.25">
      <c r="A317" s="16">
        <v>891780287</v>
      </c>
      <c r="B317" s="16" t="s">
        <v>54</v>
      </c>
      <c r="C317" s="14" t="s">
        <v>2627</v>
      </c>
      <c r="D317" s="16" t="s">
        <v>60</v>
      </c>
      <c r="E317" s="1" t="s">
        <v>3166</v>
      </c>
      <c r="F317" s="16" t="s">
        <v>61</v>
      </c>
      <c r="G317" s="1" t="s">
        <v>69</v>
      </c>
      <c r="H317" s="1" t="s">
        <v>2629</v>
      </c>
      <c r="I317" s="9">
        <v>19425415</v>
      </c>
      <c r="J317" s="94"/>
      <c r="K317" s="2"/>
      <c r="L317" s="2"/>
      <c r="M317" s="40">
        <f t="shared" si="14"/>
        <v>19425415</v>
      </c>
      <c r="N317" s="1">
        <v>1054568963</v>
      </c>
      <c r="O317" s="1" t="s">
        <v>3167</v>
      </c>
      <c r="P317" s="1" t="s">
        <v>2651</v>
      </c>
      <c r="Q317" s="3">
        <v>44967</v>
      </c>
      <c r="R317" s="3">
        <v>44967</v>
      </c>
      <c r="S317" s="3">
        <v>45275</v>
      </c>
      <c r="T317" s="35"/>
      <c r="U317" s="3"/>
      <c r="V317" s="3"/>
      <c r="W317" s="50"/>
      <c r="X317" s="9">
        <v>9250200</v>
      </c>
      <c r="Y317" s="9">
        <v>10175215</v>
      </c>
      <c r="Z317" s="34">
        <f t="shared" si="13"/>
        <v>0.47619059875940872</v>
      </c>
      <c r="AA317" s="1">
        <v>12545859</v>
      </c>
      <c r="AB317" s="1" t="s">
        <v>2632</v>
      </c>
      <c r="AC317" s="1"/>
      <c r="AD317" s="1"/>
      <c r="AE317" s="3"/>
      <c r="AF317" s="194" t="s">
        <v>3168</v>
      </c>
      <c r="AG317" s="15" t="s">
        <v>192</v>
      </c>
      <c r="AH317" s="15"/>
    </row>
    <row r="318" spans="1:34" s="4" customFormat="1" x14ac:dyDescent="0.25">
      <c r="A318" s="16">
        <v>891780288</v>
      </c>
      <c r="B318" s="16" t="s">
        <v>54</v>
      </c>
      <c r="C318" s="14" t="s">
        <v>2627</v>
      </c>
      <c r="D318" s="16" t="s">
        <v>60</v>
      </c>
      <c r="E318" s="1" t="s">
        <v>3169</v>
      </c>
      <c r="F318" s="16" t="s">
        <v>61</v>
      </c>
      <c r="G318" s="1" t="s">
        <v>69</v>
      </c>
      <c r="H318" s="1" t="s">
        <v>2629</v>
      </c>
      <c r="I318" s="9">
        <v>19425415</v>
      </c>
      <c r="J318" s="94"/>
      <c r="K318" s="2"/>
      <c r="L318" s="2"/>
      <c r="M318" s="40">
        <f t="shared" si="14"/>
        <v>19425415</v>
      </c>
      <c r="N318" s="1">
        <v>37688465</v>
      </c>
      <c r="O318" s="1" t="s">
        <v>3170</v>
      </c>
      <c r="P318" s="1" t="s">
        <v>2651</v>
      </c>
      <c r="Q318" s="3">
        <v>44967</v>
      </c>
      <c r="R318" s="3">
        <v>44967</v>
      </c>
      <c r="S318" s="3">
        <v>45275</v>
      </c>
      <c r="T318" s="35"/>
      <c r="U318" s="3"/>
      <c r="V318" s="3"/>
      <c r="W318" s="50"/>
      <c r="X318" s="9">
        <v>9250200</v>
      </c>
      <c r="Y318" s="9">
        <v>10175215</v>
      </c>
      <c r="Z318" s="34">
        <f t="shared" si="13"/>
        <v>0.47619059875940872</v>
      </c>
      <c r="AA318" s="1">
        <v>12545859</v>
      </c>
      <c r="AB318" s="1" t="s">
        <v>2632</v>
      </c>
      <c r="AC318" s="1"/>
      <c r="AD318" s="1"/>
      <c r="AE318" s="3"/>
      <c r="AF318" s="194" t="s">
        <v>3171</v>
      </c>
      <c r="AG318" s="15" t="s">
        <v>192</v>
      </c>
      <c r="AH318" s="15" t="s">
        <v>192</v>
      </c>
    </row>
    <row r="319" spans="1:34" s="4" customFormat="1" x14ac:dyDescent="0.25">
      <c r="A319" s="16">
        <v>891780289</v>
      </c>
      <c r="B319" s="16" t="s">
        <v>54</v>
      </c>
      <c r="C319" s="14" t="s">
        <v>2627</v>
      </c>
      <c r="D319" s="16" t="s">
        <v>60</v>
      </c>
      <c r="E319" s="1" t="s">
        <v>3172</v>
      </c>
      <c r="F319" s="16" t="s">
        <v>61</v>
      </c>
      <c r="G319" s="1" t="s">
        <v>69</v>
      </c>
      <c r="H319" s="1" t="s">
        <v>2629</v>
      </c>
      <c r="I319" s="9">
        <v>19425415</v>
      </c>
      <c r="J319" s="94"/>
      <c r="K319" s="2"/>
      <c r="L319" s="2"/>
      <c r="M319" s="40">
        <f t="shared" si="14"/>
        <v>19425415</v>
      </c>
      <c r="N319" s="1">
        <v>43654399</v>
      </c>
      <c r="O319" s="1" t="s">
        <v>3173</v>
      </c>
      <c r="P319" s="1" t="s">
        <v>2651</v>
      </c>
      <c r="Q319" s="3">
        <v>44967</v>
      </c>
      <c r="R319" s="3">
        <v>44967</v>
      </c>
      <c r="S319" s="3">
        <v>45275</v>
      </c>
      <c r="T319" s="35"/>
      <c r="U319" s="3"/>
      <c r="V319" s="3"/>
      <c r="W319" s="50"/>
      <c r="X319" s="9">
        <v>9250200</v>
      </c>
      <c r="Y319" s="9">
        <v>10175215</v>
      </c>
      <c r="Z319" s="34">
        <f t="shared" si="13"/>
        <v>0.47619059875940872</v>
      </c>
      <c r="AA319" s="1">
        <v>12545859</v>
      </c>
      <c r="AB319" s="1" t="s">
        <v>2632</v>
      </c>
      <c r="AC319" s="1"/>
      <c r="AD319" s="1"/>
      <c r="AE319" s="3"/>
      <c r="AF319" s="194" t="s">
        <v>3174</v>
      </c>
      <c r="AG319" s="15" t="s">
        <v>192</v>
      </c>
      <c r="AH319" s="15"/>
    </row>
    <row r="320" spans="1:34" s="4" customFormat="1" x14ac:dyDescent="0.25">
      <c r="A320" s="16">
        <v>891780290</v>
      </c>
      <c r="B320" s="16" t="s">
        <v>54</v>
      </c>
      <c r="C320" s="14" t="s">
        <v>2627</v>
      </c>
      <c r="D320" s="16" t="s">
        <v>60</v>
      </c>
      <c r="E320" s="1" t="s">
        <v>3175</v>
      </c>
      <c r="F320" s="16" t="s">
        <v>61</v>
      </c>
      <c r="G320" s="1" t="s">
        <v>69</v>
      </c>
      <c r="H320" s="1" t="s">
        <v>2629</v>
      </c>
      <c r="I320" s="9">
        <v>19425415</v>
      </c>
      <c r="J320" s="94"/>
      <c r="K320" s="2"/>
      <c r="L320" s="2"/>
      <c r="M320" s="40">
        <f t="shared" si="14"/>
        <v>19425415</v>
      </c>
      <c r="N320" s="1">
        <v>1096189855</v>
      </c>
      <c r="O320" s="1" t="s">
        <v>3176</v>
      </c>
      <c r="P320" s="1" t="s">
        <v>2651</v>
      </c>
      <c r="Q320" s="3">
        <v>44967</v>
      </c>
      <c r="R320" s="3">
        <v>44967</v>
      </c>
      <c r="S320" s="3">
        <v>45275</v>
      </c>
      <c r="T320" s="35"/>
      <c r="U320" s="3"/>
      <c r="V320" s="3"/>
      <c r="W320" s="50"/>
      <c r="X320" s="9">
        <v>9250200</v>
      </c>
      <c r="Y320" s="9">
        <v>10175215</v>
      </c>
      <c r="Z320" s="34">
        <f t="shared" si="13"/>
        <v>0.47619059875940872</v>
      </c>
      <c r="AA320" s="1">
        <v>12545859</v>
      </c>
      <c r="AB320" s="1" t="s">
        <v>2632</v>
      </c>
      <c r="AC320" s="1"/>
      <c r="AD320" s="1"/>
      <c r="AE320" s="3"/>
      <c r="AF320" s="194" t="s">
        <v>3177</v>
      </c>
      <c r="AG320" s="15" t="s">
        <v>192</v>
      </c>
      <c r="AH320" s="15" t="s">
        <v>192</v>
      </c>
    </row>
    <row r="321" spans="1:34" s="4" customFormat="1" x14ac:dyDescent="0.25">
      <c r="A321" s="16">
        <v>891780291</v>
      </c>
      <c r="B321" s="16" t="s">
        <v>54</v>
      </c>
      <c r="C321" s="14" t="s">
        <v>2627</v>
      </c>
      <c r="D321" s="16" t="s">
        <v>60</v>
      </c>
      <c r="E321" s="1" t="s">
        <v>3178</v>
      </c>
      <c r="F321" s="16" t="s">
        <v>61</v>
      </c>
      <c r="G321" s="1" t="s">
        <v>69</v>
      </c>
      <c r="H321" s="1" t="s">
        <v>2629</v>
      </c>
      <c r="I321" s="9">
        <v>19425415</v>
      </c>
      <c r="J321" s="94"/>
      <c r="K321" s="2"/>
      <c r="L321" s="2"/>
      <c r="M321" s="40">
        <f t="shared" si="14"/>
        <v>19425415</v>
      </c>
      <c r="N321" s="1">
        <v>1056774767</v>
      </c>
      <c r="O321" s="1" t="s">
        <v>3179</v>
      </c>
      <c r="P321" s="1" t="s">
        <v>2651</v>
      </c>
      <c r="Q321" s="3">
        <v>44967</v>
      </c>
      <c r="R321" s="3">
        <v>44967</v>
      </c>
      <c r="S321" s="3">
        <v>45275</v>
      </c>
      <c r="T321" s="35"/>
      <c r="U321" s="3"/>
      <c r="V321" s="3"/>
      <c r="W321" s="50"/>
      <c r="X321" s="9">
        <v>9250200</v>
      </c>
      <c r="Y321" s="9">
        <v>10175215</v>
      </c>
      <c r="Z321" s="34">
        <f t="shared" si="13"/>
        <v>0.47619059875940872</v>
      </c>
      <c r="AA321" s="1">
        <v>12545859</v>
      </c>
      <c r="AB321" s="1" t="s">
        <v>2632</v>
      </c>
      <c r="AC321" s="1"/>
      <c r="AD321" s="1"/>
      <c r="AE321" s="3"/>
      <c r="AF321" s="194" t="s">
        <v>3180</v>
      </c>
      <c r="AG321" s="15" t="s">
        <v>192</v>
      </c>
      <c r="AH321" s="15"/>
    </row>
    <row r="322" spans="1:34" s="4" customFormat="1" x14ac:dyDescent="0.25">
      <c r="A322" s="16">
        <v>891780292</v>
      </c>
      <c r="B322" s="16" t="s">
        <v>54</v>
      </c>
      <c r="C322" s="14" t="s">
        <v>2627</v>
      </c>
      <c r="D322" s="16" t="s">
        <v>60</v>
      </c>
      <c r="E322" s="1" t="s">
        <v>3181</v>
      </c>
      <c r="F322" s="16" t="s">
        <v>61</v>
      </c>
      <c r="G322" s="1" t="s">
        <v>69</v>
      </c>
      <c r="H322" s="1" t="s">
        <v>2629</v>
      </c>
      <c r="I322" s="9">
        <v>21029244</v>
      </c>
      <c r="J322" s="94"/>
      <c r="K322" s="2"/>
      <c r="L322" s="2"/>
      <c r="M322" s="40">
        <f t="shared" si="14"/>
        <v>21029244</v>
      </c>
      <c r="N322" s="1">
        <v>1054553214</v>
      </c>
      <c r="O322" s="1" t="s">
        <v>3182</v>
      </c>
      <c r="P322" s="1" t="s">
        <v>2651</v>
      </c>
      <c r="Q322" s="3">
        <v>44967</v>
      </c>
      <c r="R322" s="3">
        <v>44967</v>
      </c>
      <c r="S322" s="3">
        <v>45275</v>
      </c>
      <c r="T322" s="35"/>
      <c r="U322" s="3"/>
      <c r="V322" s="3"/>
      <c r="W322" s="50"/>
      <c r="X322" s="9">
        <v>10013925</v>
      </c>
      <c r="Y322" s="9">
        <v>11015319</v>
      </c>
      <c r="Z322" s="34">
        <f t="shared" si="13"/>
        <v>0.47619044222417123</v>
      </c>
      <c r="AA322" s="1">
        <v>12545859</v>
      </c>
      <c r="AB322" s="1" t="s">
        <v>2632</v>
      </c>
      <c r="AC322" s="1"/>
      <c r="AD322" s="1"/>
      <c r="AE322" s="3"/>
      <c r="AF322" s="194" t="s">
        <v>3183</v>
      </c>
      <c r="AG322" s="15" t="s">
        <v>192</v>
      </c>
      <c r="AH322" s="15"/>
    </row>
    <row r="323" spans="1:34" s="4" customFormat="1" x14ac:dyDescent="0.25">
      <c r="A323" s="16">
        <v>891780293</v>
      </c>
      <c r="B323" s="16" t="s">
        <v>54</v>
      </c>
      <c r="C323" s="14" t="s">
        <v>2627</v>
      </c>
      <c r="D323" s="16" t="s">
        <v>60</v>
      </c>
      <c r="E323" s="1" t="s">
        <v>3184</v>
      </c>
      <c r="F323" s="16" t="s">
        <v>61</v>
      </c>
      <c r="G323" s="1" t="s">
        <v>69</v>
      </c>
      <c r="H323" s="1" t="s">
        <v>2629</v>
      </c>
      <c r="I323" s="9">
        <v>19048225</v>
      </c>
      <c r="J323" s="94"/>
      <c r="K323" s="2"/>
      <c r="L323" s="2"/>
      <c r="M323" s="40">
        <f t="shared" si="14"/>
        <v>19048225</v>
      </c>
      <c r="N323" s="1">
        <v>3984762</v>
      </c>
      <c r="O323" s="1" t="s">
        <v>3185</v>
      </c>
      <c r="P323" s="1" t="s">
        <v>2636</v>
      </c>
      <c r="Q323" s="3">
        <v>44967</v>
      </c>
      <c r="R323" s="3">
        <v>44967</v>
      </c>
      <c r="S323" s="3">
        <v>45275</v>
      </c>
      <c r="T323" s="35"/>
      <c r="U323" s="3"/>
      <c r="V323" s="3"/>
      <c r="W323" s="50"/>
      <c r="X323" s="9">
        <v>9070585</v>
      </c>
      <c r="Y323" s="9">
        <v>9977640</v>
      </c>
      <c r="Z323" s="34">
        <f t="shared" si="13"/>
        <v>0.47619056368769269</v>
      </c>
      <c r="AA323" s="1">
        <v>12545859</v>
      </c>
      <c r="AB323" s="1" t="s">
        <v>2632</v>
      </c>
      <c r="AC323" s="1"/>
      <c r="AD323" s="1"/>
      <c r="AE323" s="3"/>
      <c r="AF323" s="194" t="s">
        <v>3186</v>
      </c>
      <c r="AG323" s="15" t="s">
        <v>192</v>
      </c>
      <c r="AH323" s="15" t="s">
        <v>192</v>
      </c>
    </row>
    <row r="324" spans="1:34" s="4" customFormat="1" x14ac:dyDescent="0.25">
      <c r="A324" s="16">
        <v>891780294</v>
      </c>
      <c r="B324" s="16" t="s">
        <v>54</v>
      </c>
      <c r="C324" s="14" t="s">
        <v>2627</v>
      </c>
      <c r="D324" s="16" t="s">
        <v>60</v>
      </c>
      <c r="E324" s="1" t="s">
        <v>3187</v>
      </c>
      <c r="F324" s="16" t="s">
        <v>61</v>
      </c>
      <c r="G324" s="1" t="s">
        <v>69</v>
      </c>
      <c r="H324" s="1" t="s">
        <v>2629</v>
      </c>
      <c r="I324" s="9">
        <v>19425415</v>
      </c>
      <c r="J324" s="94"/>
      <c r="K324" s="2"/>
      <c r="L324" s="2"/>
      <c r="M324" s="40">
        <f t="shared" si="14"/>
        <v>19425415</v>
      </c>
      <c r="N324" s="1">
        <v>1062908165</v>
      </c>
      <c r="O324" s="1" t="s">
        <v>3188</v>
      </c>
      <c r="P324" s="1" t="s">
        <v>2651</v>
      </c>
      <c r="Q324" s="3">
        <v>44967</v>
      </c>
      <c r="R324" s="3">
        <v>44967</v>
      </c>
      <c r="S324" s="3">
        <v>45275</v>
      </c>
      <c r="T324" s="35"/>
      <c r="U324" s="3"/>
      <c r="V324" s="3"/>
      <c r="W324" s="50"/>
      <c r="X324" s="9">
        <v>1850040</v>
      </c>
      <c r="Y324" s="9">
        <v>17575375</v>
      </c>
      <c r="Z324" s="34">
        <f t="shared" si="13"/>
        <v>9.5238119751881747E-2</v>
      </c>
      <c r="AA324" s="1">
        <v>12545859</v>
      </c>
      <c r="AB324" s="1" t="s">
        <v>2632</v>
      </c>
      <c r="AC324" s="1"/>
      <c r="AD324" s="1"/>
      <c r="AE324" s="3"/>
      <c r="AF324" s="194" t="s">
        <v>3189</v>
      </c>
      <c r="AG324" s="15" t="s">
        <v>192</v>
      </c>
      <c r="AH324" s="15" t="s">
        <v>192</v>
      </c>
    </row>
    <row r="325" spans="1:34" s="4" customFormat="1" x14ac:dyDescent="0.25">
      <c r="A325" s="16">
        <v>891780295</v>
      </c>
      <c r="B325" s="16" t="s">
        <v>54</v>
      </c>
      <c r="C325" s="14" t="s">
        <v>2627</v>
      </c>
      <c r="D325" s="16" t="s">
        <v>60</v>
      </c>
      <c r="E325" s="1" t="s">
        <v>3190</v>
      </c>
      <c r="F325" s="16" t="s">
        <v>61</v>
      </c>
      <c r="G325" s="1" t="s">
        <v>69</v>
      </c>
      <c r="H325" s="1" t="s">
        <v>2629</v>
      </c>
      <c r="I325" s="9">
        <v>21029244</v>
      </c>
      <c r="J325" s="94"/>
      <c r="K325" s="2"/>
      <c r="L325" s="2"/>
      <c r="M325" s="40">
        <f t="shared" si="14"/>
        <v>21029244</v>
      </c>
      <c r="N325" s="1">
        <v>1063560382</v>
      </c>
      <c r="O325" s="1" t="s">
        <v>3191</v>
      </c>
      <c r="P325" s="1" t="s">
        <v>2651</v>
      </c>
      <c r="Q325" s="3">
        <v>44967</v>
      </c>
      <c r="R325" s="3">
        <v>44967</v>
      </c>
      <c r="S325" s="3">
        <v>45275</v>
      </c>
      <c r="T325" s="35"/>
      <c r="U325" s="3"/>
      <c r="V325" s="3"/>
      <c r="W325" s="50"/>
      <c r="X325" s="9">
        <v>10013925</v>
      </c>
      <c r="Y325" s="9">
        <v>11015319</v>
      </c>
      <c r="Z325" s="34">
        <f t="shared" ref="Z325:Z388" si="15">+(X325/M325)</f>
        <v>0.47619044222417123</v>
      </c>
      <c r="AA325" s="1">
        <v>12545859</v>
      </c>
      <c r="AB325" s="1" t="s">
        <v>2632</v>
      </c>
      <c r="AC325" s="1"/>
      <c r="AD325" s="1"/>
      <c r="AE325" s="3"/>
      <c r="AF325" s="194" t="s">
        <v>3192</v>
      </c>
      <c r="AG325" s="15" t="s">
        <v>192</v>
      </c>
      <c r="AH325" s="15" t="s">
        <v>192</v>
      </c>
    </row>
    <row r="326" spans="1:34" s="4" customFormat="1" x14ac:dyDescent="0.25">
      <c r="A326" s="16">
        <v>891780296</v>
      </c>
      <c r="B326" s="16" t="s">
        <v>54</v>
      </c>
      <c r="C326" s="14" t="s">
        <v>2627</v>
      </c>
      <c r="D326" s="16" t="s">
        <v>60</v>
      </c>
      <c r="E326" s="1" t="s">
        <v>3193</v>
      </c>
      <c r="F326" s="16" t="s">
        <v>61</v>
      </c>
      <c r="G326" s="1" t="s">
        <v>69</v>
      </c>
      <c r="H326" s="1" t="s">
        <v>2629</v>
      </c>
      <c r="I326" s="9">
        <v>19425415</v>
      </c>
      <c r="J326" s="94"/>
      <c r="K326" s="2"/>
      <c r="L326" s="2"/>
      <c r="M326" s="40">
        <f t="shared" ref="M326:M389" si="16">I326+K326-L326</f>
        <v>19425415</v>
      </c>
      <c r="N326" s="1">
        <v>1096244848</v>
      </c>
      <c r="O326" s="1" t="s">
        <v>3194</v>
      </c>
      <c r="P326" s="1" t="s">
        <v>2834</v>
      </c>
      <c r="Q326" s="3">
        <v>44967</v>
      </c>
      <c r="R326" s="3">
        <v>44967</v>
      </c>
      <c r="S326" s="3">
        <v>45275</v>
      </c>
      <c r="T326" s="35"/>
      <c r="U326" s="3"/>
      <c r="V326" s="3"/>
      <c r="W326" s="50"/>
      <c r="X326" s="9">
        <v>9250200</v>
      </c>
      <c r="Y326" s="9">
        <v>10175215</v>
      </c>
      <c r="Z326" s="34">
        <f t="shared" si="15"/>
        <v>0.47619059875940872</v>
      </c>
      <c r="AA326" s="1">
        <v>12545859</v>
      </c>
      <c r="AB326" s="1" t="s">
        <v>2632</v>
      </c>
      <c r="AC326" s="1"/>
      <c r="AD326" s="1"/>
      <c r="AE326" s="3"/>
      <c r="AF326" s="194" t="s">
        <v>3195</v>
      </c>
      <c r="AG326" s="15" t="s">
        <v>192</v>
      </c>
      <c r="AH326" s="15"/>
    </row>
    <row r="327" spans="1:34" s="4" customFormat="1" x14ac:dyDescent="0.25">
      <c r="A327" s="16">
        <v>891780297</v>
      </c>
      <c r="B327" s="16" t="s">
        <v>54</v>
      </c>
      <c r="C327" s="14" t="s">
        <v>2627</v>
      </c>
      <c r="D327" s="16" t="s">
        <v>60</v>
      </c>
      <c r="E327" s="1" t="s">
        <v>3196</v>
      </c>
      <c r="F327" s="16" t="s">
        <v>61</v>
      </c>
      <c r="G327" s="1" t="s">
        <v>69</v>
      </c>
      <c r="H327" s="1" t="s">
        <v>2629</v>
      </c>
      <c r="I327" s="9">
        <v>19425415</v>
      </c>
      <c r="J327" s="94"/>
      <c r="K327" s="2"/>
      <c r="L327" s="2"/>
      <c r="M327" s="40">
        <f t="shared" si="16"/>
        <v>19425415</v>
      </c>
      <c r="N327" s="1">
        <v>1073248007</v>
      </c>
      <c r="O327" s="1" t="s">
        <v>3197</v>
      </c>
      <c r="P327" s="1" t="s">
        <v>2834</v>
      </c>
      <c r="Q327" s="3">
        <v>44967</v>
      </c>
      <c r="R327" s="3">
        <v>44967</v>
      </c>
      <c r="S327" s="3">
        <v>45275</v>
      </c>
      <c r="T327" s="35"/>
      <c r="U327" s="3"/>
      <c r="V327" s="3"/>
      <c r="W327" s="50"/>
      <c r="X327" s="9">
        <v>5550120</v>
      </c>
      <c r="Y327" s="9">
        <v>13875295</v>
      </c>
      <c r="Z327" s="34">
        <f t="shared" si="15"/>
        <v>0.28571435925564526</v>
      </c>
      <c r="AA327" s="1">
        <v>12545859</v>
      </c>
      <c r="AB327" s="1" t="s">
        <v>2632</v>
      </c>
      <c r="AC327" s="1"/>
      <c r="AD327" s="1"/>
      <c r="AE327" s="3"/>
      <c r="AF327" s="194" t="s">
        <v>3198</v>
      </c>
      <c r="AG327" s="15" t="s">
        <v>192</v>
      </c>
      <c r="AH327" s="15"/>
    </row>
    <row r="328" spans="1:34" s="4" customFormat="1" x14ac:dyDescent="0.25">
      <c r="A328" s="16">
        <v>891780298</v>
      </c>
      <c r="B328" s="16" t="s">
        <v>54</v>
      </c>
      <c r="C328" s="14" t="s">
        <v>2627</v>
      </c>
      <c r="D328" s="16" t="s">
        <v>60</v>
      </c>
      <c r="E328" s="1" t="s">
        <v>3199</v>
      </c>
      <c r="F328" s="16" t="s">
        <v>61</v>
      </c>
      <c r="G328" s="1" t="s">
        <v>69</v>
      </c>
      <c r="H328" s="1" t="s">
        <v>2629</v>
      </c>
      <c r="I328" s="9">
        <v>19048225</v>
      </c>
      <c r="J328" s="94"/>
      <c r="K328" s="2"/>
      <c r="L328" s="2"/>
      <c r="M328" s="40">
        <f t="shared" si="16"/>
        <v>19048225</v>
      </c>
      <c r="N328" s="1">
        <v>13108443</v>
      </c>
      <c r="O328" s="1" t="s">
        <v>3200</v>
      </c>
      <c r="P328" s="1" t="s">
        <v>2636</v>
      </c>
      <c r="Q328" s="3">
        <v>44967</v>
      </c>
      <c r="R328" s="3">
        <v>44967</v>
      </c>
      <c r="S328" s="3">
        <v>45275</v>
      </c>
      <c r="T328" s="35"/>
      <c r="U328" s="3"/>
      <c r="V328" s="3"/>
      <c r="W328" s="50"/>
      <c r="X328" s="9">
        <v>9070585</v>
      </c>
      <c r="Y328" s="9">
        <v>9977640</v>
      </c>
      <c r="Z328" s="34">
        <f t="shared" si="15"/>
        <v>0.47619056368769269</v>
      </c>
      <c r="AA328" s="1">
        <v>12545859</v>
      </c>
      <c r="AB328" s="1" t="s">
        <v>2632</v>
      </c>
      <c r="AC328" s="1"/>
      <c r="AD328" s="1"/>
      <c r="AE328" s="3"/>
      <c r="AF328" s="194" t="s">
        <v>3201</v>
      </c>
      <c r="AG328" s="15" t="s">
        <v>192</v>
      </c>
      <c r="AH328" s="15" t="s">
        <v>192</v>
      </c>
    </row>
    <row r="329" spans="1:34" s="4" customFormat="1" x14ac:dyDescent="0.25">
      <c r="A329" s="16">
        <v>891780299</v>
      </c>
      <c r="B329" s="16" t="s">
        <v>54</v>
      </c>
      <c r="C329" s="14" t="s">
        <v>2627</v>
      </c>
      <c r="D329" s="16" t="s">
        <v>60</v>
      </c>
      <c r="E329" s="1" t="s">
        <v>3202</v>
      </c>
      <c r="F329" s="16" t="s">
        <v>61</v>
      </c>
      <c r="G329" s="1" t="s">
        <v>69</v>
      </c>
      <c r="H329" s="1" t="s">
        <v>2629</v>
      </c>
      <c r="I329" s="9">
        <v>19048225</v>
      </c>
      <c r="J329" s="94"/>
      <c r="K329" s="2"/>
      <c r="L329" s="2"/>
      <c r="M329" s="40">
        <f t="shared" si="16"/>
        <v>19048225</v>
      </c>
      <c r="N329" s="1">
        <v>1007857355</v>
      </c>
      <c r="O329" s="1" t="s">
        <v>3203</v>
      </c>
      <c r="P329" s="1" t="s">
        <v>2636</v>
      </c>
      <c r="Q329" s="3">
        <v>44967</v>
      </c>
      <c r="R329" s="3">
        <v>44967</v>
      </c>
      <c r="S329" s="3">
        <v>45275</v>
      </c>
      <c r="T329" s="35"/>
      <c r="U329" s="3"/>
      <c r="V329" s="3"/>
      <c r="W329" s="50"/>
      <c r="X329" s="9">
        <v>9070585</v>
      </c>
      <c r="Y329" s="9">
        <v>9977640</v>
      </c>
      <c r="Z329" s="34">
        <f t="shared" si="15"/>
        <v>0.47619056368769269</v>
      </c>
      <c r="AA329" s="1">
        <v>12545859</v>
      </c>
      <c r="AB329" s="1" t="s">
        <v>2632</v>
      </c>
      <c r="AC329" s="1"/>
      <c r="AD329" s="1"/>
      <c r="AE329" s="3"/>
      <c r="AF329" s="194" t="s">
        <v>3204</v>
      </c>
      <c r="AG329" s="15" t="s">
        <v>192</v>
      </c>
      <c r="AH329" s="15" t="s">
        <v>192</v>
      </c>
    </row>
    <row r="330" spans="1:34" s="4" customFormat="1" x14ac:dyDescent="0.25">
      <c r="A330" s="16">
        <v>891780300</v>
      </c>
      <c r="B330" s="16" t="s">
        <v>54</v>
      </c>
      <c r="C330" s="14" t="s">
        <v>2627</v>
      </c>
      <c r="D330" s="16" t="s">
        <v>60</v>
      </c>
      <c r="E330" s="1" t="s">
        <v>3205</v>
      </c>
      <c r="F330" s="16" t="s">
        <v>61</v>
      </c>
      <c r="G330" s="1" t="s">
        <v>69</v>
      </c>
      <c r="H330" s="1" t="s">
        <v>2629</v>
      </c>
      <c r="I330" s="9">
        <v>19048225</v>
      </c>
      <c r="J330" s="94"/>
      <c r="K330" s="2"/>
      <c r="L330" s="2"/>
      <c r="M330" s="40">
        <f t="shared" si="16"/>
        <v>19048225</v>
      </c>
      <c r="N330" s="1">
        <v>1064489627</v>
      </c>
      <c r="O330" s="1" t="s">
        <v>3206</v>
      </c>
      <c r="P330" s="1" t="s">
        <v>2636</v>
      </c>
      <c r="Q330" s="3">
        <v>44967</v>
      </c>
      <c r="R330" s="3">
        <v>44967</v>
      </c>
      <c r="S330" s="3">
        <v>45275</v>
      </c>
      <c r="T330" s="35"/>
      <c r="U330" s="3"/>
      <c r="V330" s="3"/>
      <c r="W330" s="50"/>
      <c r="X330" s="9">
        <v>9070585</v>
      </c>
      <c r="Y330" s="9">
        <v>9977640</v>
      </c>
      <c r="Z330" s="34">
        <f t="shared" si="15"/>
        <v>0.47619056368769269</v>
      </c>
      <c r="AA330" s="1">
        <v>12545859</v>
      </c>
      <c r="AB330" s="1" t="s">
        <v>2632</v>
      </c>
      <c r="AC330" s="1"/>
      <c r="AD330" s="1"/>
      <c r="AE330" s="3"/>
      <c r="AF330" s="194" t="s">
        <v>3207</v>
      </c>
      <c r="AG330" s="15" t="s">
        <v>192</v>
      </c>
      <c r="AH330" s="15" t="s">
        <v>192</v>
      </c>
    </row>
    <row r="331" spans="1:34" s="4" customFormat="1" x14ac:dyDescent="0.25">
      <c r="A331" s="16">
        <v>891780301</v>
      </c>
      <c r="B331" s="16" t="s">
        <v>54</v>
      </c>
      <c r="C331" s="14" t="s">
        <v>2627</v>
      </c>
      <c r="D331" s="16" t="s">
        <v>60</v>
      </c>
      <c r="E331" s="1" t="s">
        <v>3208</v>
      </c>
      <c r="F331" s="16" t="s">
        <v>61</v>
      </c>
      <c r="G331" s="1" t="s">
        <v>69</v>
      </c>
      <c r="H331" s="1" t="s">
        <v>2629</v>
      </c>
      <c r="I331" s="9">
        <v>19048225</v>
      </c>
      <c r="J331" s="94"/>
      <c r="K331" s="2"/>
      <c r="L331" s="2"/>
      <c r="M331" s="40">
        <f t="shared" si="16"/>
        <v>19048225</v>
      </c>
      <c r="N331" s="1">
        <v>76276987</v>
      </c>
      <c r="O331" s="1" t="s">
        <v>3209</v>
      </c>
      <c r="P331" s="1" t="s">
        <v>2636</v>
      </c>
      <c r="Q331" s="3">
        <v>44967</v>
      </c>
      <c r="R331" s="3">
        <v>44967</v>
      </c>
      <c r="S331" s="3">
        <v>45275</v>
      </c>
      <c r="T331" s="35"/>
      <c r="U331" s="3"/>
      <c r="V331" s="3"/>
      <c r="W331" s="50"/>
      <c r="X331" s="9">
        <v>9070585</v>
      </c>
      <c r="Y331" s="9">
        <v>9977640</v>
      </c>
      <c r="Z331" s="34">
        <f t="shared" si="15"/>
        <v>0.47619056368769269</v>
      </c>
      <c r="AA331" s="1">
        <v>12545859</v>
      </c>
      <c r="AB331" s="1" t="s">
        <v>2632</v>
      </c>
      <c r="AC331" s="1"/>
      <c r="AD331" s="1"/>
      <c r="AE331" s="3"/>
      <c r="AF331" s="194" t="s">
        <v>3210</v>
      </c>
      <c r="AG331" s="15" t="s">
        <v>192</v>
      </c>
      <c r="AH331" s="15" t="s">
        <v>192</v>
      </c>
    </row>
    <row r="332" spans="1:34" s="4" customFormat="1" x14ac:dyDescent="0.25">
      <c r="A332" s="16">
        <v>891780302</v>
      </c>
      <c r="B332" s="16" t="s">
        <v>54</v>
      </c>
      <c r="C332" s="14" t="s">
        <v>2627</v>
      </c>
      <c r="D332" s="16" t="s">
        <v>60</v>
      </c>
      <c r="E332" s="1" t="s">
        <v>3211</v>
      </c>
      <c r="F332" s="16" t="s">
        <v>61</v>
      </c>
      <c r="G332" s="1" t="s">
        <v>69</v>
      </c>
      <c r="H332" s="1" t="s">
        <v>2629</v>
      </c>
      <c r="I332" s="9">
        <v>19425415</v>
      </c>
      <c r="J332" s="94"/>
      <c r="K332" s="2"/>
      <c r="L332" s="2"/>
      <c r="M332" s="40">
        <f t="shared" si="16"/>
        <v>19425415</v>
      </c>
      <c r="N332" s="1">
        <v>1089003034</v>
      </c>
      <c r="O332" s="1" t="s">
        <v>3212</v>
      </c>
      <c r="P332" s="1" t="s">
        <v>2918</v>
      </c>
      <c r="Q332" s="3">
        <v>44967</v>
      </c>
      <c r="R332" s="3">
        <v>44967</v>
      </c>
      <c r="S332" s="3">
        <v>45275</v>
      </c>
      <c r="T332" s="35"/>
      <c r="U332" s="3"/>
      <c r="V332" s="3"/>
      <c r="W332" s="50"/>
      <c r="X332" s="9">
        <v>9250200</v>
      </c>
      <c r="Y332" s="9">
        <v>10175215</v>
      </c>
      <c r="Z332" s="34">
        <f t="shared" si="15"/>
        <v>0.47619059875940872</v>
      </c>
      <c r="AA332" s="1">
        <v>12545859</v>
      </c>
      <c r="AB332" s="1" t="s">
        <v>2632</v>
      </c>
      <c r="AC332" s="1"/>
      <c r="AD332" s="1"/>
      <c r="AE332" s="3"/>
      <c r="AF332" s="194" t="s">
        <v>3213</v>
      </c>
      <c r="AG332" s="15" t="s">
        <v>192</v>
      </c>
      <c r="AH332" s="15" t="s">
        <v>192</v>
      </c>
    </row>
    <row r="333" spans="1:34" s="4" customFormat="1" x14ac:dyDescent="0.25">
      <c r="A333" s="16">
        <v>891780303</v>
      </c>
      <c r="B333" s="16" t="s">
        <v>54</v>
      </c>
      <c r="C333" s="14" t="s">
        <v>2627</v>
      </c>
      <c r="D333" s="16" t="s">
        <v>60</v>
      </c>
      <c r="E333" s="1" t="s">
        <v>3214</v>
      </c>
      <c r="F333" s="16" t="s">
        <v>61</v>
      </c>
      <c r="G333" s="1" t="s">
        <v>69</v>
      </c>
      <c r="H333" s="1" t="s">
        <v>2629</v>
      </c>
      <c r="I333" s="9">
        <v>19048225</v>
      </c>
      <c r="J333" s="94"/>
      <c r="K333" s="2"/>
      <c r="L333" s="2"/>
      <c r="M333" s="40">
        <f t="shared" si="16"/>
        <v>19048225</v>
      </c>
      <c r="N333" s="1">
        <v>1151445611</v>
      </c>
      <c r="O333" s="1" t="s">
        <v>3215</v>
      </c>
      <c r="P333" s="1" t="s">
        <v>2636</v>
      </c>
      <c r="Q333" s="3">
        <v>44967</v>
      </c>
      <c r="R333" s="3">
        <v>44967</v>
      </c>
      <c r="S333" s="3">
        <v>45275</v>
      </c>
      <c r="T333" s="35"/>
      <c r="U333" s="3"/>
      <c r="V333" s="3"/>
      <c r="W333" s="50"/>
      <c r="X333" s="9">
        <v>9070585</v>
      </c>
      <c r="Y333" s="9">
        <v>9977640</v>
      </c>
      <c r="Z333" s="34">
        <f t="shared" si="15"/>
        <v>0.47619056368769269</v>
      </c>
      <c r="AA333" s="1">
        <v>12545859</v>
      </c>
      <c r="AB333" s="1" t="s">
        <v>2632</v>
      </c>
      <c r="AC333" s="1"/>
      <c r="AD333" s="1"/>
      <c r="AE333" s="3"/>
      <c r="AF333" s="194" t="s">
        <v>3216</v>
      </c>
      <c r="AG333" s="15" t="s">
        <v>192</v>
      </c>
      <c r="AH333" s="15" t="s">
        <v>192</v>
      </c>
    </row>
    <row r="334" spans="1:34" s="4" customFormat="1" x14ac:dyDescent="0.25">
      <c r="A334" s="16">
        <v>891780304</v>
      </c>
      <c r="B334" s="16" t="s">
        <v>54</v>
      </c>
      <c r="C334" s="14" t="s">
        <v>2627</v>
      </c>
      <c r="D334" s="16" t="s">
        <v>60</v>
      </c>
      <c r="E334" s="1" t="s">
        <v>3217</v>
      </c>
      <c r="F334" s="16" t="s">
        <v>61</v>
      </c>
      <c r="G334" s="1" t="s">
        <v>69</v>
      </c>
      <c r="H334" s="1" t="s">
        <v>2629</v>
      </c>
      <c r="I334" s="9">
        <v>19425415</v>
      </c>
      <c r="J334" s="94"/>
      <c r="K334" s="2"/>
      <c r="L334" s="2"/>
      <c r="M334" s="40">
        <f t="shared" si="16"/>
        <v>19425415</v>
      </c>
      <c r="N334" s="1">
        <v>16487096</v>
      </c>
      <c r="O334" s="1" t="s">
        <v>3218</v>
      </c>
      <c r="P334" s="1" t="s">
        <v>2651</v>
      </c>
      <c r="Q334" s="3">
        <v>44967</v>
      </c>
      <c r="R334" s="3">
        <v>44967</v>
      </c>
      <c r="S334" s="3">
        <v>45275</v>
      </c>
      <c r="T334" s="35"/>
      <c r="U334" s="3"/>
      <c r="V334" s="3"/>
      <c r="W334" s="50"/>
      <c r="X334" s="9">
        <v>9250200</v>
      </c>
      <c r="Y334" s="9">
        <v>10175215</v>
      </c>
      <c r="Z334" s="34">
        <f t="shared" si="15"/>
        <v>0.47619059875940872</v>
      </c>
      <c r="AA334" s="1">
        <v>12545859</v>
      </c>
      <c r="AB334" s="1" t="s">
        <v>2632</v>
      </c>
      <c r="AC334" s="1"/>
      <c r="AD334" s="1"/>
      <c r="AE334" s="3"/>
      <c r="AF334" s="194" t="s">
        <v>3219</v>
      </c>
      <c r="AG334" s="15" t="s">
        <v>192</v>
      </c>
      <c r="AH334" s="15" t="s">
        <v>192</v>
      </c>
    </row>
    <row r="335" spans="1:34" s="4" customFormat="1" x14ac:dyDescent="0.25">
      <c r="A335" s="16">
        <v>891780305</v>
      </c>
      <c r="B335" s="16" t="s">
        <v>54</v>
      </c>
      <c r="C335" s="14" t="s">
        <v>2627</v>
      </c>
      <c r="D335" s="16" t="s">
        <v>60</v>
      </c>
      <c r="E335" s="1" t="s">
        <v>3220</v>
      </c>
      <c r="F335" s="16" t="s">
        <v>61</v>
      </c>
      <c r="G335" s="1" t="s">
        <v>69</v>
      </c>
      <c r="H335" s="1" t="s">
        <v>2629</v>
      </c>
      <c r="I335" s="9">
        <v>19048225</v>
      </c>
      <c r="J335" s="94"/>
      <c r="K335" s="2"/>
      <c r="L335" s="2"/>
      <c r="M335" s="40">
        <f t="shared" si="16"/>
        <v>19048225</v>
      </c>
      <c r="N335" s="1">
        <v>1059450944</v>
      </c>
      <c r="O335" s="1" t="s">
        <v>3221</v>
      </c>
      <c r="P335" s="1" t="s">
        <v>2636</v>
      </c>
      <c r="Q335" s="3">
        <v>44967</v>
      </c>
      <c r="R335" s="3">
        <v>44967</v>
      </c>
      <c r="S335" s="3">
        <v>45275</v>
      </c>
      <c r="T335" s="35"/>
      <c r="U335" s="3"/>
      <c r="V335" s="3"/>
      <c r="W335" s="50"/>
      <c r="X335" s="9">
        <v>9070585</v>
      </c>
      <c r="Y335" s="9">
        <v>9977640</v>
      </c>
      <c r="Z335" s="34">
        <f t="shared" si="15"/>
        <v>0.47619056368769269</v>
      </c>
      <c r="AA335" s="1">
        <v>12545859</v>
      </c>
      <c r="AB335" s="1" t="s">
        <v>2632</v>
      </c>
      <c r="AC335" s="1"/>
      <c r="AD335" s="1"/>
      <c r="AE335" s="3"/>
      <c r="AF335" s="194" t="s">
        <v>3222</v>
      </c>
      <c r="AG335" s="15" t="s">
        <v>192</v>
      </c>
      <c r="AH335" s="15" t="s">
        <v>192</v>
      </c>
    </row>
    <row r="336" spans="1:34" s="4" customFormat="1" x14ac:dyDescent="0.25">
      <c r="A336" s="16">
        <v>891780306</v>
      </c>
      <c r="B336" s="16" t="s">
        <v>54</v>
      </c>
      <c r="C336" s="14" t="s">
        <v>2627</v>
      </c>
      <c r="D336" s="16" t="s">
        <v>60</v>
      </c>
      <c r="E336" s="1" t="s">
        <v>3223</v>
      </c>
      <c r="F336" s="16" t="s">
        <v>61</v>
      </c>
      <c r="G336" s="1" t="s">
        <v>69</v>
      </c>
      <c r="H336" s="1" t="s">
        <v>2629</v>
      </c>
      <c r="I336" s="9">
        <v>19048225</v>
      </c>
      <c r="J336" s="94"/>
      <c r="K336" s="2"/>
      <c r="L336" s="2"/>
      <c r="M336" s="40">
        <f t="shared" si="16"/>
        <v>19048225</v>
      </c>
      <c r="N336" s="1">
        <v>1089796625</v>
      </c>
      <c r="O336" s="1" t="s">
        <v>3224</v>
      </c>
      <c r="P336" s="1" t="s">
        <v>2636</v>
      </c>
      <c r="Q336" s="3">
        <v>44967</v>
      </c>
      <c r="R336" s="3">
        <v>44967</v>
      </c>
      <c r="S336" s="3">
        <v>45275</v>
      </c>
      <c r="T336" s="35"/>
      <c r="U336" s="3"/>
      <c r="V336" s="3"/>
      <c r="W336" s="50"/>
      <c r="X336" s="9">
        <v>9070585</v>
      </c>
      <c r="Y336" s="9">
        <v>9977640</v>
      </c>
      <c r="Z336" s="34">
        <f t="shared" si="15"/>
        <v>0.47619056368769269</v>
      </c>
      <c r="AA336" s="1">
        <v>12545859</v>
      </c>
      <c r="AB336" s="1" t="s">
        <v>2632</v>
      </c>
      <c r="AC336" s="1"/>
      <c r="AD336" s="1"/>
      <c r="AE336" s="3"/>
      <c r="AF336" s="194" t="s">
        <v>3225</v>
      </c>
      <c r="AG336" s="15" t="s">
        <v>192</v>
      </c>
      <c r="AH336" s="15" t="s">
        <v>192</v>
      </c>
    </row>
    <row r="337" spans="1:34" s="4" customFormat="1" x14ac:dyDescent="0.25">
      <c r="A337" s="16">
        <v>891780307</v>
      </c>
      <c r="B337" s="16" t="s">
        <v>54</v>
      </c>
      <c r="C337" s="14" t="s">
        <v>2627</v>
      </c>
      <c r="D337" s="16" t="s">
        <v>60</v>
      </c>
      <c r="E337" s="1" t="s">
        <v>3226</v>
      </c>
      <c r="F337" s="16" t="s">
        <v>61</v>
      </c>
      <c r="G337" s="1" t="s">
        <v>69</v>
      </c>
      <c r="H337" s="1" t="s">
        <v>2629</v>
      </c>
      <c r="I337" s="9">
        <v>19425415</v>
      </c>
      <c r="J337" s="94"/>
      <c r="K337" s="2"/>
      <c r="L337" s="2"/>
      <c r="M337" s="40">
        <f t="shared" si="16"/>
        <v>19425415</v>
      </c>
      <c r="N337" s="1">
        <v>1006186749</v>
      </c>
      <c r="O337" s="1" t="s">
        <v>3227</v>
      </c>
      <c r="P337" s="1" t="s">
        <v>2651</v>
      </c>
      <c r="Q337" s="3">
        <v>44967</v>
      </c>
      <c r="R337" s="3">
        <v>44967</v>
      </c>
      <c r="S337" s="3">
        <v>45275</v>
      </c>
      <c r="T337" s="35"/>
      <c r="U337" s="3"/>
      <c r="V337" s="3"/>
      <c r="W337" s="50"/>
      <c r="X337" s="9">
        <v>9250200</v>
      </c>
      <c r="Y337" s="9">
        <v>10175215</v>
      </c>
      <c r="Z337" s="34">
        <f t="shared" si="15"/>
        <v>0.47619059875940872</v>
      </c>
      <c r="AA337" s="1">
        <v>12545859</v>
      </c>
      <c r="AB337" s="1" t="s">
        <v>2632</v>
      </c>
      <c r="AC337" s="1"/>
      <c r="AD337" s="1"/>
      <c r="AE337" s="3"/>
      <c r="AF337" s="194" t="s">
        <v>3228</v>
      </c>
      <c r="AG337" s="15" t="s">
        <v>192</v>
      </c>
      <c r="AH337" s="15" t="s">
        <v>192</v>
      </c>
    </row>
    <row r="338" spans="1:34" s="4" customFormat="1" x14ac:dyDescent="0.25">
      <c r="A338" s="16">
        <v>891780308</v>
      </c>
      <c r="B338" s="16" t="s">
        <v>54</v>
      </c>
      <c r="C338" s="14" t="s">
        <v>2627</v>
      </c>
      <c r="D338" s="16" t="s">
        <v>60</v>
      </c>
      <c r="E338" s="1" t="s">
        <v>3229</v>
      </c>
      <c r="F338" s="16" t="s">
        <v>61</v>
      </c>
      <c r="G338" s="1" t="s">
        <v>69</v>
      </c>
      <c r="H338" s="1" t="s">
        <v>2629</v>
      </c>
      <c r="I338" s="9">
        <v>19048225</v>
      </c>
      <c r="J338" s="94"/>
      <c r="K338" s="2"/>
      <c r="L338" s="2"/>
      <c r="M338" s="40">
        <f t="shared" si="16"/>
        <v>19048225</v>
      </c>
      <c r="N338" s="1">
        <v>1028181272</v>
      </c>
      <c r="O338" s="1" t="s">
        <v>3230</v>
      </c>
      <c r="P338" s="1" t="s">
        <v>2636</v>
      </c>
      <c r="Q338" s="3">
        <v>44967</v>
      </c>
      <c r="R338" s="3">
        <v>44967</v>
      </c>
      <c r="S338" s="3">
        <v>45275</v>
      </c>
      <c r="T338" s="35"/>
      <c r="U338" s="3"/>
      <c r="V338" s="3"/>
      <c r="W338" s="50"/>
      <c r="X338" s="9">
        <v>9070585</v>
      </c>
      <c r="Y338" s="9">
        <v>9977640</v>
      </c>
      <c r="Z338" s="34">
        <f t="shared" si="15"/>
        <v>0.47619056368769269</v>
      </c>
      <c r="AA338" s="1">
        <v>12545859</v>
      </c>
      <c r="AB338" s="1" t="s">
        <v>2632</v>
      </c>
      <c r="AC338" s="1"/>
      <c r="AD338" s="1"/>
      <c r="AE338" s="3"/>
      <c r="AF338" s="194" t="s">
        <v>3231</v>
      </c>
      <c r="AG338" s="15" t="s">
        <v>192</v>
      </c>
      <c r="AH338" s="15" t="s">
        <v>192</v>
      </c>
    </row>
    <row r="339" spans="1:34" s="4" customFormat="1" x14ac:dyDescent="0.25">
      <c r="A339" s="16">
        <v>891780309</v>
      </c>
      <c r="B339" s="16" t="s">
        <v>54</v>
      </c>
      <c r="C339" s="14" t="s">
        <v>2627</v>
      </c>
      <c r="D339" s="16" t="s">
        <v>60</v>
      </c>
      <c r="E339" s="1" t="s">
        <v>3232</v>
      </c>
      <c r="F339" s="16" t="s">
        <v>61</v>
      </c>
      <c r="G339" s="1" t="s">
        <v>69</v>
      </c>
      <c r="H339" s="1" t="s">
        <v>2629</v>
      </c>
      <c r="I339" s="9">
        <v>19048225</v>
      </c>
      <c r="J339" s="94"/>
      <c r="K339" s="2"/>
      <c r="L339" s="2"/>
      <c r="M339" s="40">
        <f t="shared" si="16"/>
        <v>19048225</v>
      </c>
      <c r="N339" s="1">
        <v>1007871133</v>
      </c>
      <c r="O339" s="1" t="s">
        <v>3233</v>
      </c>
      <c r="P339" s="1" t="s">
        <v>2636</v>
      </c>
      <c r="Q339" s="3">
        <v>44967</v>
      </c>
      <c r="R339" s="3">
        <v>44967</v>
      </c>
      <c r="S339" s="3">
        <v>45275</v>
      </c>
      <c r="T339" s="35"/>
      <c r="U339" s="3"/>
      <c r="V339" s="3"/>
      <c r="W339" s="50"/>
      <c r="X339" s="9">
        <v>9070585</v>
      </c>
      <c r="Y339" s="9">
        <v>9977640</v>
      </c>
      <c r="Z339" s="34">
        <f t="shared" si="15"/>
        <v>0.47619056368769269</v>
      </c>
      <c r="AA339" s="1">
        <v>12545859</v>
      </c>
      <c r="AB339" s="1" t="s">
        <v>2632</v>
      </c>
      <c r="AC339" s="1"/>
      <c r="AD339" s="1"/>
      <c r="AE339" s="3"/>
      <c r="AF339" s="194" t="s">
        <v>3234</v>
      </c>
      <c r="AG339" s="15" t="s">
        <v>192</v>
      </c>
      <c r="AH339" s="15" t="s">
        <v>192</v>
      </c>
    </row>
    <row r="340" spans="1:34" s="4" customFormat="1" x14ac:dyDescent="0.25">
      <c r="A340" s="16">
        <v>891780310</v>
      </c>
      <c r="B340" s="16" t="s">
        <v>54</v>
      </c>
      <c r="C340" s="14" t="s">
        <v>2627</v>
      </c>
      <c r="D340" s="16" t="s">
        <v>60</v>
      </c>
      <c r="E340" s="1" t="s">
        <v>3235</v>
      </c>
      <c r="F340" s="16" t="s">
        <v>61</v>
      </c>
      <c r="G340" s="1" t="s">
        <v>69</v>
      </c>
      <c r="H340" s="1" t="s">
        <v>2629</v>
      </c>
      <c r="I340" s="9">
        <v>19048225</v>
      </c>
      <c r="J340" s="94"/>
      <c r="K340" s="2"/>
      <c r="L340" s="2"/>
      <c r="M340" s="40">
        <f t="shared" si="16"/>
        <v>19048225</v>
      </c>
      <c r="N340" s="1">
        <v>87941793</v>
      </c>
      <c r="O340" s="1" t="s">
        <v>3236</v>
      </c>
      <c r="P340" s="1" t="s">
        <v>2636</v>
      </c>
      <c r="Q340" s="3">
        <v>44967</v>
      </c>
      <c r="R340" s="3">
        <v>44967</v>
      </c>
      <c r="S340" s="3">
        <v>45275</v>
      </c>
      <c r="T340" s="35"/>
      <c r="U340" s="3"/>
      <c r="V340" s="3"/>
      <c r="W340" s="50"/>
      <c r="X340" s="9">
        <v>9070585</v>
      </c>
      <c r="Y340" s="9">
        <v>9977640</v>
      </c>
      <c r="Z340" s="34">
        <f t="shared" si="15"/>
        <v>0.47619056368769269</v>
      </c>
      <c r="AA340" s="1">
        <v>12545859</v>
      </c>
      <c r="AB340" s="1" t="s">
        <v>2632</v>
      </c>
      <c r="AC340" s="1"/>
      <c r="AD340" s="1"/>
      <c r="AE340" s="3"/>
      <c r="AF340" s="194" t="s">
        <v>3237</v>
      </c>
      <c r="AG340" s="15" t="s">
        <v>192</v>
      </c>
      <c r="AH340" s="15" t="s">
        <v>192</v>
      </c>
    </row>
    <row r="341" spans="1:34" s="4" customFormat="1" x14ac:dyDescent="0.25">
      <c r="A341" s="16">
        <v>891780311</v>
      </c>
      <c r="B341" s="16" t="s">
        <v>54</v>
      </c>
      <c r="C341" s="14" t="s">
        <v>2627</v>
      </c>
      <c r="D341" s="16" t="s">
        <v>60</v>
      </c>
      <c r="E341" s="1" t="s">
        <v>3238</v>
      </c>
      <c r="F341" s="16" t="s">
        <v>61</v>
      </c>
      <c r="G341" s="1" t="s">
        <v>69</v>
      </c>
      <c r="H341" s="1" t="s">
        <v>2629</v>
      </c>
      <c r="I341" s="9">
        <v>21029244</v>
      </c>
      <c r="J341" s="94"/>
      <c r="K341" s="2"/>
      <c r="L341" s="2"/>
      <c r="M341" s="40">
        <f t="shared" si="16"/>
        <v>21029244</v>
      </c>
      <c r="N341" s="1">
        <v>1024461712</v>
      </c>
      <c r="O341" s="1" t="s">
        <v>3239</v>
      </c>
      <c r="P341" s="1" t="s">
        <v>2651</v>
      </c>
      <c r="Q341" s="3">
        <v>44967</v>
      </c>
      <c r="R341" s="3">
        <v>44967</v>
      </c>
      <c r="S341" s="3">
        <v>45275</v>
      </c>
      <c r="T341" s="35"/>
      <c r="U341" s="3"/>
      <c r="V341" s="3"/>
      <c r="W341" s="50"/>
      <c r="X341" s="9">
        <v>10013925</v>
      </c>
      <c r="Y341" s="9">
        <v>11015319</v>
      </c>
      <c r="Z341" s="34">
        <f t="shared" si="15"/>
        <v>0.47619044222417123</v>
      </c>
      <c r="AA341" s="1">
        <v>12545859</v>
      </c>
      <c r="AB341" s="1" t="s">
        <v>2632</v>
      </c>
      <c r="AC341" s="1"/>
      <c r="AD341" s="1"/>
      <c r="AE341" s="3"/>
      <c r="AF341" s="194" t="s">
        <v>3240</v>
      </c>
      <c r="AG341" s="15" t="s">
        <v>192</v>
      </c>
      <c r="AH341" s="15" t="s">
        <v>192</v>
      </c>
    </row>
    <row r="342" spans="1:34" s="4" customFormat="1" x14ac:dyDescent="0.25">
      <c r="A342" s="16">
        <v>891780312</v>
      </c>
      <c r="B342" s="16" t="s">
        <v>54</v>
      </c>
      <c r="C342" s="14" t="s">
        <v>2627</v>
      </c>
      <c r="D342" s="16" t="s">
        <v>60</v>
      </c>
      <c r="E342" s="1" t="s">
        <v>3241</v>
      </c>
      <c r="F342" s="16" t="s">
        <v>61</v>
      </c>
      <c r="G342" s="1" t="s">
        <v>69</v>
      </c>
      <c r="H342" s="1" t="s">
        <v>2629</v>
      </c>
      <c r="I342" s="9">
        <v>19425415</v>
      </c>
      <c r="J342" s="94"/>
      <c r="K342" s="2"/>
      <c r="L342" s="2"/>
      <c r="M342" s="40">
        <f t="shared" si="16"/>
        <v>19425415</v>
      </c>
      <c r="N342" s="1">
        <v>1087119959</v>
      </c>
      <c r="O342" s="1" t="s">
        <v>3242</v>
      </c>
      <c r="P342" s="1" t="s">
        <v>2651</v>
      </c>
      <c r="Q342" s="3">
        <v>44967</v>
      </c>
      <c r="R342" s="3">
        <v>44967</v>
      </c>
      <c r="S342" s="3">
        <v>45275</v>
      </c>
      <c r="T342" s="35"/>
      <c r="U342" s="3"/>
      <c r="V342" s="3"/>
      <c r="W342" s="50"/>
      <c r="X342" s="9">
        <v>9250200</v>
      </c>
      <c r="Y342" s="9">
        <v>10175215</v>
      </c>
      <c r="Z342" s="34">
        <f t="shared" si="15"/>
        <v>0.47619059875940872</v>
      </c>
      <c r="AA342" s="1">
        <v>12545859</v>
      </c>
      <c r="AB342" s="1" t="s">
        <v>2632</v>
      </c>
      <c r="AC342" s="1"/>
      <c r="AD342" s="1"/>
      <c r="AE342" s="3"/>
      <c r="AF342" s="194" t="s">
        <v>3243</v>
      </c>
      <c r="AG342" s="15" t="s">
        <v>192</v>
      </c>
      <c r="AH342" s="15" t="s">
        <v>192</v>
      </c>
    </row>
    <row r="343" spans="1:34" s="4" customFormat="1" x14ac:dyDescent="0.25">
      <c r="A343" s="16">
        <v>891780313</v>
      </c>
      <c r="B343" s="16" t="s">
        <v>54</v>
      </c>
      <c r="C343" s="14" t="s">
        <v>2627</v>
      </c>
      <c r="D343" s="16" t="s">
        <v>60</v>
      </c>
      <c r="E343" s="1" t="s">
        <v>3244</v>
      </c>
      <c r="F343" s="16" t="s">
        <v>61</v>
      </c>
      <c r="G343" s="1" t="s">
        <v>69</v>
      </c>
      <c r="H343" s="1" t="s">
        <v>2629</v>
      </c>
      <c r="I343" s="9">
        <v>19425415</v>
      </c>
      <c r="J343" s="94"/>
      <c r="K343" s="2"/>
      <c r="L343" s="2"/>
      <c r="M343" s="40">
        <f t="shared" si="16"/>
        <v>19425415</v>
      </c>
      <c r="N343" s="1">
        <v>1087109679</v>
      </c>
      <c r="O343" s="1" t="s">
        <v>3245</v>
      </c>
      <c r="P343" s="1" t="s">
        <v>2651</v>
      </c>
      <c r="Q343" s="3">
        <v>44967</v>
      </c>
      <c r="R343" s="3">
        <v>44967</v>
      </c>
      <c r="S343" s="3">
        <v>45275</v>
      </c>
      <c r="T343" s="35"/>
      <c r="U343" s="3"/>
      <c r="V343" s="3"/>
      <c r="W343" s="50"/>
      <c r="X343" s="9">
        <v>9250200</v>
      </c>
      <c r="Y343" s="9">
        <v>10175215</v>
      </c>
      <c r="Z343" s="34">
        <f t="shared" si="15"/>
        <v>0.47619059875940872</v>
      </c>
      <c r="AA343" s="1">
        <v>12545859</v>
      </c>
      <c r="AB343" s="1" t="s">
        <v>2632</v>
      </c>
      <c r="AC343" s="1"/>
      <c r="AD343" s="1"/>
      <c r="AE343" s="3"/>
      <c r="AF343" s="194" t="s">
        <v>3246</v>
      </c>
      <c r="AG343" s="15" t="s">
        <v>192</v>
      </c>
      <c r="AH343" s="15" t="s">
        <v>192</v>
      </c>
    </row>
    <row r="344" spans="1:34" s="4" customFormat="1" x14ac:dyDescent="0.25">
      <c r="A344" s="16">
        <v>891780314</v>
      </c>
      <c r="B344" s="16" t="s">
        <v>54</v>
      </c>
      <c r="C344" s="14" t="s">
        <v>2627</v>
      </c>
      <c r="D344" s="16" t="s">
        <v>60</v>
      </c>
      <c r="E344" s="1" t="s">
        <v>3247</v>
      </c>
      <c r="F344" s="16" t="s">
        <v>61</v>
      </c>
      <c r="G344" s="1" t="s">
        <v>69</v>
      </c>
      <c r="H344" s="1" t="s">
        <v>2629</v>
      </c>
      <c r="I344" s="9">
        <v>19425415</v>
      </c>
      <c r="J344" s="94"/>
      <c r="K344" s="2"/>
      <c r="L344" s="2"/>
      <c r="M344" s="40">
        <f t="shared" si="16"/>
        <v>19425415</v>
      </c>
      <c r="N344" s="1">
        <v>1111793216</v>
      </c>
      <c r="O344" s="1" t="s">
        <v>3248</v>
      </c>
      <c r="P344" s="1" t="s">
        <v>2636</v>
      </c>
      <c r="Q344" s="3">
        <v>44967</v>
      </c>
      <c r="R344" s="3">
        <v>44967</v>
      </c>
      <c r="S344" s="3">
        <v>45275</v>
      </c>
      <c r="T344" s="35"/>
      <c r="U344" s="3"/>
      <c r="V344" s="3"/>
      <c r="W344" s="50"/>
      <c r="X344" s="9">
        <v>9250200</v>
      </c>
      <c r="Y344" s="9">
        <v>10175215</v>
      </c>
      <c r="Z344" s="34">
        <f t="shared" si="15"/>
        <v>0.47619059875940872</v>
      </c>
      <c r="AA344" s="1">
        <v>12545859</v>
      </c>
      <c r="AB344" s="1" t="s">
        <v>2632</v>
      </c>
      <c r="AC344" s="1"/>
      <c r="AD344" s="1"/>
      <c r="AE344" s="3"/>
      <c r="AF344" s="194" t="s">
        <v>3249</v>
      </c>
      <c r="AG344" s="15" t="s">
        <v>192</v>
      </c>
      <c r="AH344" s="15" t="s">
        <v>192</v>
      </c>
    </row>
    <row r="345" spans="1:34" s="4" customFormat="1" x14ac:dyDescent="0.25">
      <c r="A345" s="16">
        <v>891780315</v>
      </c>
      <c r="B345" s="16" t="s">
        <v>54</v>
      </c>
      <c r="C345" s="14" t="s">
        <v>2627</v>
      </c>
      <c r="D345" s="16" t="s">
        <v>60</v>
      </c>
      <c r="E345" s="1" t="s">
        <v>3250</v>
      </c>
      <c r="F345" s="16" t="s">
        <v>61</v>
      </c>
      <c r="G345" s="1" t="s">
        <v>69</v>
      </c>
      <c r="H345" s="1" t="s">
        <v>2629</v>
      </c>
      <c r="I345" s="9">
        <v>19048225</v>
      </c>
      <c r="J345" s="94"/>
      <c r="K345" s="2"/>
      <c r="L345" s="2"/>
      <c r="M345" s="40">
        <f t="shared" si="16"/>
        <v>19048225</v>
      </c>
      <c r="N345" s="1">
        <v>1087209321</v>
      </c>
      <c r="O345" s="1" t="s">
        <v>3251</v>
      </c>
      <c r="P345" s="1" t="s">
        <v>2636</v>
      </c>
      <c r="Q345" s="3">
        <v>44967</v>
      </c>
      <c r="R345" s="3">
        <v>44967</v>
      </c>
      <c r="S345" s="3">
        <v>45275</v>
      </c>
      <c r="T345" s="35"/>
      <c r="U345" s="3"/>
      <c r="V345" s="3"/>
      <c r="W345" s="50"/>
      <c r="X345" s="9">
        <v>9070585</v>
      </c>
      <c r="Y345" s="9">
        <v>9977640</v>
      </c>
      <c r="Z345" s="34">
        <f t="shared" si="15"/>
        <v>0.47619056368769269</v>
      </c>
      <c r="AA345" s="1">
        <v>12545859</v>
      </c>
      <c r="AB345" s="1" t="s">
        <v>2632</v>
      </c>
      <c r="AC345" s="1"/>
      <c r="AD345" s="1"/>
      <c r="AE345" s="3"/>
      <c r="AF345" s="194" t="s">
        <v>3252</v>
      </c>
      <c r="AG345" s="15" t="s">
        <v>192</v>
      </c>
      <c r="AH345" s="15" t="s">
        <v>192</v>
      </c>
    </row>
    <row r="346" spans="1:34" s="4" customFormat="1" x14ac:dyDescent="0.25">
      <c r="A346" s="16">
        <v>891780316</v>
      </c>
      <c r="B346" s="16" t="s">
        <v>54</v>
      </c>
      <c r="C346" s="14" t="s">
        <v>2627</v>
      </c>
      <c r="D346" s="16" t="s">
        <v>60</v>
      </c>
      <c r="E346" s="1" t="s">
        <v>3253</v>
      </c>
      <c r="F346" s="16" t="s">
        <v>61</v>
      </c>
      <c r="G346" s="1" t="s">
        <v>69</v>
      </c>
      <c r="H346" s="1" t="s">
        <v>2629</v>
      </c>
      <c r="I346" s="9">
        <v>19048225</v>
      </c>
      <c r="J346" s="94"/>
      <c r="K346" s="2"/>
      <c r="L346" s="2"/>
      <c r="M346" s="40">
        <f t="shared" si="16"/>
        <v>19048225</v>
      </c>
      <c r="N346" s="1">
        <v>1097035291</v>
      </c>
      <c r="O346" s="1" t="s">
        <v>3254</v>
      </c>
      <c r="P346" s="1" t="s">
        <v>2636</v>
      </c>
      <c r="Q346" s="3">
        <v>44967</v>
      </c>
      <c r="R346" s="3">
        <v>44967</v>
      </c>
      <c r="S346" s="3">
        <v>45275</v>
      </c>
      <c r="T346" s="35"/>
      <c r="U346" s="3"/>
      <c r="V346" s="3"/>
      <c r="W346" s="50"/>
      <c r="X346" s="9">
        <v>9070585</v>
      </c>
      <c r="Y346" s="9">
        <v>9977640</v>
      </c>
      <c r="Z346" s="34">
        <f t="shared" si="15"/>
        <v>0.47619056368769269</v>
      </c>
      <c r="AA346" s="1">
        <v>12545859</v>
      </c>
      <c r="AB346" s="1" t="s">
        <v>2632</v>
      </c>
      <c r="AC346" s="1"/>
      <c r="AD346" s="1"/>
      <c r="AE346" s="3"/>
      <c r="AF346" s="194" t="s">
        <v>3255</v>
      </c>
      <c r="AG346" s="15" t="s">
        <v>192</v>
      </c>
      <c r="AH346" s="15" t="s">
        <v>192</v>
      </c>
    </row>
    <row r="347" spans="1:34" s="4" customFormat="1" x14ac:dyDescent="0.25">
      <c r="A347" s="16">
        <v>891780317</v>
      </c>
      <c r="B347" s="16" t="s">
        <v>54</v>
      </c>
      <c r="C347" s="14" t="s">
        <v>2627</v>
      </c>
      <c r="D347" s="16" t="s">
        <v>60</v>
      </c>
      <c r="E347" s="1" t="s">
        <v>3256</v>
      </c>
      <c r="F347" s="16" t="s">
        <v>61</v>
      </c>
      <c r="G347" s="1" t="s">
        <v>69</v>
      </c>
      <c r="H347" s="1" t="s">
        <v>2629</v>
      </c>
      <c r="I347" s="9">
        <v>19425415</v>
      </c>
      <c r="J347" s="94"/>
      <c r="K347" s="2"/>
      <c r="L347" s="2"/>
      <c r="M347" s="40">
        <f t="shared" si="16"/>
        <v>19425415</v>
      </c>
      <c r="N347" s="1">
        <v>1111779001</v>
      </c>
      <c r="O347" s="1" t="s">
        <v>3257</v>
      </c>
      <c r="P347" s="1" t="s">
        <v>2636</v>
      </c>
      <c r="Q347" s="3">
        <v>44967</v>
      </c>
      <c r="R347" s="3">
        <v>44967</v>
      </c>
      <c r="S347" s="3">
        <v>45275</v>
      </c>
      <c r="T347" s="35"/>
      <c r="U347" s="3"/>
      <c r="V347" s="3"/>
      <c r="W347" s="50"/>
      <c r="X347" s="9">
        <v>9250200</v>
      </c>
      <c r="Y347" s="9">
        <v>10175215</v>
      </c>
      <c r="Z347" s="34">
        <f t="shared" si="15"/>
        <v>0.47619059875940872</v>
      </c>
      <c r="AA347" s="1">
        <v>12545859</v>
      </c>
      <c r="AB347" s="1" t="s">
        <v>2632</v>
      </c>
      <c r="AC347" s="1"/>
      <c r="AD347" s="1"/>
      <c r="AE347" s="3"/>
      <c r="AF347" s="194" t="s">
        <v>3258</v>
      </c>
      <c r="AG347" s="15" t="s">
        <v>192</v>
      </c>
      <c r="AH347" s="15" t="s">
        <v>192</v>
      </c>
    </row>
    <row r="348" spans="1:34" s="4" customFormat="1" x14ac:dyDescent="0.25">
      <c r="A348" s="16">
        <v>891780318</v>
      </c>
      <c r="B348" s="16" t="s">
        <v>54</v>
      </c>
      <c r="C348" s="14" t="s">
        <v>2627</v>
      </c>
      <c r="D348" s="16" t="s">
        <v>60</v>
      </c>
      <c r="E348" s="1" t="s">
        <v>3259</v>
      </c>
      <c r="F348" s="16" t="s">
        <v>61</v>
      </c>
      <c r="G348" s="1" t="s">
        <v>69</v>
      </c>
      <c r="H348" s="1" t="s">
        <v>2629</v>
      </c>
      <c r="I348" s="9">
        <v>19425415</v>
      </c>
      <c r="J348" s="94"/>
      <c r="K348" s="2"/>
      <c r="L348" s="2"/>
      <c r="M348" s="40">
        <f t="shared" si="16"/>
        <v>19425415</v>
      </c>
      <c r="N348" s="1">
        <v>1111771690</v>
      </c>
      <c r="O348" s="1" t="s">
        <v>3260</v>
      </c>
      <c r="P348" s="1" t="s">
        <v>2651</v>
      </c>
      <c r="Q348" s="3">
        <v>44967</v>
      </c>
      <c r="R348" s="3">
        <v>44967</v>
      </c>
      <c r="S348" s="3">
        <v>45275</v>
      </c>
      <c r="T348" s="35"/>
      <c r="U348" s="3"/>
      <c r="V348" s="3"/>
      <c r="W348" s="50"/>
      <c r="X348" s="9">
        <v>9250200</v>
      </c>
      <c r="Y348" s="9">
        <v>10175215</v>
      </c>
      <c r="Z348" s="34">
        <f t="shared" si="15"/>
        <v>0.47619059875940872</v>
      </c>
      <c r="AA348" s="1">
        <v>12545859</v>
      </c>
      <c r="AB348" s="1" t="s">
        <v>2632</v>
      </c>
      <c r="AC348" s="1"/>
      <c r="AD348" s="1"/>
      <c r="AE348" s="3"/>
      <c r="AF348" s="194" t="s">
        <v>3261</v>
      </c>
      <c r="AG348" s="15" t="s">
        <v>192</v>
      </c>
      <c r="AH348" s="15" t="s">
        <v>192</v>
      </c>
    </row>
    <row r="349" spans="1:34" s="4" customFormat="1" x14ac:dyDescent="0.25">
      <c r="A349" s="16">
        <v>891780319</v>
      </c>
      <c r="B349" s="16" t="s">
        <v>54</v>
      </c>
      <c r="C349" s="14" t="s">
        <v>2627</v>
      </c>
      <c r="D349" s="16" t="s">
        <v>60</v>
      </c>
      <c r="E349" s="1" t="s">
        <v>3262</v>
      </c>
      <c r="F349" s="16" t="s">
        <v>61</v>
      </c>
      <c r="G349" s="1" t="s">
        <v>69</v>
      </c>
      <c r="H349" s="1" t="s">
        <v>2629</v>
      </c>
      <c r="I349" s="9">
        <v>19048225</v>
      </c>
      <c r="J349" s="94"/>
      <c r="K349" s="2"/>
      <c r="L349" s="2"/>
      <c r="M349" s="40">
        <f t="shared" si="16"/>
        <v>19048225</v>
      </c>
      <c r="N349" s="1">
        <v>1003152495</v>
      </c>
      <c r="O349" s="1" t="s">
        <v>3263</v>
      </c>
      <c r="P349" s="1" t="s">
        <v>2636</v>
      </c>
      <c r="Q349" s="3">
        <v>44967</v>
      </c>
      <c r="R349" s="3">
        <v>44967</v>
      </c>
      <c r="S349" s="3">
        <v>45275</v>
      </c>
      <c r="T349" s="35"/>
      <c r="U349" s="3"/>
      <c r="V349" s="3"/>
      <c r="W349" s="50"/>
      <c r="X349" s="9">
        <v>9070585</v>
      </c>
      <c r="Y349" s="9">
        <v>9977640</v>
      </c>
      <c r="Z349" s="34">
        <f t="shared" si="15"/>
        <v>0.47619056368769269</v>
      </c>
      <c r="AA349" s="1">
        <v>12545859</v>
      </c>
      <c r="AB349" s="1" t="s">
        <v>2632</v>
      </c>
      <c r="AC349" s="1"/>
      <c r="AD349" s="1"/>
      <c r="AE349" s="3"/>
      <c r="AF349" s="194" t="s">
        <v>3264</v>
      </c>
      <c r="AG349" s="15" t="s">
        <v>192</v>
      </c>
      <c r="AH349" s="15" t="s">
        <v>192</v>
      </c>
    </row>
    <row r="350" spans="1:34" s="4" customFormat="1" x14ac:dyDescent="0.25">
      <c r="A350" s="16">
        <v>891780320</v>
      </c>
      <c r="B350" s="16" t="s">
        <v>54</v>
      </c>
      <c r="C350" s="14" t="s">
        <v>2627</v>
      </c>
      <c r="D350" s="16" t="s">
        <v>60</v>
      </c>
      <c r="E350" s="1" t="s">
        <v>3265</v>
      </c>
      <c r="F350" s="16" t="s">
        <v>61</v>
      </c>
      <c r="G350" s="1" t="s">
        <v>69</v>
      </c>
      <c r="H350" s="1" t="s">
        <v>2629</v>
      </c>
      <c r="I350" s="9">
        <v>19425415</v>
      </c>
      <c r="J350" s="94"/>
      <c r="K350" s="2"/>
      <c r="L350" s="2"/>
      <c r="M350" s="40">
        <f t="shared" si="16"/>
        <v>19425415</v>
      </c>
      <c r="N350" s="1">
        <v>38469252</v>
      </c>
      <c r="O350" s="1" t="s">
        <v>3266</v>
      </c>
      <c r="P350" s="1" t="s">
        <v>2651</v>
      </c>
      <c r="Q350" s="3">
        <v>44967</v>
      </c>
      <c r="R350" s="3">
        <v>44967</v>
      </c>
      <c r="S350" s="3">
        <v>45275</v>
      </c>
      <c r="T350" s="35"/>
      <c r="U350" s="3"/>
      <c r="V350" s="3"/>
      <c r="W350" s="50"/>
      <c r="X350" s="9">
        <v>9250200</v>
      </c>
      <c r="Y350" s="9">
        <v>10175215</v>
      </c>
      <c r="Z350" s="34">
        <f t="shared" si="15"/>
        <v>0.47619059875940872</v>
      </c>
      <c r="AA350" s="1">
        <v>12545859</v>
      </c>
      <c r="AB350" s="1" t="s">
        <v>2632</v>
      </c>
      <c r="AC350" s="1"/>
      <c r="AD350" s="1"/>
      <c r="AE350" s="3"/>
      <c r="AF350" s="194" t="s">
        <v>3267</v>
      </c>
      <c r="AG350" s="15" t="s">
        <v>192</v>
      </c>
      <c r="AH350" s="15" t="s">
        <v>192</v>
      </c>
    </row>
    <row r="351" spans="1:34" s="4" customFormat="1" x14ac:dyDescent="0.25">
      <c r="A351" s="16">
        <v>891780321</v>
      </c>
      <c r="B351" s="16" t="s">
        <v>54</v>
      </c>
      <c r="C351" s="14" t="s">
        <v>2627</v>
      </c>
      <c r="D351" s="16" t="s">
        <v>60</v>
      </c>
      <c r="E351" s="1" t="s">
        <v>3268</v>
      </c>
      <c r="F351" s="16" t="s">
        <v>61</v>
      </c>
      <c r="G351" s="1" t="s">
        <v>69</v>
      </c>
      <c r="H351" s="1" t="s">
        <v>2629</v>
      </c>
      <c r="I351" s="9">
        <v>19048225</v>
      </c>
      <c r="J351" s="94"/>
      <c r="K351" s="2"/>
      <c r="L351" s="2"/>
      <c r="M351" s="40">
        <f t="shared" si="16"/>
        <v>19048225</v>
      </c>
      <c r="N351" s="1">
        <v>1087116192</v>
      </c>
      <c r="O351" s="1" t="s">
        <v>3269</v>
      </c>
      <c r="P351" s="1" t="s">
        <v>2636</v>
      </c>
      <c r="Q351" s="3">
        <v>44967</v>
      </c>
      <c r="R351" s="3">
        <v>44967</v>
      </c>
      <c r="S351" s="3">
        <v>45275</v>
      </c>
      <c r="T351" s="35"/>
      <c r="U351" s="3"/>
      <c r="V351" s="3"/>
      <c r="W351" s="50"/>
      <c r="X351" s="9">
        <v>1814117</v>
      </c>
      <c r="Y351" s="9">
        <v>17234108</v>
      </c>
      <c r="Z351" s="34">
        <f t="shared" si="15"/>
        <v>9.5238112737538544E-2</v>
      </c>
      <c r="AA351" s="1">
        <v>12545859</v>
      </c>
      <c r="AB351" s="1" t="s">
        <v>2632</v>
      </c>
      <c r="AC351" s="1"/>
      <c r="AD351" s="1"/>
      <c r="AE351" s="3"/>
      <c r="AF351" s="194" t="s">
        <v>3270</v>
      </c>
      <c r="AG351" s="15" t="s">
        <v>192</v>
      </c>
      <c r="AH351" s="15" t="s">
        <v>192</v>
      </c>
    </row>
    <row r="352" spans="1:34" s="4" customFormat="1" x14ac:dyDescent="0.25">
      <c r="A352" s="16">
        <v>891780322</v>
      </c>
      <c r="B352" s="16" t="s">
        <v>54</v>
      </c>
      <c r="C352" s="14" t="s">
        <v>2627</v>
      </c>
      <c r="D352" s="16" t="s">
        <v>60</v>
      </c>
      <c r="E352" s="1" t="s">
        <v>3271</v>
      </c>
      <c r="F352" s="16" t="s">
        <v>61</v>
      </c>
      <c r="G352" s="1" t="s">
        <v>69</v>
      </c>
      <c r="H352" s="1" t="s">
        <v>2629</v>
      </c>
      <c r="I352" s="9">
        <v>19048225</v>
      </c>
      <c r="J352" s="94"/>
      <c r="K352" s="2"/>
      <c r="L352" s="2"/>
      <c r="M352" s="40">
        <f t="shared" si="16"/>
        <v>19048225</v>
      </c>
      <c r="N352" s="1">
        <v>1111781674</v>
      </c>
      <c r="O352" s="1" t="s">
        <v>3272</v>
      </c>
      <c r="P352" s="1" t="s">
        <v>2636</v>
      </c>
      <c r="Q352" s="3">
        <v>44967</v>
      </c>
      <c r="R352" s="3">
        <v>44967</v>
      </c>
      <c r="S352" s="3">
        <v>45275</v>
      </c>
      <c r="T352" s="35"/>
      <c r="U352" s="3"/>
      <c r="V352" s="3"/>
      <c r="W352" s="50"/>
      <c r="X352" s="9">
        <v>9070585</v>
      </c>
      <c r="Y352" s="9">
        <v>9977640</v>
      </c>
      <c r="Z352" s="34">
        <f t="shared" si="15"/>
        <v>0.47619056368769269</v>
      </c>
      <c r="AA352" s="1">
        <v>12545859</v>
      </c>
      <c r="AB352" s="1" t="s">
        <v>2632</v>
      </c>
      <c r="AC352" s="1"/>
      <c r="AD352" s="1"/>
      <c r="AE352" s="3"/>
      <c r="AF352" s="194" t="s">
        <v>3273</v>
      </c>
      <c r="AG352" s="15" t="s">
        <v>192</v>
      </c>
      <c r="AH352" s="15" t="s">
        <v>192</v>
      </c>
    </row>
    <row r="353" spans="1:34" s="4" customFormat="1" x14ac:dyDescent="0.25">
      <c r="A353" s="16">
        <v>891780323</v>
      </c>
      <c r="B353" s="16" t="s">
        <v>54</v>
      </c>
      <c r="C353" s="14" t="s">
        <v>2627</v>
      </c>
      <c r="D353" s="16" t="s">
        <v>60</v>
      </c>
      <c r="E353" s="1" t="s">
        <v>3274</v>
      </c>
      <c r="F353" s="16" t="s">
        <v>61</v>
      </c>
      <c r="G353" s="1" t="s">
        <v>69</v>
      </c>
      <c r="H353" s="1" t="s">
        <v>2629</v>
      </c>
      <c r="I353" s="9">
        <v>27280225</v>
      </c>
      <c r="J353" s="94"/>
      <c r="K353" s="2"/>
      <c r="L353" s="2"/>
      <c r="M353" s="40">
        <f t="shared" si="16"/>
        <v>27280225</v>
      </c>
      <c r="N353" s="1">
        <v>1028182964</v>
      </c>
      <c r="O353" s="1" t="s">
        <v>3275</v>
      </c>
      <c r="P353" s="1" t="s">
        <v>2918</v>
      </c>
      <c r="Q353" s="3">
        <v>44967</v>
      </c>
      <c r="R353" s="3">
        <v>44967</v>
      </c>
      <c r="S353" s="3">
        <v>45275</v>
      </c>
      <c r="T353" s="35"/>
      <c r="U353" s="3"/>
      <c r="V353" s="3"/>
      <c r="W353" s="50"/>
      <c r="X353" s="9">
        <v>12990585</v>
      </c>
      <c r="Y353" s="9">
        <v>14289640</v>
      </c>
      <c r="Z353" s="34">
        <f t="shared" si="15"/>
        <v>0.47619053728479144</v>
      </c>
      <c r="AA353" s="1">
        <v>12545859</v>
      </c>
      <c r="AB353" s="1" t="s">
        <v>2632</v>
      </c>
      <c r="AC353" s="1"/>
      <c r="AD353" s="1"/>
      <c r="AE353" s="3"/>
      <c r="AF353" s="194" t="s">
        <v>3276</v>
      </c>
      <c r="AG353" s="15" t="s">
        <v>192</v>
      </c>
      <c r="AH353" s="15" t="s">
        <v>192</v>
      </c>
    </row>
    <row r="354" spans="1:34" s="4" customFormat="1" x14ac:dyDescent="0.25">
      <c r="A354" s="16">
        <v>891780324</v>
      </c>
      <c r="B354" s="16" t="s">
        <v>54</v>
      </c>
      <c r="C354" s="14" t="s">
        <v>2627</v>
      </c>
      <c r="D354" s="16" t="s">
        <v>60</v>
      </c>
      <c r="E354" s="1" t="s">
        <v>3277</v>
      </c>
      <c r="F354" s="16" t="s">
        <v>61</v>
      </c>
      <c r="G354" s="1" t="s">
        <v>69</v>
      </c>
      <c r="H354" s="1" t="s">
        <v>2629</v>
      </c>
      <c r="I354" s="9">
        <v>19236820</v>
      </c>
      <c r="J354" s="94"/>
      <c r="K354" s="2"/>
      <c r="L354" s="2"/>
      <c r="M354" s="40">
        <f t="shared" si="16"/>
        <v>19236820</v>
      </c>
      <c r="N354" s="1">
        <v>34678739</v>
      </c>
      <c r="O354" s="1" t="s">
        <v>3278</v>
      </c>
      <c r="P354" s="1" t="s">
        <v>2636</v>
      </c>
      <c r="Q354" s="3">
        <v>44967</v>
      </c>
      <c r="R354" s="3">
        <v>44967</v>
      </c>
      <c r="S354" s="3">
        <v>45275</v>
      </c>
      <c r="T354" s="35"/>
      <c r="U354" s="3"/>
      <c r="V354" s="3"/>
      <c r="W354" s="50"/>
      <c r="X354" s="9">
        <v>9160390</v>
      </c>
      <c r="Y354" s="9">
        <v>10076430</v>
      </c>
      <c r="Z354" s="34">
        <f t="shared" si="15"/>
        <v>0.47619045143636007</v>
      </c>
      <c r="AA354" s="1">
        <v>12545859</v>
      </c>
      <c r="AB354" s="1" t="s">
        <v>2632</v>
      </c>
      <c r="AC354" s="1"/>
      <c r="AD354" s="1"/>
      <c r="AE354" s="3"/>
      <c r="AF354" s="194" t="s">
        <v>3279</v>
      </c>
      <c r="AG354" s="15" t="s">
        <v>192</v>
      </c>
      <c r="AH354" s="15" t="s">
        <v>192</v>
      </c>
    </row>
    <row r="355" spans="1:34" s="4" customFormat="1" x14ac:dyDescent="0.25">
      <c r="A355" s="16">
        <v>891780325</v>
      </c>
      <c r="B355" s="16" t="s">
        <v>54</v>
      </c>
      <c r="C355" s="14" t="s">
        <v>2627</v>
      </c>
      <c r="D355" s="16" t="s">
        <v>60</v>
      </c>
      <c r="E355" s="1" t="s">
        <v>3280</v>
      </c>
      <c r="F355" s="16" t="s">
        <v>61</v>
      </c>
      <c r="G355" s="1" t="s">
        <v>69</v>
      </c>
      <c r="H355" s="1" t="s">
        <v>2629</v>
      </c>
      <c r="I355" s="9">
        <v>19425415</v>
      </c>
      <c r="J355" s="94"/>
      <c r="K355" s="2"/>
      <c r="L355" s="2"/>
      <c r="M355" s="40">
        <f t="shared" si="16"/>
        <v>19425415</v>
      </c>
      <c r="N355" s="1">
        <v>16496548</v>
      </c>
      <c r="O355" s="1" t="s">
        <v>3281</v>
      </c>
      <c r="P355" s="1" t="s">
        <v>2651</v>
      </c>
      <c r="Q355" s="3">
        <v>44967</v>
      </c>
      <c r="R355" s="3">
        <v>44967</v>
      </c>
      <c r="S355" s="3">
        <v>45275</v>
      </c>
      <c r="T355" s="35"/>
      <c r="U355" s="3"/>
      <c r="V355" s="3"/>
      <c r="W355" s="50"/>
      <c r="X355" s="9">
        <v>9250200</v>
      </c>
      <c r="Y355" s="9">
        <v>10175215</v>
      </c>
      <c r="Z355" s="34">
        <f t="shared" si="15"/>
        <v>0.47619059875940872</v>
      </c>
      <c r="AA355" s="1">
        <v>12545859</v>
      </c>
      <c r="AB355" s="1" t="s">
        <v>2632</v>
      </c>
      <c r="AC355" s="1"/>
      <c r="AD355" s="1"/>
      <c r="AE355" s="3"/>
      <c r="AF355" s="194" t="s">
        <v>3279</v>
      </c>
      <c r="AG355" s="15" t="s">
        <v>192</v>
      </c>
      <c r="AH355" s="15" t="s">
        <v>192</v>
      </c>
    </row>
    <row r="356" spans="1:34" s="4" customFormat="1" x14ac:dyDescent="0.25">
      <c r="A356" s="16">
        <v>891780326</v>
      </c>
      <c r="B356" s="16" t="s">
        <v>54</v>
      </c>
      <c r="C356" s="14" t="s">
        <v>2627</v>
      </c>
      <c r="D356" s="16" t="s">
        <v>60</v>
      </c>
      <c r="E356" s="1" t="s">
        <v>3282</v>
      </c>
      <c r="F356" s="16" t="s">
        <v>61</v>
      </c>
      <c r="G356" s="1" t="s">
        <v>69</v>
      </c>
      <c r="H356" s="1" t="s">
        <v>2629</v>
      </c>
      <c r="I356" s="9">
        <v>19425415</v>
      </c>
      <c r="J356" s="94"/>
      <c r="K356" s="2"/>
      <c r="L356" s="2"/>
      <c r="M356" s="40">
        <f t="shared" si="16"/>
        <v>19425415</v>
      </c>
      <c r="N356" s="1">
        <v>1089802320</v>
      </c>
      <c r="O356" s="1" t="s">
        <v>3283</v>
      </c>
      <c r="P356" s="1" t="s">
        <v>2651</v>
      </c>
      <c r="Q356" s="3">
        <v>44967</v>
      </c>
      <c r="R356" s="3">
        <v>44967</v>
      </c>
      <c r="S356" s="3">
        <v>45275</v>
      </c>
      <c r="T356" s="35"/>
      <c r="U356" s="3"/>
      <c r="V356" s="3"/>
      <c r="W356" s="50"/>
      <c r="X356" s="9">
        <v>9250200</v>
      </c>
      <c r="Y356" s="9">
        <v>10175215</v>
      </c>
      <c r="Z356" s="34">
        <f t="shared" si="15"/>
        <v>0.47619059875940872</v>
      </c>
      <c r="AA356" s="1">
        <v>12545859</v>
      </c>
      <c r="AB356" s="1" t="s">
        <v>2632</v>
      </c>
      <c r="AC356" s="1"/>
      <c r="AD356" s="1"/>
      <c r="AE356" s="3"/>
      <c r="AF356" s="194" t="s">
        <v>3284</v>
      </c>
      <c r="AG356" s="15" t="s">
        <v>192</v>
      </c>
      <c r="AH356" s="15"/>
    </row>
    <row r="357" spans="1:34" s="4" customFormat="1" x14ac:dyDescent="0.25">
      <c r="A357" s="16">
        <v>891780327</v>
      </c>
      <c r="B357" s="16" t="s">
        <v>54</v>
      </c>
      <c r="C357" s="14" t="s">
        <v>2627</v>
      </c>
      <c r="D357" s="16" t="s">
        <v>60</v>
      </c>
      <c r="E357" s="1" t="s">
        <v>3285</v>
      </c>
      <c r="F357" s="16" t="s">
        <v>61</v>
      </c>
      <c r="G357" s="1" t="s">
        <v>69</v>
      </c>
      <c r="H357" s="1" t="s">
        <v>2629</v>
      </c>
      <c r="I357" s="9">
        <v>19425415</v>
      </c>
      <c r="J357" s="94"/>
      <c r="K357" s="2"/>
      <c r="L357" s="2"/>
      <c r="M357" s="40">
        <f t="shared" si="16"/>
        <v>19425415</v>
      </c>
      <c r="N357" s="1">
        <v>87945062</v>
      </c>
      <c r="O357" s="1" t="s">
        <v>3286</v>
      </c>
      <c r="P357" s="1" t="s">
        <v>2651</v>
      </c>
      <c r="Q357" s="3">
        <v>44967</v>
      </c>
      <c r="R357" s="3">
        <v>44967</v>
      </c>
      <c r="S357" s="3">
        <v>45275</v>
      </c>
      <c r="T357" s="35"/>
      <c r="U357" s="3"/>
      <c r="V357" s="3"/>
      <c r="W357" s="50"/>
      <c r="X357" s="9">
        <v>9250200</v>
      </c>
      <c r="Y357" s="9">
        <v>10175215</v>
      </c>
      <c r="Z357" s="34">
        <f t="shared" si="15"/>
        <v>0.47619059875940872</v>
      </c>
      <c r="AA357" s="1">
        <v>12545859</v>
      </c>
      <c r="AB357" s="1" t="s">
        <v>2632</v>
      </c>
      <c r="AC357" s="1"/>
      <c r="AD357" s="1"/>
      <c r="AE357" s="3"/>
      <c r="AF357" s="194" t="s">
        <v>3287</v>
      </c>
      <c r="AG357" s="15" t="s">
        <v>192</v>
      </c>
      <c r="AH357" s="15" t="s">
        <v>192</v>
      </c>
    </row>
    <row r="358" spans="1:34" s="4" customFormat="1" x14ac:dyDescent="0.25">
      <c r="A358" s="16">
        <v>891780328</v>
      </c>
      <c r="B358" s="16" t="s">
        <v>54</v>
      </c>
      <c r="C358" s="14" t="s">
        <v>2627</v>
      </c>
      <c r="D358" s="16" t="s">
        <v>60</v>
      </c>
      <c r="E358" s="1" t="s">
        <v>3288</v>
      </c>
      <c r="F358" s="16" t="s">
        <v>61</v>
      </c>
      <c r="G358" s="1" t="s">
        <v>69</v>
      </c>
      <c r="H358" s="1" t="s">
        <v>2629</v>
      </c>
      <c r="I358" s="9">
        <v>15725336</v>
      </c>
      <c r="J358" s="94"/>
      <c r="K358" s="2"/>
      <c r="L358" s="2"/>
      <c r="M358" s="40">
        <f t="shared" si="16"/>
        <v>15725336</v>
      </c>
      <c r="N358" s="1">
        <v>1005190463</v>
      </c>
      <c r="O358" s="1" t="s">
        <v>3289</v>
      </c>
      <c r="P358" s="1" t="s">
        <v>3128</v>
      </c>
      <c r="Q358" s="3">
        <v>44967</v>
      </c>
      <c r="R358" s="3">
        <v>44967</v>
      </c>
      <c r="S358" s="3">
        <v>45214</v>
      </c>
      <c r="T358" s="35"/>
      <c r="U358" s="3"/>
      <c r="V358" s="3"/>
      <c r="W358" s="50"/>
      <c r="X358" s="9">
        <v>9250200</v>
      </c>
      <c r="Y358" s="9">
        <v>6475136</v>
      </c>
      <c r="Z358" s="34">
        <f t="shared" si="15"/>
        <v>0.58823544374504944</v>
      </c>
      <c r="AA358" s="1">
        <v>12545859</v>
      </c>
      <c r="AB358" s="1" t="s">
        <v>2632</v>
      </c>
      <c r="AC358" s="1"/>
      <c r="AD358" s="1"/>
      <c r="AE358" s="3"/>
      <c r="AF358" s="194" t="s">
        <v>3290</v>
      </c>
      <c r="AG358" s="15" t="s">
        <v>192</v>
      </c>
      <c r="AH358" s="15" t="s">
        <v>192</v>
      </c>
    </row>
    <row r="359" spans="1:34" s="4" customFormat="1" x14ac:dyDescent="0.25">
      <c r="A359" s="16">
        <v>891780329</v>
      </c>
      <c r="B359" s="16" t="s">
        <v>54</v>
      </c>
      <c r="C359" s="14" t="s">
        <v>2627</v>
      </c>
      <c r="D359" s="16" t="s">
        <v>60</v>
      </c>
      <c r="E359" s="1" t="s">
        <v>3291</v>
      </c>
      <c r="F359" s="16" t="s">
        <v>61</v>
      </c>
      <c r="G359" s="1" t="s">
        <v>69</v>
      </c>
      <c r="H359" s="1" t="s">
        <v>2629</v>
      </c>
      <c r="I359" s="9">
        <v>15725336</v>
      </c>
      <c r="J359" s="94"/>
      <c r="K359" s="2"/>
      <c r="L359" s="2"/>
      <c r="M359" s="40">
        <f t="shared" si="16"/>
        <v>15725336</v>
      </c>
      <c r="N359" s="1">
        <v>1086550039</v>
      </c>
      <c r="O359" s="1" t="s">
        <v>3292</v>
      </c>
      <c r="P359" s="1" t="s">
        <v>3128</v>
      </c>
      <c r="Q359" s="3">
        <v>44967</v>
      </c>
      <c r="R359" s="3">
        <v>44967</v>
      </c>
      <c r="S359" s="3">
        <v>45214</v>
      </c>
      <c r="T359" s="35"/>
      <c r="U359" s="3"/>
      <c r="V359" s="3"/>
      <c r="W359" s="50"/>
      <c r="X359" s="9">
        <v>9250200</v>
      </c>
      <c r="Y359" s="9">
        <v>6475136</v>
      </c>
      <c r="Z359" s="34">
        <f t="shared" si="15"/>
        <v>0.58823544374504944</v>
      </c>
      <c r="AA359" s="1">
        <v>12545859</v>
      </c>
      <c r="AB359" s="1" t="s">
        <v>2632</v>
      </c>
      <c r="AC359" s="1"/>
      <c r="AD359" s="1"/>
      <c r="AE359" s="3"/>
      <c r="AF359" s="194" t="s">
        <v>3293</v>
      </c>
      <c r="AG359" s="15" t="s">
        <v>192</v>
      </c>
      <c r="AH359" s="15" t="s">
        <v>192</v>
      </c>
    </row>
    <row r="360" spans="1:34" s="4" customFormat="1" x14ac:dyDescent="0.25">
      <c r="A360" s="16">
        <v>891780330</v>
      </c>
      <c r="B360" s="16" t="s">
        <v>54</v>
      </c>
      <c r="C360" s="14" t="s">
        <v>2627</v>
      </c>
      <c r="D360" s="16" t="s">
        <v>60</v>
      </c>
      <c r="E360" s="1" t="s">
        <v>3294</v>
      </c>
      <c r="F360" s="16" t="s">
        <v>61</v>
      </c>
      <c r="G360" s="1" t="s">
        <v>69</v>
      </c>
      <c r="H360" s="1" t="s">
        <v>2629</v>
      </c>
      <c r="I360" s="9">
        <v>23588009</v>
      </c>
      <c r="J360" s="94"/>
      <c r="K360" s="2"/>
      <c r="L360" s="2"/>
      <c r="M360" s="40">
        <f t="shared" si="16"/>
        <v>23588009</v>
      </c>
      <c r="N360" s="1">
        <v>80763650</v>
      </c>
      <c r="O360" s="1" t="s">
        <v>3295</v>
      </c>
      <c r="P360" s="1" t="s">
        <v>3296</v>
      </c>
      <c r="Q360" s="3">
        <v>44967</v>
      </c>
      <c r="R360" s="3">
        <v>44967</v>
      </c>
      <c r="S360" s="3">
        <v>45214</v>
      </c>
      <c r="T360" s="35"/>
      <c r="U360" s="3"/>
      <c r="V360" s="3"/>
      <c r="W360" s="50"/>
      <c r="X360" s="9">
        <v>13875300</v>
      </c>
      <c r="Y360" s="9">
        <v>9712709</v>
      </c>
      <c r="Z360" s="34">
        <f t="shared" si="15"/>
        <v>0.58823531905554216</v>
      </c>
      <c r="AA360" s="1">
        <v>12545859</v>
      </c>
      <c r="AB360" s="1" t="s">
        <v>2632</v>
      </c>
      <c r="AC360" s="1"/>
      <c r="AD360" s="1"/>
      <c r="AE360" s="3"/>
      <c r="AF360" s="194" t="s">
        <v>3297</v>
      </c>
      <c r="AG360" s="15" t="s">
        <v>192</v>
      </c>
      <c r="AH360" s="15" t="s">
        <v>192</v>
      </c>
    </row>
    <row r="361" spans="1:34" s="4" customFormat="1" x14ac:dyDescent="0.25">
      <c r="A361" s="16">
        <v>891780331</v>
      </c>
      <c r="B361" s="16" t="s">
        <v>54</v>
      </c>
      <c r="C361" s="14" t="s">
        <v>2627</v>
      </c>
      <c r="D361" s="16" t="s">
        <v>60</v>
      </c>
      <c r="E361" s="1" t="s">
        <v>3298</v>
      </c>
      <c r="F361" s="16" t="s">
        <v>61</v>
      </c>
      <c r="G361" s="1" t="s">
        <v>69</v>
      </c>
      <c r="H361" s="1" t="s">
        <v>2629</v>
      </c>
      <c r="I361" s="9">
        <v>15725336</v>
      </c>
      <c r="J361" s="94"/>
      <c r="K361" s="2"/>
      <c r="L361" s="2"/>
      <c r="M361" s="40">
        <f t="shared" si="16"/>
        <v>15725336</v>
      </c>
      <c r="N361" s="1">
        <v>98671471</v>
      </c>
      <c r="O361" s="1" t="s">
        <v>3299</v>
      </c>
      <c r="P361" s="1" t="s">
        <v>3128</v>
      </c>
      <c r="Q361" s="3">
        <v>44967</v>
      </c>
      <c r="R361" s="3">
        <v>44967</v>
      </c>
      <c r="S361" s="3">
        <v>45214</v>
      </c>
      <c r="T361" s="35"/>
      <c r="U361" s="3"/>
      <c r="V361" s="3"/>
      <c r="W361" s="50"/>
      <c r="X361" s="9">
        <v>9250200</v>
      </c>
      <c r="Y361" s="9">
        <v>6475136</v>
      </c>
      <c r="Z361" s="34">
        <f t="shared" si="15"/>
        <v>0.58823544374504944</v>
      </c>
      <c r="AA361" s="1">
        <v>12545859</v>
      </c>
      <c r="AB361" s="1" t="s">
        <v>2632</v>
      </c>
      <c r="AC361" s="1"/>
      <c r="AD361" s="1"/>
      <c r="AE361" s="3"/>
      <c r="AF361" s="194" t="s">
        <v>3300</v>
      </c>
      <c r="AG361" s="15" t="s">
        <v>192</v>
      </c>
      <c r="AH361" s="15" t="s">
        <v>192</v>
      </c>
    </row>
    <row r="362" spans="1:34" s="4" customFormat="1" x14ac:dyDescent="0.25">
      <c r="A362" s="16">
        <v>891780332</v>
      </c>
      <c r="B362" s="16" t="s">
        <v>54</v>
      </c>
      <c r="C362" s="14" t="s">
        <v>2627</v>
      </c>
      <c r="D362" s="16" t="s">
        <v>60</v>
      </c>
      <c r="E362" s="1" t="s">
        <v>3301</v>
      </c>
      <c r="F362" s="16" t="s">
        <v>61</v>
      </c>
      <c r="G362" s="1" t="s">
        <v>69</v>
      </c>
      <c r="H362" s="1" t="s">
        <v>2629</v>
      </c>
      <c r="I362" s="9">
        <v>15725336</v>
      </c>
      <c r="J362" s="94"/>
      <c r="K362" s="2"/>
      <c r="L362" s="2"/>
      <c r="M362" s="40">
        <f t="shared" si="16"/>
        <v>15725336</v>
      </c>
      <c r="N362" s="1">
        <v>94540886</v>
      </c>
      <c r="O362" s="1" t="s">
        <v>3302</v>
      </c>
      <c r="P362" s="1" t="s">
        <v>3128</v>
      </c>
      <c r="Q362" s="3">
        <v>44967</v>
      </c>
      <c r="R362" s="3">
        <v>44967</v>
      </c>
      <c r="S362" s="3">
        <v>45214</v>
      </c>
      <c r="T362" s="35"/>
      <c r="U362" s="3"/>
      <c r="V362" s="3"/>
      <c r="W362" s="50"/>
      <c r="X362" s="9">
        <v>9250200</v>
      </c>
      <c r="Y362" s="9">
        <v>6475136</v>
      </c>
      <c r="Z362" s="34">
        <f t="shared" si="15"/>
        <v>0.58823544374504944</v>
      </c>
      <c r="AA362" s="1">
        <v>12545859</v>
      </c>
      <c r="AB362" s="1" t="s">
        <v>2632</v>
      </c>
      <c r="AC362" s="1"/>
      <c r="AD362" s="1"/>
      <c r="AE362" s="3"/>
      <c r="AF362" s="194" t="s">
        <v>3303</v>
      </c>
      <c r="AG362" s="15" t="s">
        <v>192</v>
      </c>
      <c r="AH362" s="15" t="s">
        <v>192</v>
      </c>
    </row>
    <row r="363" spans="1:34" s="4" customFormat="1" x14ac:dyDescent="0.25">
      <c r="A363" s="16">
        <v>891780333</v>
      </c>
      <c r="B363" s="16" t="s">
        <v>54</v>
      </c>
      <c r="C363" s="14" t="s">
        <v>2627</v>
      </c>
      <c r="D363" s="16" t="s">
        <v>60</v>
      </c>
      <c r="E363" s="1" t="s">
        <v>3304</v>
      </c>
      <c r="F363" s="16" t="s">
        <v>61</v>
      </c>
      <c r="G363" s="1" t="s">
        <v>69</v>
      </c>
      <c r="H363" s="1" t="s">
        <v>2629</v>
      </c>
      <c r="I363" s="9">
        <v>15725336</v>
      </c>
      <c r="J363" s="94"/>
      <c r="K363" s="2"/>
      <c r="L363" s="2"/>
      <c r="M363" s="40">
        <f t="shared" si="16"/>
        <v>15725336</v>
      </c>
      <c r="N363" s="1">
        <v>36669639</v>
      </c>
      <c r="O363" s="1" t="s">
        <v>3305</v>
      </c>
      <c r="P363" s="1" t="s">
        <v>3128</v>
      </c>
      <c r="Q363" s="3">
        <v>44967</v>
      </c>
      <c r="R363" s="3">
        <v>44967</v>
      </c>
      <c r="S363" s="3">
        <v>45214</v>
      </c>
      <c r="T363" s="35"/>
      <c r="U363" s="3"/>
      <c r="V363" s="3"/>
      <c r="W363" s="50"/>
      <c r="X363" s="9">
        <v>9250200</v>
      </c>
      <c r="Y363" s="9">
        <v>6475136</v>
      </c>
      <c r="Z363" s="34">
        <f t="shared" si="15"/>
        <v>0.58823544374504944</v>
      </c>
      <c r="AA363" s="1">
        <v>12545859</v>
      </c>
      <c r="AB363" s="1" t="s">
        <v>2632</v>
      </c>
      <c r="AC363" s="1"/>
      <c r="AD363" s="1"/>
      <c r="AE363" s="3"/>
      <c r="AF363" s="194" t="s">
        <v>3306</v>
      </c>
      <c r="AG363" s="15" t="s">
        <v>192</v>
      </c>
      <c r="AH363" s="15" t="s">
        <v>192</v>
      </c>
    </row>
    <row r="364" spans="1:34" s="4" customFormat="1" x14ac:dyDescent="0.25">
      <c r="A364" s="16">
        <v>891780334</v>
      </c>
      <c r="B364" s="16" t="s">
        <v>54</v>
      </c>
      <c r="C364" s="14" t="s">
        <v>2627</v>
      </c>
      <c r="D364" s="16" t="s">
        <v>60</v>
      </c>
      <c r="E364" s="1" t="s">
        <v>3307</v>
      </c>
      <c r="F364" s="16" t="s">
        <v>61</v>
      </c>
      <c r="G364" s="1" t="s">
        <v>69</v>
      </c>
      <c r="H364" s="1" t="s">
        <v>2629</v>
      </c>
      <c r="I364" s="9">
        <v>15725336</v>
      </c>
      <c r="J364" s="94"/>
      <c r="K364" s="2"/>
      <c r="L364" s="2"/>
      <c r="M364" s="40">
        <f t="shared" si="16"/>
        <v>15725336</v>
      </c>
      <c r="N364" s="1">
        <v>18505463</v>
      </c>
      <c r="O364" s="1" t="s">
        <v>3308</v>
      </c>
      <c r="P364" s="1" t="s">
        <v>3128</v>
      </c>
      <c r="Q364" s="3">
        <v>44967</v>
      </c>
      <c r="R364" s="3">
        <v>44967</v>
      </c>
      <c r="S364" s="3">
        <v>45214</v>
      </c>
      <c r="T364" s="35"/>
      <c r="U364" s="3"/>
      <c r="V364" s="3"/>
      <c r="W364" s="50"/>
      <c r="X364" s="9">
        <v>9250200</v>
      </c>
      <c r="Y364" s="9">
        <v>6475136</v>
      </c>
      <c r="Z364" s="34">
        <f t="shared" si="15"/>
        <v>0.58823544374504944</v>
      </c>
      <c r="AA364" s="1">
        <v>12545859</v>
      </c>
      <c r="AB364" s="1" t="s">
        <v>2632</v>
      </c>
      <c r="AC364" s="1"/>
      <c r="AD364" s="1"/>
      <c r="AE364" s="3"/>
      <c r="AF364" s="194" t="s">
        <v>3309</v>
      </c>
      <c r="AG364" s="15" t="s">
        <v>192</v>
      </c>
      <c r="AH364" s="15" t="s">
        <v>192</v>
      </c>
    </row>
    <row r="365" spans="1:34" s="4" customFormat="1" x14ac:dyDescent="0.25">
      <c r="A365" s="16">
        <v>891780335</v>
      </c>
      <c r="B365" s="16" t="s">
        <v>54</v>
      </c>
      <c r="C365" s="14" t="s">
        <v>2627</v>
      </c>
      <c r="D365" s="16" t="s">
        <v>60</v>
      </c>
      <c r="E365" s="1" t="s">
        <v>3310</v>
      </c>
      <c r="F365" s="16" t="s">
        <v>61</v>
      </c>
      <c r="G365" s="1" t="s">
        <v>69</v>
      </c>
      <c r="H365" s="1" t="s">
        <v>2629</v>
      </c>
      <c r="I365" s="9">
        <v>15725336</v>
      </c>
      <c r="J365" s="94"/>
      <c r="K365" s="2"/>
      <c r="L365" s="2"/>
      <c r="M365" s="40">
        <f t="shared" si="16"/>
        <v>15725336</v>
      </c>
      <c r="N365" s="1">
        <v>59666037</v>
      </c>
      <c r="O365" s="1" t="s">
        <v>3311</v>
      </c>
      <c r="P365" s="1" t="s">
        <v>3128</v>
      </c>
      <c r="Q365" s="3">
        <v>44967</v>
      </c>
      <c r="R365" s="3">
        <v>44967</v>
      </c>
      <c r="S365" s="3">
        <v>45214</v>
      </c>
      <c r="T365" s="35"/>
      <c r="U365" s="3"/>
      <c r="V365" s="3"/>
      <c r="W365" s="50"/>
      <c r="X365" s="9">
        <v>9250200</v>
      </c>
      <c r="Y365" s="9">
        <v>6475136</v>
      </c>
      <c r="Z365" s="34">
        <f t="shared" si="15"/>
        <v>0.58823544374504944</v>
      </c>
      <c r="AA365" s="1">
        <v>12545859</v>
      </c>
      <c r="AB365" s="1" t="s">
        <v>2632</v>
      </c>
      <c r="AC365" s="1"/>
      <c r="AD365" s="1"/>
      <c r="AE365" s="3"/>
      <c r="AF365" s="194" t="s">
        <v>3312</v>
      </c>
      <c r="AG365" s="15" t="s">
        <v>192</v>
      </c>
      <c r="AH365" s="15" t="s">
        <v>192</v>
      </c>
    </row>
    <row r="366" spans="1:34" s="4" customFormat="1" x14ac:dyDescent="0.25">
      <c r="A366" s="16">
        <v>891780336</v>
      </c>
      <c r="B366" s="16" t="s">
        <v>54</v>
      </c>
      <c r="C366" s="14" t="s">
        <v>2627</v>
      </c>
      <c r="D366" s="16" t="s">
        <v>60</v>
      </c>
      <c r="E366" s="1" t="s">
        <v>3313</v>
      </c>
      <c r="F366" s="16" t="s">
        <v>61</v>
      </c>
      <c r="G366" s="1" t="s">
        <v>69</v>
      </c>
      <c r="H366" s="1" t="s">
        <v>2629</v>
      </c>
      <c r="I366" s="9">
        <v>19048225</v>
      </c>
      <c r="J366" s="94"/>
      <c r="K366" s="2"/>
      <c r="L366" s="2"/>
      <c r="M366" s="40">
        <f t="shared" si="16"/>
        <v>19048225</v>
      </c>
      <c r="N366" s="1">
        <v>1003944780</v>
      </c>
      <c r="O366" s="1" t="s">
        <v>3314</v>
      </c>
      <c r="P366" s="1" t="s">
        <v>2636</v>
      </c>
      <c r="Q366" s="3">
        <v>44967</v>
      </c>
      <c r="R366" s="3">
        <v>44967</v>
      </c>
      <c r="S366" s="3">
        <v>45275</v>
      </c>
      <c r="T366" s="35"/>
      <c r="U366" s="3"/>
      <c r="V366" s="3"/>
      <c r="W366" s="50"/>
      <c r="X366" s="9">
        <v>9070585</v>
      </c>
      <c r="Y366" s="9">
        <v>9977640</v>
      </c>
      <c r="Z366" s="34">
        <f t="shared" si="15"/>
        <v>0.47619056368769269</v>
      </c>
      <c r="AA366" s="1">
        <v>12545859</v>
      </c>
      <c r="AB366" s="1" t="s">
        <v>2632</v>
      </c>
      <c r="AC366" s="1"/>
      <c r="AD366" s="1"/>
      <c r="AE366" s="3"/>
      <c r="AF366" s="194" t="s">
        <v>3315</v>
      </c>
      <c r="AG366" s="15" t="s">
        <v>192</v>
      </c>
      <c r="AH366" s="15"/>
    </row>
    <row r="367" spans="1:34" s="4" customFormat="1" x14ac:dyDescent="0.25">
      <c r="A367" s="16">
        <v>891780337</v>
      </c>
      <c r="B367" s="16" t="s">
        <v>54</v>
      </c>
      <c r="C367" s="14" t="s">
        <v>2627</v>
      </c>
      <c r="D367" s="16" t="s">
        <v>60</v>
      </c>
      <c r="E367" s="1" t="s">
        <v>3316</v>
      </c>
      <c r="F367" s="16" t="s">
        <v>61</v>
      </c>
      <c r="G367" s="1" t="s">
        <v>69</v>
      </c>
      <c r="H367" s="1" t="s">
        <v>2629</v>
      </c>
      <c r="I367" s="9">
        <v>19425415</v>
      </c>
      <c r="J367" s="94"/>
      <c r="K367" s="2"/>
      <c r="L367" s="2"/>
      <c r="M367" s="40">
        <f t="shared" si="16"/>
        <v>19425415</v>
      </c>
      <c r="N367" s="1">
        <v>26366809</v>
      </c>
      <c r="O367" s="1" t="s">
        <v>3317</v>
      </c>
      <c r="P367" s="1" t="s">
        <v>2651</v>
      </c>
      <c r="Q367" s="3">
        <v>44967</v>
      </c>
      <c r="R367" s="3">
        <v>44967</v>
      </c>
      <c r="S367" s="3">
        <v>45275</v>
      </c>
      <c r="T367" s="35"/>
      <c r="U367" s="3"/>
      <c r="V367" s="3"/>
      <c r="W367" s="50"/>
      <c r="X367" s="9">
        <v>9250200</v>
      </c>
      <c r="Y367" s="9">
        <v>10175215</v>
      </c>
      <c r="Z367" s="34">
        <f t="shared" si="15"/>
        <v>0.47619059875940872</v>
      </c>
      <c r="AA367" s="1">
        <v>12545859</v>
      </c>
      <c r="AB367" s="1" t="s">
        <v>2632</v>
      </c>
      <c r="AC367" s="1"/>
      <c r="AD367" s="1"/>
      <c r="AE367" s="3"/>
      <c r="AF367" s="194" t="s">
        <v>3318</v>
      </c>
      <c r="AG367" s="15" t="s">
        <v>192</v>
      </c>
      <c r="AH367" s="15"/>
    </row>
    <row r="368" spans="1:34" s="4" customFormat="1" x14ac:dyDescent="0.25">
      <c r="A368" s="16">
        <v>891780338</v>
      </c>
      <c r="B368" s="16" t="s">
        <v>54</v>
      </c>
      <c r="C368" s="14" t="s">
        <v>2627</v>
      </c>
      <c r="D368" s="16" t="s">
        <v>60</v>
      </c>
      <c r="E368" s="1" t="s">
        <v>3319</v>
      </c>
      <c r="F368" s="16" t="s">
        <v>61</v>
      </c>
      <c r="G368" s="1" t="s">
        <v>69</v>
      </c>
      <c r="H368" s="1" t="s">
        <v>2629</v>
      </c>
      <c r="I368" s="9">
        <v>19425415</v>
      </c>
      <c r="J368" s="94"/>
      <c r="K368" s="2"/>
      <c r="L368" s="2"/>
      <c r="M368" s="40">
        <f t="shared" si="16"/>
        <v>19425415</v>
      </c>
      <c r="N368" s="1">
        <v>1079359625</v>
      </c>
      <c r="O368" s="1" t="s">
        <v>3320</v>
      </c>
      <c r="P368" s="1" t="s">
        <v>2651</v>
      </c>
      <c r="Q368" s="3">
        <v>44967</v>
      </c>
      <c r="R368" s="3">
        <v>44967</v>
      </c>
      <c r="S368" s="3">
        <v>45275</v>
      </c>
      <c r="T368" s="35"/>
      <c r="U368" s="3"/>
      <c r="V368" s="3"/>
      <c r="W368" s="50"/>
      <c r="X368" s="9">
        <v>9070585</v>
      </c>
      <c r="Y368" s="9">
        <v>10354830</v>
      </c>
      <c r="Z368" s="34">
        <f t="shared" si="15"/>
        <v>0.46694420685478277</v>
      </c>
      <c r="AA368" s="1">
        <v>12545859</v>
      </c>
      <c r="AB368" s="1" t="s">
        <v>2632</v>
      </c>
      <c r="AC368" s="1"/>
      <c r="AD368" s="1"/>
      <c r="AE368" s="3"/>
      <c r="AF368" s="194" t="s">
        <v>3321</v>
      </c>
      <c r="AG368" s="15" t="s">
        <v>192</v>
      </c>
      <c r="AH368" s="15" t="s">
        <v>192</v>
      </c>
    </row>
    <row r="369" spans="1:34" s="4" customFormat="1" x14ac:dyDescent="0.25">
      <c r="A369" s="16">
        <v>891780339</v>
      </c>
      <c r="B369" s="16" t="s">
        <v>54</v>
      </c>
      <c r="C369" s="14" t="s">
        <v>2627</v>
      </c>
      <c r="D369" s="16" t="s">
        <v>60</v>
      </c>
      <c r="E369" s="1" t="s">
        <v>3322</v>
      </c>
      <c r="F369" s="16" t="s">
        <v>61</v>
      </c>
      <c r="G369" s="1" t="s">
        <v>69</v>
      </c>
      <c r="H369" s="1" t="s">
        <v>2629</v>
      </c>
      <c r="I369" s="9">
        <v>19048225</v>
      </c>
      <c r="J369" s="94"/>
      <c r="K369" s="2"/>
      <c r="L369" s="2"/>
      <c r="M369" s="40">
        <f t="shared" si="16"/>
        <v>19048225</v>
      </c>
      <c r="N369" s="1">
        <v>4816533</v>
      </c>
      <c r="O369" s="1" t="s">
        <v>3323</v>
      </c>
      <c r="P369" s="1" t="s">
        <v>2636</v>
      </c>
      <c r="Q369" s="3">
        <v>44967</v>
      </c>
      <c r="R369" s="3">
        <v>44967</v>
      </c>
      <c r="S369" s="3">
        <v>45275</v>
      </c>
      <c r="T369" s="35"/>
      <c r="U369" s="3"/>
      <c r="V369" s="3"/>
      <c r="W369" s="50"/>
      <c r="X369" s="9">
        <v>9070585</v>
      </c>
      <c r="Y369" s="9">
        <v>9977640</v>
      </c>
      <c r="Z369" s="34">
        <f t="shared" si="15"/>
        <v>0.47619056368769269</v>
      </c>
      <c r="AA369" s="1">
        <v>12545859</v>
      </c>
      <c r="AB369" s="1" t="s">
        <v>2632</v>
      </c>
      <c r="AC369" s="1"/>
      <c r="AD369" s="1"/>
      <c r="AE369" s="3"/>
      <c r="AF369" s="194" t="s">
        <v>3324</v>
      </c>
      <c r="AG369" s="15" t="s">
        <v>192</v>
      </c>
      <c r="AH369" s="15" t="s">
        <v>192</v>
      </c>
    </row>
    <row r="370" spans="1:34" s="4" customFormat="1" x14ac:dyDescent="0.25">
      <c r="A370" s="16">
        <v>891780340</v>
      </c>
      <c r="B370" s="16" t="s">
        <v>54</v>
      </c>
      <c r="C370" s="14" t="s">
        <v>2627</v>
      </c>
      <c r="D370" s="16" t="s">
        <v>60</v>
      </c>
      <c r="E370" s="1" t="s">
        <v>3325</v>
      </c>
      <c r="F370" s="16" t="s">
        <v>61</v>
      </c>
      <c r="G370" s="1" t="s">
        <v>69</v>
      </c>
      <c r="H370" s="1" t="s">
        <v>2629</v>
      </c>
      <c r="I370" s="9">
        <v>19425415</v>
      </c>
      <c r="J370" s="94"/>
      <c r="K370" s="2"/>
      <c r="L370" s="2"/>
      <c r="M370" s="40">
        <f t="shared" si="16"/>
        <v>19425415</v>
      </c>
      <c r="N370" s="1">
        <v>26363262</v>
      </c>
      <c r="O370" s="1" t="s">
        <v>3326</v>
      </c>
      <c r="P370" s="1" t="s">
        <v>2651</v>
      </c>
      <c r="Q370" s="3">
        <v>44967</v>
      </c>
      <c r="R370" s="3">
        <v>44967</v>
      </c>
      <c r="S370" s="3">
        <v>45275</v>
      </c>
      <c r="T370" s="35"/>
      <c r="U370" s="3"/>
      <c r="V370" s="3"/>
      <c r="W370" s="50"/>
      <c r="X370" s="9">
        <v>9250200</v>
      </c>
      <c r="Y370" s="9">
        <v>10175215</v>
      </c>
      <c r="Z370" s="34">
        <f t="shared" si="15"/>
        <v>0.47619059875940872</v>
      </c>
      <c r="AA370" s="1">
        <v>12545859</v>
      </c>
      <c r="AB370" s="1" t="s">
        <v>2632</v>
      </c>
      <c r="AC370" s="1"/>
      <c r="AD370" s="1"/>
      <c r="AE370" s="3"/>
      <c r="AF370" s="194" t="s">
        <v>3327</v>
      </c>
      <c r="AG370" s="15" t="s">
        <v>192</v>
      </c>
      <c r="AH370" s="15" t="s">
        <v>192</v>
      </c>
    </row>
    <row r="371" spans="1:34" s="4" customFormat="1" x14ac:dyDescent="0.25">
      <c r="A371" s="16">
        <v>891780341</v>
      </c>
      <c r="B371" s="16" t="s">
        <v>54</v>
      </c>
      <c r="C371" s="14" t="s">
        <v>2627</v>
      </c>
      <c r="D371" s="16" t="s">
        <v>60</v>
      </c>
      <c r="E371" s="1" t="s">
        <v>3328</v>
      </c>
      <c r="F371" s="16" t="s">
        <v>61</v>
      </c>
      <c r="G371" s="1" t="s">
        <v>69</v>
      </c>
      <c r="H371" s="1" t="s">
        <v>2629</v>
      </c>
      <c r="I371" s="9">
        <v>19048225</v>
      </c>
      <c r="J371" s="94"/>
      <c r="K371" s="2"/>
      <c r="L371" s="2"/>
      <c r="M371" s="40">
        <f t="shared" si="16"/>
        <v>19048225</v>
      </c>
      <c r="N371" s="1">
        <v>1079359335</v>
      </c>
      <c r="O371" s="1" t="s">
        <v>3329</v>
      </c>
      <c r="P371" s="1" t="s">
        <v>2636</v>
      </c>
      <c r="Q371" s="3">
        <v>44967</v>
      </c>
      <c r="R371" s="3">
        <v>44967</v>
      </c>
      <c r="S371" s="3">
        <v>45275</v>
      </c>
      <c r="T371" s="35"/>
      <c r="U371" s="3"/>
      <c r="V371" s="3"/>
      <c r="W371" s="50"/>
      <c r="X371" s="9">
        <v>9070585</v>
      </c>
      <c r="Y371" s="9">
        <v>9977640</v>
      </c>
      <c r="Z371" s="34">
        <f t="shared" si="15"/>
        <v>0.47619056368769269</v>
      </c>
      <c r="AA371" s="1">
        <v>12545859</v>
      </c>
      <c r="AB371" s="1" t="s">
        <v>2632</v>
      </c>
      <c r="AC371" s="1"/>
      <c r="AD371" s="1"/>
      <c r="AE371" s="3"/>
      <c r="AF371" s="194" t="s">
        <v>3330</v>
      </c>
      <c r="AG371" s="15" t="s">
        <v>192</v>
      </c>
      <c r="AH371" s="15"/>
    </row>
    <row r="372" spans="1:34" s="4" customFormat="1" x14ac:dyDescent="0.25">
      <c r="A372" s="16">
        <v>891780342</v>
      </c>
      <c r="B372" s="16" t="s">
        <v>54</v>
      </c>
      <c r="C372" s="14" t="s">
        <v>2627</v>
      </c>
      <c r="D372" s="16" t="s">
        <v>60</v>
      </c>
      <c r="E372" s="1" t="s">
        <v>3331</v>
      </c>
      <c r="F372" s="16" t="s">
        <v>61</v>
      </c>
      <c r="G372" s="1" t="s">
        <v>69</v>
      </c>
      <c r="H372" s="1" t="s">
        <v>2629</v>
      </c>
      <c r="I372" s="9">
        <v>19048225</v>
      </c>
      <c r="J372" s="94"/>
      <c r="K372" s="2"/>
      <c r="L372" s="2"/>
      <c r="M372" s="40">
        <f t="shared" si="16"/>
        <v>19048225</v>
      </c>
      <c r="N372" s="1">
        <v>1003944745</v>
      </c>
      <c r="O372" s="1" t="s">
        <v>3332</v>
      </c>
      <c r="P372" s="1" t="s">
        <v>2636</v>
      </c>
      <c r="Q372" s="3">
        <v>44967</v>
      </c>
      <c r="R372" s="3">
        <v>44967</v>
      </c>
      <c r="S372" s="3">
        <v>45275</v>
      </c>
      <c r="T372" s="35"/>
      <c r="U372" s="3"/>
      <c r="V372" s="3"/>
      <c r="W372" s="50"/>
      <c r="X372" s="9">
        <v>9070585</v>
      </c>
      <c r="Y372" s="9">
        <v>9977640</v>
      </c>
      <c r="Z372" s="34">
        <f t="shared" si="15"/>
        <v>0.47619056368769269</v>
      </c>
      <c r="AA372" s="1">
        <v>12545859</v>
      </c>
      <c r="AB372" s="1" t="s">
        <v>2632</v>
      </c>
      <c r="AC372" s="1"/>
      <c r="AD372" s="1"/>
      <c r="AE372" s="3"/>
      <c r="AF372" s="194" t="s">
        <v>3333</v>
      </c>
      <c r="AG372" s="15" t="s">
        <v>192</v>
      </c>
      <c r="AH372" s="15"/>
    </row>
    <row r="373" spans="1:34" s="4" customFormat="1" x14ac:dyDescent="0.25">
      <c r="A373" s="16">
        <v>891780343</v>
      </c>
      <c r="B373" s="16" t="s">
        <v>54</v>
      </c>
      <c r="C373" s="14" t="s">
        <v>2627</v>
      </c>
      <c r="D373" s="16" t="s">
        <v>60</v>
      </c>
      <c r="E373" s="1" t="s">
        <v>3334</v>
      </c>
      <c r="F373" s="16" t="s">
        <v>61</v>
      </c>
      <c r="G373" s="1" t="s">
        <v>69</v>
      </c>
      <c r="H373" s="1" t="s">
        <v>2629</v>
      </c>
      <c r="I373" s="9">
        <v>19048225</v>
      </c>
      <c r="J373" s="94"/>
      <c r="K373" s="2"/>
      <c r="L373" s="2"/>
      <c r="M373" s="40">
        <f t="shared" si="16"/>
        <v>19048225</v>
      </c>
      <c r="N373" s="1">
        <v>1144126541</v>
      </c>
      <c r="O373" s="1" t="s">
        <v>3335</v>
      </c>
      <c r="P373" s="1" t="s">
        <v>2636</v>
      </c>
      <c r="Q373" s="3">
        <v>44967</v>
      </c>
      <c r="R373" s="3">
        <v>44967</v>
      </c>
      <c r="S373" s="3">
        <v>45275</v>
      </c>
      <c r="T373" s="35"/>
      <c r="U373" s="3"/>
      <c r="V373" s="3"/>
      <c r="W373" s="50"/>
      <c r="X373" s="9">
        <v>9070585</v>
      </c>
      <c r="Y373" s="9">
        <v>9977640</v>
      </c>
      <c r="Z373" s="34">
        <f t="shared" si="15"/>
        <v>0.47619056368769269</v>
      </c>
      <c r="AA373" s="1">
        <v>12545859</v>
      </c>
      <c r="AB373" s="1" t="s">
        <v>2632</v>
      </c>
      <c r="AC373" s="1"/>
      <c r="AD373" s="1"/>
      <c r="AE373" s="3"/>
      <c r="AF373" s="194" t="s">
        <v>3336</v>
      </c>
      <c r="AG373" s="15" t="s">
        <v>192</v>
      </c>
      <c r="AH373" s="15" t="s">
        <v>192</v>
      </c>
    </row>
    <row r="374" spans="1:34" s="4" customFormat="1" x14ac:dyDescent="0.25">
      <c r="A374" s="16">
        <v>891780344</v>
      </c>
      <c r="B374" s="16" t="s">
        <v>54</v>
      </c>
      <c r="C374" s="14" t="s">
        <v>2627</v>
      </c>
      <c r="D374" s="16" t="s">
        <v>60</v>
      </c>
      <c r="E374" s="1" t="s">
        <v>3337</v>
      </c>
      <c r="F374" s="16" t="s">
        <v>61</v>
      </c>
      <c r="G374" s="1" t="s">
        <v>69</v>
      </c>
      <c r="H374" s="1" t="s">
        <v>2629</v>
      </c>
      <c r="I374" s="9">
        <v>21029244</v>
      </c>
      <c r="J374" s="94"/>
      <c r="K374" s="2"/>
      <c r="L374" s="2"/>
      <c r="M374" s="40">
        <f t="shared" si="16"/>
        <v>21029244</v>
      </c>
      <c r="N374" s="1">
        <v>26430338</v>
      </c>
      <c r="O374" s="1" t="s">
        <v>3338</v>
      </c>
      <c r="P374" s="1" t="s">
        <v>2651</v>
      </c>
      <c r="Q374" s="3">
        <v>44967</v>
      </c>
      <c r="R374" s="3">
        <v>44967</v>
      </c>
      <c r="S374" s="3">
        <v>45275</v>
      </c>
      <c r="T374" s="35"/>
      <c r="U374" s="3"/>
      <c r="V374" s="3"/>
      <c r="W374" s="50"/>
      <c r="X374" s="9">
        <v>10013925</v>
      </c>
      <c r="Y374" s="9">
        <v>11015319</v>
      </c>
      <c r="Z374" s="34">
        <f t="shared" si="15"/>
        <v>0.47619044222417123</v>
      </c>
      <c r="AA374" s="1">
        <v>12545859</v>
      </c>
      <c r="AB374" s="1" t="s">
        <v>2632</v>
      </c>
      <c r="AC374" s="1"/>
      <c r="AD374" s="1"/>
      <c r="AE374" s="3"/>
      <c r="AF374" s="194" t="s">
        <v>3339</v>
      </c>
      <c r="AG374" s="15" t="s">
        <v>192</v>
      </c>
      <c r="AH374" s="15" t="s">
        <v>192</v>
      </c>
    </row>
    <row r="375" spans="1:34" s="4" customFormat="1" x14ac:dyDescent="0.25">
      <c r="A375" s="16">
        <v>891780345</v>
      </c>
      <c r="B375" s="16" t="s">
        <v>54</v>
      </c>
      <c r="C375" s="14" t="s">
        <v>2627</v>
      </c>
      <c r="D375" s="16" t="s">
        <v>60</v>
      </c>
      <c r="E375" s="1" t="s">
        <v>3340</v>
      </c>
      <c r="F375" s="16" t="s">
        <v>61</v>
      </c>
      <c r="G375" s="1" t="s">
        <v>69</v>
      </c>
      <c r="H375" s="1" t="s">
        <v>2629</v>
      </c>
      <c r="I375" s="9">
        <v>19425415</v>
      </c>
      <c r="J375" s="94"/>
      <c r="K375" s="2"/>
      <c r="L375" s="2"/>
      <c r="M375" s="40">
        <f t="shared" si="16"/>
        <v>19425415</v>
      </c>
      <c r="N375" s="1">
        <v>1060593249</v>
      </c>
      <c r="O375" s="1" t="s">
        <v>3341</v>
      </c>
      <c r="P375" s="1" t="s">
        <v>2651</v>
      </c>
      <c r="Q375" s="3">
        <v>44967</v>
      </c>
      <c r="R375" s="3">
        <v>44967</v>
      </c>
      <c r="S375" s="3">
        <v>45275</v>
      </c>
      <c r="T375" s="35"/>
      <c r="U375" s="3"/>
      <c r="V375" s="3"/>
      <c r="W375" s="50"/>
      <c r="X375" s="9">
        <v>7400159</v>
      </c>
      <c r="Y375" s="9">
        <v>12025256</v>
      </c>
      <c r="Z375" s="34">
        <f t="shared" si="15"/>
        <v>0.38095242752857533</v>
      </c>
      <c r="AA375" s="1">
        <v>12545859</v>
      </c>
      <c r="AB375" s="1" t="s">
        <v>2632</v>
      </c>
      <c r="AC375" s="1"/>
      <c r="AD375" s="1"/>
      <c r="AE375" s="3"/>
      <c r="AF375" s="194" t="s">
        <v>3342</v>
      </c>
      <c r="AG375" s="15" t="s">
        <v>192</v>
      </c>
      <c r="AH375" s="15" t="s">
        <v>192</v>
      </c>
    </row>
    <row r="376" spans="1:34" s="4" customFormat="1" x14ac:dyDescent="0.25">
      <c r="A376" s="16">
        <v>891780346</v>
      </c>
      <c r="B376" s="16" t="s">
        <v>54</v>
      </c>
      <c r="C376" s="14" t="s">
        <v>2627</v>
      </c>
      <c r="D376" s="16" t="s">
        <v>60</v>
      </c>
      <c r="E376" s="1" t="s">
        <v>3343</v>
      </c>
      <c r="F376" s="16" t="s">
        <v>61</v>
      </c>
      <c r="G376" s="1" t="s">
        <v>69</v>
      </c>
      <c r="H376" s="1" t="s">
        <v>2629</v>
      </c>
      <c r="I376" s="9">
        <v>21029244</v>
      </c>
      <c r="J376" s="94"/>
      <c r="K376" s="2"/>
      <c r="L376" s="2"/>
      <c r="M376" s="40">
        <f t="shared" si="16"/>
        <v>21029244</v>
      </c>
      <c r="N376" s="1">
        <v>71190766</v>
      </c>
      <c r="O376" s="1" t="s">
        <v>3344</v>
      </c>
      <c r="P376" s="1" t="s">
        <v>2651</v>
      </c>
      <c r="Q376" s="3">
        <v>44967</v>
      </c>
      <c r="R376" s="3">
        <v>44967</v>
      </c>
      <c r="S376" s="3">
        <v>45275</v>
      </c>
      <c r="T376" s="35"/>
      <c r="U376" s="3"/>
      <c r="V376" s="3"/>
      <c r="W376" s="50"/>
      <c r="X376" s="9">
        <v>10013925</v>
      </c>
      <c r="Y376" s="9">
        <v>11015319</v>
      </c>
      <c r="Z376" s="34">
        <f t="shared" si="15"/>
        <v>0.47619044222417123</v>
      </c>
      <c r="AA376" s="1">
        <v>12545859</v>
      </c>
      <c r="AB376" s="1" t="s">
        <v>2632</v>
      </c>
      <c r="AC376" s="1"/>
      <c r="AD376" s="1"/>
      <c r="AE376" s="3"/>
      <c r="AF376" s="194" t="s">
        <v>3345</v>
      </c>
      <c r="AG376" s="15" t="s">
        <v>192</v>
      </c>
      <c r="AH376" s="15" t="s">
        <v>192</v>
      </c>
    </row>
    <row r="377" spans="1:34" s="4" customFormat="1" x14ac:dyDescent="0.25">
      <c r="A377" s="16">
        <v>891780347</v>
      </c>
      <c r="B377" s="16" t="s">
        <v>54</v>
      </c>
      <c r="C377" s="14" t="s">
        <v>2627</v>
      </c>
      <c r="D377" s="16" t="s">
        <v>60</v>
      </c>
      <c r="E377" s="1" t="s">
        <v>3346</v>
      </c>
      <c r="F377" s="16" t="s">
        <v>61</v>
      </c>
      <c r="G377" s="1" t="s">
        <v>69</v>
      </c>
      <c r="H377" s="1" t="s">
        <v>2629</v>
      </c>
      <c r="I377" s="9">
        <v>21029244</v>
      </c>
      <c r="J377" s="94"/>
      <c r="K377" s="2"/>
      <c r="L377" s="2"/>
      <c r="M377" s="40">
        <f t="shared" si="16"/>
        <v>21029244</v>
      </c>
      <c r="N377" s="1">
        <v>1104130224</v>
      </c>
      <c r="O377" s="1" t="s">
        <v>3347</v>
      </c>
      <c r="P377" s="1" t="s">
        <v>2651</v>
      </c>
      <c r="Q377" s="3">
        <v>44967</v>
      </c>
      <c r="R377" s="3">
        <v>44967</v>
      </c>
      <c r="S377" s="3">
        <v>45275</v>
      </c>
      <c r="T377" s="35"/>
      <c r="U377" s="3"/>
      <c r="V377" s="3"/>
      <c r="W377" s="50"/>
      <c r="X377" s="9">
        <v>10013925</v>
      </c>
      <c r="Y377" s="9">
        <v>11015319</v>
      </c>
      <c r="Z377" s="34">
        <f t="shared" si="15"/>
        <v>0.47619044222417123</v>
      </c>
      <c r="AA377" s="1">
        <v>12545859</v>
      </c>
      <c r="AB377" s="1" t="s">
        <v>2632</v>
      </c>
      <c r="AC377" s="1"/>
      <c r="AD377" s="1"/>
      <c r="AE377" s="3"/>
      <c r="AF377" s="194" t="s">
        <v>3348</v>
      </c>
      <c r="AG377" s="15" t="s">
        <v>192</v>
      </c>
      <c r="AH377" s="15" t="s">
        <v>192</v>
      </c>
    </row>
    <row r="378" spans="1:34" s="4" customFormat="1" x14ac:dyDescent="0.25">
      <c r="A378" s="16">
        <v>891780348</v>
      </c>
      <c r="B378" s="16" t="s">
        <v>54</v>
      </c>
      <c r="C378" s="14" t="s">
        <v>2627</v>
      </c>
      <c r="D378" s="16" t="s">
        <v>60</v>
      </c>
      <c r="E378" s="1" t="s">
        <v>3349</v>
      </c>
      <c r="F378" s="16" t="s">
        <v>61</v>
      </c>
      <c r="G378" s="1" t="s">
        <v>69</v>
      </c>
      <c r="H378" s="1" t="s">
        <v>2629</v>
      </c>
      <c r="I378" s="9">
        <v>19048225</v>
      </c>
      <c r="J378" s="94"/>
      <c r="K378" s="2"/>
      <c r="L378" s="2"/>
      <c r="M378" s="40">
        <f t="shared" si="16"/>
        <v>19048225</v>
      </c>
      <c r="N378" s="1">
        <v>1004712544</v>
      </c>
      <c r="O378" s="1" t="s">
        <v>3350</v>
      </c>
      <c r="P378" s="1" t="s">
        <v>2636</v>
      </c>
      <c r="Q378" s="3">
        <v>44967</v>
      </c>
      <c r="R378" s="3">
        <v>44967</v>
      </c>
      <c r="S378" s="3">
        <v>45275</v>
      </c>
      <c r="T378" s="35"/>
      <c r="U378" s="3"/>
      <c r="V378" s="3"/>
      <c r="W378" s="50"/>
      <c r="X378" s="9">
        <v>9070585</v>
      </c>
      <c r="Y378" s="9">
        <v>9977640</v>
      </c>
      <c r="Z378" s="34">
        <f t="shared" si="15"/>
        <v>0.47619056368769269</v>
      </c>
      <c r="AA378" s="1">
        <v>12545859</v>
      </c>
      <c r="AB378" s="1" t="s">
        <v>2632</v>
      </c>
      <c r="AC378" s="1"/>
      <c r="AD378" s="1"/>
      <c r="AE378" s="3"/>
      <c r="AF378" s="194" t="s">
        <v>3351</v>
      </c>
      <c r="AG378" s="15" t="s">
        <v>192</v>
      </c>
      <c r="AH378" s="15"/>
    </row>
    <row r="379" spans="1:34" s="4" customFormat="1" x14ac:dyDescent="0.25">
      <c r="A379" s="16">
        <v>891780349</v>
      </c>
      <c r="B379" s="16" t="s">
        <v>54</v>
      </c>
      <c r="C379" s="14" t="s">
        <v>2627</v>
      </c>
      <c r="D379" s="16" t="s">
        <v>60</v>
      </c>
      <c r="E379" s="1" t="s">
        <v>3352</v>
      </c>
      <c r="F379" s="16" t="s">
        <v>61</v>
      </c>
      <c r="G379" s="1" t="s">
        <v>69</v>
      </c>
      <c r="H379" s="1" t="s">
        <v>2629</v>
      </c>
      <c r="I379" s="9">
        <v>19425415</v>
      </c>
      <c r="J379" s="94"/>
      <c r="K379" s="2"/>
      <c r="L379" s="2"/>
      <c r="M379" s="40">
        <f t="shared" si="16"/>
        <v>19425415</v>
      </c>
      <c r="N379" s="1">
        <v>1061198483</v>
      </c>
      <c r="O379" s="1" t="s">
        <v>3353</v>
      </c>
      <c r="P379" s="1" t="s">
        <v>2918</v>
      </c>
      <c r="Q379" s="3">
        <v>44967</v>
      </c>
      <c r="R379" s="3">
        <v>44967</v>
      </c>
      <c r="S379" s="3">
        <v>45275</v>
      </c>
      <c r="T379" s="35"/>
      <c r="U379" s="3"/>
      <c r="V379" s="3"/>
      <c r="W379" s="50"/>
      <c r="X379" s="9">
        <v>9250200</v>
      </c>
      <c r="Y379" s="9">
        <v>10175215</v>
      </c>
      <c r="Z379" s="34">
        <f t="shared" si="15"/>
        <v>0.47619059875940872</v>
      </c>
      <c r="AA379" s="1">
        <v>12545859</v>
      </c>
      <c r="AB379" s="1" t="s">
        <v>2632</v>
      </c>
      <c r="AC379" s="1"/>
      <c r="AD379" s="1"/>
      <c r="AE379" s="3"/>
      <c r="AF379" s="194" t="s">
        <v>3354</v>
      </c>
      <c r="AG379" s="15" t="s">
        <v>192</v>
      </c>
      <c r="AH379" s="15" t="s">
        <v>192</v>
      </c>
    </row>
    <row r="380" spans="1:34" s="4" customFormat="1" x14ac:dyDescent="0.25">
      <c r="A380" s="16">
        <v>891780350</v>
      </c>
      <c r="B380" s="16" t="s">
        <v>54</v>
      </c>
      <c r="C380" s="14" t="s">
        <v>2627</v>
      </c>
      <c r="D380" s="16" t="s">
        <v>60</v>
      </c>
      <c r="E380" s="1" t="s">
        <v>3355</v>
      </c>
      <c r="F380" s="16" t="s">
        <v>61</v>
      </c>
      <c r="G380" s="1" t="s">
        <v>69</v>
      </c>
      <c r="H380" s="1" t="s">
        <v>2629</v>
      </c>
      <c r="I380" s="9">
        <v>5528572</v>
      </c>
      <c r="J380" s="94"/>
      <c r="K380" s="2"/>
      <c r="L380" s="2"/>
      <c r="M380" s="40">
        <f t="shared" si="16"/>
        <v>5528572</v>
      </c>
      <c r="N380" s="1">
        <v>1083012957</v>
      </c>
      <c r="O380" s="1" t="s">
        <v>3356</v>
      </c>
      <c r="P380" s="1" t="s">
        <v>3357</v>
      </c>
      <c r="Q380" s="3">
        <v>44967</v>
      </c>
      <c r="R380" s="3">
        <v>44967</v>
      </c>
      <c r="S380" s="3">
        <v>45046</v>
      </c>
      <c r="T380" s="35"/>
      <c r="U380" s="3"/>
      <c r="V380" s="3"/>
      <c r="W380" s="50"/>
      <c r="X380" s="9">
        <v>5528572</v>
      </c>
      <c r="Y380" s="9">
        <f>M380-X380</f>
        <v>0</v>
      </c>
      <c r="Z380" s="34">
        <f t="shared" si="15"/>
        <v>1</v>
      </c>
      <c r="AA380" s="1">
        <v>12545859</v>
      </c>
      <c r="AB380" s="1" t="s">
        <v>2632</v>
      </c>
      <c r="AC380" s="1"/>
      <c r="AD380" s="1"/>
      <c r="AE380" s="3"/>
      <c r="AF380" s="194" t="s">
        <v>3358</v>
      </c>
      <c r="AG380" s="15" t="s">
        <v>192</v>
      </c>
      <c r="AH380" s="15" t="s">
        <v>192</v>
      </c>
    </row>
    <row r="381" spans="1:34" s="4" customFormat="1" x14ac:dyDescent="0.25">
      <c r="A381" s="16">
        <v>891780351</v>
      </c>
      <c r="B381" s="16" t="s">
        <v>54</v>
      </c>
      <c r="C381" s="14" t="s">
        <v>2627</v>
      </c>
      <c r="D381" s="16" t="s">
        <v>60</v>
      </c>
      <c r="E381" s="1" t="s">
        <v>3359</v>
      </c>
      <c r="F381" s="16" t="s">
        <v>61</v>
      </c>
      <c r="G381" s="1" t="s">
        <v>69</v>
      </c>
      <c r="H381" s="1" t="s">
        <v>2629</v>
      </c>
      <c r="I381" s="9">
        <v>16650356</v>
      </c>
      <c r="J381" s="94"/>
      <c r="K381" s="2"/>
      <c r="L381" s="2"/>
      <c r="M381" s="40">
        <f t="shared" si="16"/>
        <v>16650356</v>
      </c>
      <c r="N381" s="1">
        <v>1122727609</v>
      </c>
      <c r="O381" s="1" t="s">
        <v>3360</v>
      </c>
      <c r="P381" s="1" t="s">
        <v>3361</v>
      </c>
      <c r="Q381" s="3">
        <v>44967</v>
      </c>
      <c r="R381" s="3">
        <v>44967</v>
      </c>
      <c r="S381" s="3">
        <v>45199</v>
      </c>
      <c r="T381" s="35"/>
      <c r="U381" s="3"/>
      <c r="V381" s="3"/>
      <c r="W381" s="50"/>
      <c r="X381" s="9">
        <v>10406470</v>
      </c>
      <c r="Y381" s="9">
        <v>6243886</v>
      </c>
      <c r="Z381" s="34">
        <f t="shared" si="15"/>
        <v>0.62499984985306023</v>
      </c>
      <c r="AA381" s="1">
        <v>12545859</v>
      </c>
      <c r="AB381" s="1" t="s">
        <v>2632</v>
      </c>
      <c r="AC381" s="1"/>
      <c r="AD381" s="1"/>
      <c r="AE381" s="3"/>
      <c r="AF381" s="194" t="s">
        <v>3362</v>
      </c>
      <c r="AG381" s="15" t="s">
        <v>192</v>
      </c>
      <c r="AH381" s="15" t="s">
        <v>192</v>
      </c>
    </row>
    <row r="382" spans="1:34" s="4" customFormat="1" x14ac:dyDescent="0.25">
      <c r="A382" s="16">
        <v>891780352</v>
      </c>
      <c r="B382" s="16" t="s">
        <v>54</v>
      </c>
      <c r="C382" s="14" t="s">
        <v>2627</v>
      </c>
      <c r="D382" s="16" t="s">
        <v>60</v>
      </c>
      <c r="E382" s="1" t="s">
        <v>3363</v>
      </c>
      <c r="F382" s="16" t="s">
        <v>61</v>
      </c>
      <c r="G382" s="1" t="s">
        <v>69</v>
      </c>
      <c r="H382" s="1" t="s">
        <v>2629</v>
      </c>
      <c r="I382" s="9">
        <v>16650356</v>
      </c>
      <c r="J382" s="94"/>
      <c r="K382" s="2"/>
      <c r="L382" s="2"/>
      <c r="M382" s="40">
        <f t="shared" si="16"/>
        <v>16650356</v>
      </c>
      <c r="N382" s="1">
        <v>35263151</v>
      </c>
      <c r="O382" s="1" t="s">
        <v>3364</v>
      </c>
      <c r="P382" s="1" t="s">
        <v>3361</v>
      </c>
      <c r="Q382" s="3">
        <v>44967</v>
      </c>
      <c r="R382" s="3">
        <v>44967</v>
      </c>
      <c r="S382" s="3">
        <v>45199</v>
      </c>
      <c r="T382" s="35"/>
      <c r="U382" s="3"/>
      <c r="V382" s="3"/>
      <c r="W382" s="50"/>
      <c r="X382" s="9">
        <v>10406470</v>
      </c>
      <c r="Y382" s="9">
        <v>6243886</v>
      </c>
      <c r="Z382" s="34">
        <f t="shared" si="15"/>
        <v>0.62499984985306023</v>
      </c>
      <c r="AA382" s="1">
        <v>12545859</v>
      </c>
      <c r="AB382" s="1" t="s">
        <v>2632</v>
      </c>
      <c r="AC382" s="1"/>
      <c r="AD382" s="1"/>
      <c r="AE382" s="3"/>
      <c r="AF382" s="194" t="s">
        <v>3365</v>
      </c>
      <c r="AG382" s="15" t="s">
        <v>192</v>
      </c>
      <c r="AH382" s="15" t="s">
        <v>192</v>
      </c>
    </row>
    <row r="383" spans="1:34" s="4" customFormat="1" x14ac:dyDescent="0.25">
      <c r="A383" s="16">
        <v>891780353</v>
      </c>
      <c r="B383" s="16" t="s">
        <v>54</v>
      </c>
      <c r="C383" s="14" t="s">
        <v>2627</v>
      </c>
      <c r="D383" s="16" t="s">
        <v>60</v>
      </c>
      <c r="E383" s="1" t="s">
        <v>3366</v>
      </c>
      <c r="F383" s="16" t="s">
        <v>61</v>
      </c>
      <c r="G383" s="1" t="s">
        <v>69</v>
      </c>
      <c r="H383" s="1" t="s">
        <v>2629</v>
      </c>
      <c r="I383" s="9">
        <v>16650356</v>
      </c>
      <c r="J383" s="94"/>
      <c r="K383" s="2"/>
      <c r="L383" s="2"/>
      <c r="M383" s="40">
        <f t="shared" si="16"/>
        <v>16650356</v>
      </c>
      <c r="N383" s="1">
        <v>1124829922</v>
      </c>
      <c r="O383" s="1" t="s">
        <v>3367</v>
      </c>
      <c r="P383" s="1" t="s">
        <v>3361</v>
      </c>
      <c r="Q383" s="3">
        <v>44967</v>
      </c>
      <c r="R383" s="3">
        <v>44967</v>
      </c>
      <c r="S383" s="3">
        <v>45199</v>
      </c>
      <c r="T383" s="35"/>
      <c r="U383" s="3"/>
      <c r="V383" s="3"/>
      <c r="W383" s="50"/>
      <c r="X383" s="9">
        <v>10406470</v>
      </c>
      <c r="Y383" s="9">
        <v>6243886</v>
      </c>
      <c r="Z383" s="34">
        <f t="shared" si="15"/>
        <v>0.62499984985306023</v>
      </c>
      <c r="AA383" s="1">
        <v>12545859</v>
      </c>
      <c r="AB383" s="1" t="s">
        <v>2632</v>
      </c>
      <c r="AC383" s="1"/>
      <c r="AD383" s="1"/>
      <c r="AE383" s="3"/>
      <c r="AF383" s="194" t="s">
        <v>3368</v>
      </c>
      <c r="AG383" s="15" t="s">
        <v>192</v>
      </c>
      <c r="AH383" s="15" t="s">
        <v>192</v>
      </c>
    </row>
    <row r="384" spans="1:34" s="4" customFormat="1" x14ac:dyDescent="0.25">
      <c r="A384" s="16">
        <v>891780354</v>
      </c>
      <c r="B384" s="16" t="s">
        <v>54</v>
      </c>
      <c r="C384" s="14" t="s">
        <v>2627</v>
      </c>
      <c r="D384" s="16" t="s">
        <v>60</v>
      </c>
      <c r="E384" s="1" t="s">
        <v>3369</v>
      </c>
      <c r="F384" s="16" t="s">
        <v>61</v>
      </c>
      <c r="G384" s="1" t="s">
        <v>69</v>
      </c>
      <c r="H384" s="1" t="s">
        <v>2629</v>
      </c>
      <c r="I384" s="9">
        <v>22062600</v>
      </c>
      <c r="J384" s="94"/>
      <c r="K384" s="2"/>
      <c r="L384" s="2"/>
      <c r="M384" s="40">
        <f t="shared" si="16"/>
        <v>22062600</v>
      </c>
      <c r="N384" s="1">
        <v>1116802818</v>
      </c>
      <c r="O384" s="1" t="s">
        <v>3370</v>
      </c>
      <c r="P384" s="1" t="s">
        <v>3371</v>
      </c>
      <c r="Q384" s="3">
        <v>44967</v>
      </c>
      <c r="R384" s="3">
        <v>44967</v>
      </c>
      <c r="S384" s="3">
        <v>45214</v>
      </c>
      <c r="T384" s="35"/>
      <c r="U384" s="3"/>
      <c r="V384" s="3"/>
      <c r="W384" s="50"/>
      <c r="X384" s="9">
        <v>13522130</v>
      </c>
      <c r="Y384" s="9">
        <v>8540470</v>
      </c>
      <c r="Z384" s="34">
        <f t="shared" si="15"/>
        <v>0.61289829847796728</v>
      </c>
      <c r="AA384" s="1">
        <v>12545859</v>
      </c>
      <c r="AB384" s="1" t="s">
        <v>2632</v>
      </c>
      <c r="AC384" s="1"/>
      <c r="AD384" s="1"/>
      <c r="AE384" s="3"/>
      <c r="AF384" s="194" t="s">
        <v>3372</v>
      </c>
      <c r="AG384" s="15" t="s">
        <v>192</v>
      </c>
      <c r="AH384" s="15" t="s">
        <v>192</v>
      </c>
    </row>
    <row r="385" spans="1:34" s="4" customFormat="1" x14ac:dyDescent="0.25">
      <c r="A385" s="16">
        <v>891780355</v>
      </c>
      <c r="B385" s="16" t="s">
        <v>54</v>
      </c>
      <c r="C385" s="14" t="s">
        <v>2627</v>
      </c>
      <c r="D385" s="16" t="s">
        <v>60</v>
      </c>
      <c r="E385" s="1" t="s">
        <v>3373</v>
      </c>
      <c r="F385" s="16" t="s">
        <v>61</v>
      </c>
      <c r="G385" s="1" t="s">
        <v>69</v>
      </c>
      <c r="H385" s="1" t="s">
        <v>2629</v>
      </c>
      <c r="I385" s="9">
        <v>16354360</v>
      </c>
      <c r="J385" s="94"/>
      <c r="K385" s="2"/>
      <c r="L385" s="2"/>
      <c r="M385" s="40">
        <f t="shared" si="16"/>
        <v>16354360</v>
      </c>
      <c r="N385" s="1">
        <v>9103222</v>
      </c>
      <c r="O385" s="1" t="s">
        <v>3374</v>
      </c>
      <c r="P385" s="1" t="s">
        <v>3375</v>
      </c>
      <c r="Q385" s="3">
        <v>44967</v>
      </c>
      <c r="R385" s="3">
        <v>44967</v>
      </c>
      <c r="S385" s="3">
        <v>45199</v>
      </c>
      <c r="T385" s="35"/>
      <c r="U385" s="3"/>
      <c r="V385" s="3"/>
      <c r="W385" s="50"/>
      <c r="X385" s="9">
        <v>10221475</v>
      </c>
      <c r="Y385" s="9">
        <v>6132885</v>
      </c>
      <c r="Z385" s="34">
        <f t="shared" si="15"/>
        <v>0.625</v>
      </c>
      <c r="AA385" s="1">
        <v>12545859</v>
      </c>
      <c r="AB385" s="1" t="s">
        <v>2632</v>
      </c>
      <c r="AC385" s="1"/>
      <c r="AD385" s="1"/>
      <c r="AE385" s="3"/>
      <c r="AF385" s="194" t="s">
        <v>3376</v>
      </c>
      <c r="AG385" s="15" t="s">
        <v>192</v>
      </c>
      <c r="AH385" s="15"/>
    </row>
    <row r="386" spans="1:34" s="4" customFormat="1" x14ac:dyDescent="0.25">
      <c r="A386" s="16">
        <v>891780356</v>
      </c>
      <c r="B386" s="16" t="s">
        <v>54</v>
      </c>
      <c r="C386" s="14" t="s">
        <v>2627</v>
      </c>
      <c r="D386" s="16" t="s">
        <v>60</v>
      </c>
      <c r="E386" s="1" t="s">
        <v>3377</v>
      </c>
      <c r="F386" s="16" t="s">
        <v>61</v>
      </c>
      <c r="G386" s="1" t="s">
        <v>69</v>
      </c>
      <c r="H386" s="1" t="s">
        <v>2629</v>
      </c>
      <c r="I386" s="9">
        <v>16354360</v>
      </c>
      <c r="J386" s="94"/>
      <c r="K386" s="2"/>
      <c r="L386" s="2"/>
      <c r="M386" s="40">
        <f t="shared" si="16"/>
        <v>16354360</v>
      </c>
      <c r="N386" s="1">
        <v>16488500</v>
      </c>
      <c r="O386" s="1" t="s">
        <v>3378</v>
      </c>
      <c r="P386" s="1" t="s">
        <v>3375</v>
      </c>
      <c r="Q386" s="3">
        <v>44967</v>
      </c>
      <c r="R386" s="3">
        <v>44967</v>
      </c>
      <c r="S386" s="3">
        <v>45199</v>
      </c>
      <c r="T386" s="35"/>
      <c r="U386" s="3"/>
      <c r="V386" s="3"/>
      <c r="W386" s="50"/>
      <c r="X386" s="9">
        <v>10221475</v>
      </c>
      <c r="Y386" s="9">
        <v>6132885</v>
      </c>
      <c r="Z386" s="34">
        <f t="shared" si="15"/>
        <v>0.625</v>
      </c>
      <c r="AA386" s="1">
        <v>12545859</v>
      </c>
      <c r="AB386" s="1" t="s">
        <v>2632</v>
      </c>
      <c r="AC386" s="1"/>
      <c r="AD386" s="1"/>
      <c r="AE386" s="3"/>
      <c r="AF386" s="194" t="s">
        <v>3379</v>
      </c>
      <c r="AG386" s="15" t="s">
        <v>192</v>
      </c>
      <c r="AH386" s="15" t="s">
        <v>192</v>
      </c>
    </row>
    <row r="387" spans="1:34" s="4" customFormat="1" x14ac:dyDescent="0.25">
      <c r="A387" s="16">
        <v>891780357</v>
      </c>
      <c r="B387" s="16" t="s">
        <v>54</v>
      </c>
      <c r="C387" s="14" t="s">
        <v>2627</v>
      </c>
      <c r="D387" s="16" t="s">
        <v>60</v>
      </c>
      <c r="E387" s="1" t="s">
        <v>3380</v>
      </c>
      <c r="F387" s="16" t="s">
        <v>61</v>
      </c>
      <c r="G387" s="1" t="s">
        <v>69</v>
      </c>
      <c r="H387" s="1" t="s">
        <v>2629</v>
      </c>
      <c r="I387" s="9">
        <v>16354360</v>
      </c>
      <c r="J387" s="94"/>
      <c r="K387" s="2"/>
      <c r="L387" s="2"/>
      <c r="M387" s="40">
        <f t="shared" si="16"/>
        <v>16354360</v>
      </c>
      <c r="N387" s="1">
        <v>1114729292</v>
      </c>
      <c r="O387" s="1" t="s">
        <v>3381</v>
      </c>
      <c r="P387" s="1" t="s">
        <v>3375</v>
      </c>
      <c r="Q387" s="3">
        <v>44967</v>
      </c>
      <c r="R387" s="3">
        <v>44967</v>
      </c>
      <c r="S387" s="3">
        <v>45199</v>
      </c>
      <c r="T387" s="35"/>
      <c r="U387" s="3"/>
      <c r="V387" s="3"/>
      <c r="W387" s="50"/>
      <c r="X387" s="9">
        <v>10221475</v>
      </c>
      <c r="Y387" s="9">
        <v>6132885</v>
      </c>
      <c r="Z387" s="34">
        <f t="shared" si="15"/>
        <v>0.625</v>
      </c>
      <c r="AA387" s="1">
        <v>12545859</v>
      </c>
      <c r="AB387" s="1" t="s">
        <v>2632</v>
      </c>
      <c r="AC387" s="1"/>
      <c r="AD387" s="1"/>
      <c r="AE387" s="3"/>
      <c r="AF387" s="194" t="s">
        <v>3382</v>
      </c>
      <c r="AG387" s="15" t="s">
        <v>192</v>
      </c>
      <c r="AH387" s="15" t="s">
        <v>192</v>
      </c>
    </row>
    <row r="388" spans="1:34" s="4" customFormat="1" x14ac:dyDescent="0.25">
      <c r="A388" s="16">
        <v>891780358</v>
      </c>
      <c r="B388" s="16" t="s">
        <v>54</v>
      </c>
      <c r="C388" s="14" t="s">
        <v>2627</v>
      </c>
      <c r="D388" s="16" t="s">
        <v>60</v>
      </c>
      <c r="E388" s="1" t="s">
        <v>3383</v>
      </c>
      <c r="F388" s="16" t="s">
        <v>61</v>
      </c>
      <c r="G388" s="1" t="s">
        <v>69</v>
      </c>
      <c r="H388" s="1" t="s">
        <v>2629</v>
      </c>
      <c r="I388" s="9">
        <v>16354360</v>
      </c>
      <c r="J388" s="94"/>
      <c r="K388" s="2"/>
      <c r="L388" s="2"/>
      <c r="M388" s="40">
        <f t="shared" si="16"/>
        <v>16354360</v>
      </c>
      <c r="N388" s="1">
        <v>94442853</v>
      </c>
      <c r="O388" s="1" t="s">
        <v>3384</v>
      </c>
      <c r="P388" s="1" t="s">
        <v>3375</v>
      </c>
      <c r="Q388" s="3">
        <v>44967</v>
      </c>
      <c r="R388" s="3">
        <v>44967</v>
      </c>
      <c r="S388" s="3">
        <v>45199</v>
      </c>
      <c r="T388" s="35"/>
      <c r="U388" s="3"/>
      <c r="V388" s="3"/>
      <c r="W388" s="50"/>
      <c r="X388" s="9">
        <v>10221475</v>
      </c>
      <c r="Y388" s="9">
        <v>6132885</v>
      </c>
      <c r="Z388" s="34">
        <f t="shared" si="15"/>
        <v>0.625</v>
      </c>
      <c r="AA388" s="1">
        <v>12545859</v>
      </c>
      <c r="AB388" s="1" t="s">
        <v>2632</v>
      </c>
      <c r="AC388" s="1"/>
      <c r="AD388" s="1"/>
      <c r="AE388" s="3"/>
      <c r="AF388" s="194" t="s">
        <v>3385</v>
      </c>
      <c r="AG388" s="15" t="s">
        <v>192</v>
      </c>
      <c r="AH388" s="15" t="s">
        <v>192</v>
      </c>
    </row>
    <row r="389" spans="1:34" s="4" customFormat="1" x14ac:dyDescent="0.25">
      <c r="A389" s="16">
        <v>891780359</v>
      </c>
      <c r="B389" s="16" t="s">
        <v>54</v>
      </c>
      <c r="C389" s="14" t="s">
        <v>2627</v>
      </c>
      <c r="D389" s="16" t="s">
        <v>60</v>
      </c>
      <c r="E389" s="1" t="s">
        <v>3386</v>
      </c>
      <c r="F389" s="16" t="s">
        <v>61</v>
      </c>
      <c r="G389" s="1" t="s">
        <v>69</v>
      </c>
      <c r="H389" s="1" t="s">
        <v>2629</v>
      </c>
      <c r="I389" s="9">
        <v>16354360</v>
      </c>
      <c r="J389" s="94"/>
      <c r="K389" s="2"/>
      <c r="L389" s="2"/>
      <c r="M389" s="40">
        <f t="shared" si="16"/>
        <v>16354360</v>
      </c>
      <c r="N389" s="1">
        <v>1083002394</v>
      </c>
      <c r="O389" s="1" t="s">
        <v>3387</v>
      </c>
      <c r="P389" s="1" t="s">
        <v>3388</v>
      </c>
      <c r="Q389" s="3">
        <v>44967</v>
      </c>
      <c r="R389" s="3">
        <v>44967</v>
      </c>
      <c r="S389" s="3">
        <v>45199</v>
      </c>
      <c r="T389" s="35"/>
      <c r="U389" s="3"/>
      <c r="V389" s="3"/>
      <c r="W389" s="50"/>
      <c r="X389" s="9">
        <v>10221475</v>
      </c>
      <c r="Y389" s="9">
        <v>6132885</v>
      </c>
      <c r="Z389" s="34">
        <f t="shared" ref="Z389:Z452" si="17">+(X389/M389)</f>
        <v>0.625</v>
      </c>
      <c r="AA389" s="1">
        <v>12545859</v>
      </c>
      <c r="AB389" s="1" t="s">
        <v>2632</v>
      </c>
      <c r="AC389" s="1"/>
      <c r="AD389" s="1"/>
      <c r="AE389" s="3"/>
      <c r="AF389" s="194" t="s">
        <v>3389</v>
      </c>
      <c r="AG389" s="15" t="s">
        <v>192</v>
      </c>
      <c r="AH389" s="15" t="s">
        <v>192</v>
      </c>
    </row>
    <row r="390" spans="1:34" s="4" customFormat="1" x14ac:dyDescent="0.25">
      <c r="A390" s="16">
        <v>891780360</v>
      </c>
      <c r="B390" s="16" t="s">
        <v>54</v>
      </c>
      <c r="C390" s="14" t="s">
        <v>2627</v>
      </c>
      <c r="D390" s="16" t="s">
        <v>60</v>
      </c>
      <c r="E390" s="1" t="s">
        <v>3390</v>
      </c>
      <c r="F390" s="16" t="s">
        <v>61</v>
      </c>
      <c r="G390" s="1" t="s">
        <v>69</v>
      </c>
      <c r="H390" s="1" t="s">
        <v>2629</v>
      </c>
      <c r="I390" s="9">
        <v>19048225</v>
      </c>
      <c r="J390" s="94"/>
      <c r="K390" s="2"/>
      <c r="L390" s="2"/>
      <c r="M390" s="40">
        <f t="shared" ref="M390:M453" si="18">I390+K390-L390</f>
        <v>19048225</v>
      </c>
      <c r="N390" s="1">
        <v>1120332033</v>
      </c>
      <c r="O390" s="1" t="s">
        <v>3391</v>
      </c>
      <c r="P390" s="1" t="s">
        <v>2636</v>
      </c>
      <c r="Q390" s="3">
        <v>44967</v>
      </c>
      <c r="R390" s="3">
        <v>44967</v>
      </c>
      <c r="S390" s="3">
        <v>45275</v>
      </c>
      <c r="T390" s="35"/>
      <c r="U390" s="3"/>
      <c r="V390" s="3"/>
      <c r="W390" s="50"/>
      <c r="X390" s="9">
        <v>9070585</v>
      </c>
      <c r="Y390" s="9">
        <v>9977640</v>
      </c>
      <c r="Z390" s="34">
        <f t="shared" si="17"/>
        <v>0.47619056368769269</v>
      </c>
      <c r="AA390" s="1">
        <v>12545859</v>
      </c>
      <c r="AB390" s="1" t="s">
        <v>2632</v>
      </c>
      <c r="AC390" s="1"/>
      <c r="AD390" s="1"/>
      <c r="AE390" s="3"/>
      <c r="AF390" s="194" t="s">
        <v>3392</v>
      </c>
      <c r="AG390" s="15" t="s">
        <v>192</v>
      </c>
      <c r="AH390" s="15" t="s">
        <v>192</v>
      </c>
    </row>
    <row r="391" spans="1:34" s="4" customFormat="1" x14ac:dyDescent="0.25">
      <c r="A391" s="16">
        <v>891780361</v>
      </c>
      <c r="B391" s="16" t="s">
        <v>54</v>
      </c>
      <c r="C391" s="14" t="s">
        <v>2627</v>
      </c>
      <c r="D391" s="16" t="s">
        <v>60</v>
      </c>
      <c r="E391" s="1" t="s">
        <v>3393</v>
      </c>
      <c r="F391" s="16" t="s">
        <v>61</v>
      </c>
      <c r="G391" s="1" t="s">
        <v>69</v>
      </c>
      <c r="H391" s="1" t="s">
        <v>2629</v>
      </c>
      <c r="I391" s="9">
        <v>20812225</v>
      </c>
      <c r="J391" s="94"/>
      <c r="K391" s="2"/>
      <c r="L391" s="2"/>
      <c r="M391" s="40">
        <f t="shared" si="18"/>
        <v>20812225</v>
      </c>
      <c r="N391" s="1">
        <v>3875613</v>
      </c>
      <c r="O391" s="1" t="s">
        <v>3394</v>
      </c>
      <c r="P391" s="1" t="s">
        <v>3033</v>
      </c>
      <c r="Q391" s="3">
        <v>44967</v>
      </c>
      <c r="R391" s="3">
        <v>44967</v>
      </c>
      <c r="S391" s="3">
        <v>45275</v>
      </c>
      <c r="T391" s="35"/>
      <c r="U391" s="3"/>
      <c r="V391" s="3"/>
      <c r="W391" s="50"/>
      <c r="X391" s="9">
        <v>9910585</v>
      </c>
      <c r="Y391" s="9">
        <v>10901640</v>
      </c>
      <c r="Z391" s="34">
        <f t="shared" si="17"/>
        <v>0.47619055627161438</v>
      </c>
      <c r="AA391" s="1">
        <v>12545859</v>
      </c>
      <c r="AB391" s="1" t="s">
        <v>2632</v>
      </c>
      <c r="AC391" s="1"/>
      <c r="AD391" s="1"/>
      <c r="AE391" s="3"/>
      <c r="AF391" s="194" t="s">
        <v>3395</v>
      </c>
      <c r="AG391" s="15" t="s">
        <v>192</v>
      </c>
      <c r="AH391" s="15" t="s">
        <v>192</v>
      </c>
    </row>
    <row r="392" spans="1:34" s="4" customFormat="1" x14ac:dyDescent="0.25">
      <c r="A392" s="16">
        <v>891780362</v>
      </c>
      <c r="B392" s="16" t="s">
        <v>54</v>
      </c>
      <c r="C392" s="14" t="s">
        <v>2627</v>
      </c>
      <c r="D392" s="16" t="s">
        <v>60</v>
      </c>
      <c r="E392" s="1" t="s">
        <v>3396</v>
      </c>
      <c r="F392" s="16" t="s">
        <v>61</v>
      </c>
      <c r="G392" s="1" t="s">
        <v>69</v>
      </c>
      <c r="H392" s="1" t="s">
        <v>2629</v>
      </c>
      <c r="I392" s="9">
        <v>17095630</v>
      </c>
      <c r="J392" s="94"/>
      <c r="K392" s="2"/>
      <c r="L392" s="2"/>
      <c r="M392" s="40">
        <f t="shared" si="18"/>
        <v>17095630</v>
      </c>
      <c r="N392" s="1">
        <v>1053003173</v>
      </c>
      <c r="O392" s="1" t="s">
        <v>3397</v>
      </c>
      <c r="P392" s="1" t="s">
        <v>2647</v>
      </c>
      <c r="Q392" s="3">
        <v>44967</v>
      </c>
      <c r="R392" s="3">
        <v>44967</v>
      </c>
      <c r="S392" s="3">
        <v>45275</v>
      </c>
      <c r="T392" s="35"/>
      <c r="U392" s="3"/>
      <c r="V392" s="3"/>
      <c r="W392" s="50"/>
      <c r="X392" s="9">
        <v>8140775</v>
      </c>
      <c r="Y392" s="9">
        <v>8954855</v>
      </c>
      <c r="Z392" s="34">
        <f t="shared" si="17"/>
        <v>0.47619040655418959</v>
      </c>
      <c r="AA392" s="1">
        <v>12545859</v>
      </c>
      <c r="AB392" s="1" t="s">
        <v>2632</v>
      </c>
      <c r="AC392" s="1"/>
      <c r="AD392" s="1"/>
      <c r="AE392" s="3"/>
      <c r="AF392" s="194" t="s">
        <v>3398</v>
      </c>
      <c r="AG392" s="15" t="s">
        <v>192</v>
      </c>
      <c r="AH392" s="15" t="s">
        <v>192</v>
      </c>
    </row>
    <row r="393" spans="1:34" s="4" customFormat="1" x14ac:dyDescent="0.25">
      <c r="A393" s="16">
        <v>891780363</v>
      </c>
      <c r="B393" s="16" t="s">
        <v>54</v>
      </c>
      <c r="C393" s="14" t="s">
        <v>2627</v>
      </c>
      <c r="D393" s="16" t="s">
        <v>60</v>
      </c>
      <c r="E393" s="1" t="s">
        <v>3399</v>
      </c>
      <c r="F393" s="16" t="s">
        <v>61</v>
      </c>
      <c r="G393" s="1" t="s">
        <v>69</v>
      </c>
      <c r="H393" s="1" t="s">
        <v>2629</v>
      </c>
      <c r="I393" s="9">
        <v>19048225</v>
      </c>
      <c r="J393" s="94"/>
      <c r="K393" s="2"/>
      <c r="L393" s="2"/>
      <c r="M393" s="40">
        <f t="shared" si="18"/>
        <v>19048225</v>
      </c>
      <c r="N393" s="1">
        <v>1131107518</v>
      </c>
      <c r="O393" s="1" t="s">
        <v>3400</v>
      </c>
      <c r="P393" s="1" t="s">
        <v>2636</v>
      </c>
      <c r="Q393" s="3">
        <v>44967</v>
      </c>
      <c r="R393" s="3">
        <v>44967</v>
      </c>
      <c r="S393" s="3">
        <v>45275</v>
      </c>
      <c r="T393" s="35"/>
      <c r="U393" s="3"/>
      <c r="V393" s="3"/>
      <c r="W393" s="50"/>
      <c r="X393" s="9">
        <v>9070585</v>
      </c>
      <c r="Y393" s="9">
        <v>9977640</v>
      </c>
      <c r="Z393" s="34">
        <f t="shared" si="17"/>
        <v>0.47619056368769269</v>
      </c>
      <c r="AA393" s="1">
        <v>12545859</v>
      </c>
      <c r="AB393" s="1" t="s">
        <v>2632</v>
      </c>
      <c r="AC393" s="1"/>
      <c r="AD393" s="1"/>
      <c r="AE393" s="3"/>
      <c r="AF393" s="194" t="s">
        <v>3401</v>
      </c>
      <c r="AG393" s="15" t="s">
        <v>192</v>
      </c>
      <c r="AH393" s="15" t="s">
        <v>192</v>
      </c>
    </row>
    <row r="394" spans="1:34" s="4" customFormat="1" x14ac:dyDescent="0.25">
      <c r="A394" s="16">
        <v>891780364</v>
      </c>
      <c r="B394" s="16" t="s">
        <v>54</v>
      </c>
      <c r="C394" s="14" t="s">
        <v>2627</v>
      </c>
      <c r="D394" s="16" t="s">
        <v>60</v>
      </c>
      <c r="E394" s="1" t="s">
        <v>3402</v>
      </c>
      <c r="F394" s="16" t="s">
        <v>61</v>
      </c>
      <c r="G394" s="1" t="s">
        <v>69</v>
      </c>
      <c r="H394" s="1" t="s">
        <v>2629</v>
      </c>
      <c r="I394" s="9">
        <v>16354360.4</v>
      </c>
      <c r="J394" s="94"/>
      <c r="K394" s="2"/>
      <c r="L394" s="2"/>
      <c r="M394" s="40">
        <f t="shared" si="18"/>
        <v>16354360.4</v>
      </c>
      <c r="N394" s="1">
        <v>1104871984</v>
      </c>
      <c r="O394" s="1" t="s">
        <v>3403</v>
      </c>
      <c r="P394" s="1" t="s">
        <v>3375</v>
      </c>
      <c r="Q394" s="3">
        <v>44971</v>
      </c>
      <c r="R394" s="3">
        <v>44971</v>
      </c>
      <c r="S394" s="3">
        <v>45199</v>
      </c>
      <c r="T394" s="35"/>
      <c r="U394" s="3"/>
      <c r="V394" s="3"/>
      <c r="W394" s="50"/>
      <c r="X394" s="9">
        <v>12025940.4</v>
      </c>
      <c r="Y394" s="9">
        <v>4328420</v>
      </c>
      <c r="Z394" s="34">
        <f t="shared" si="17"/>
        <v>0.73533541550178871</v>
      </c>
      <c r="AA394" s="1">
        <v>12545859</v>
      </c>
      <c r="AB394" s="1" t="s">
        <v>2632</v>
      </c>
      <c r="AC394" s="1"/>
      <c r="AD394" s="1"/>
      <c r="AE394" s="3"/>
      <c r="AF394" s="194" t="s">
        <v>3404</v>
      </c>
      <c r="AG394" s="15" t="s">
        <v>192</v>
      </c>
      <c r="AH394" s="15" t="s">
        <v>192</v>
      </c>
    </row>
    <row r="395" spans="1:34" s="4" customFormat="1" x14ac:dyDescent="0.25">
      <c r="A395" s="16">
        <v>891780365</v>
      </c>
      <c r="B395" s="16" t="s">
        <v>54</v>
      </c>
      <c r="C395" s="14" t="s">
        <v>2627</v>
      </c>
      <c r="D395" s="16" t="s">
        <v>60</v>
      </c>
      <c r="E395" s="1" t="s">
        <v>3405</v>
      </c>
      <c r="F395" s="16" t="s">
        <v>61</v>
      </c>
      <c r="G395" s="1" t="s">
        <v>69</v>
      </c>
      <c r="H395" s="1" t="s">
        <v>2629</v>
      </c>
      <c r="I395" s="9">
        <v>20821033</v>
      </c>
      <c r="J395" s="94"/>
      <c r="K395" s="2"/>
      <c r="L395" s="2"/>
      <c r="M395" s="40">
        <f t="shared" si="18"/>
        <v>20821033</v>
      </c>
      <c r="N395" s="1">
        <v>1102587402</v>
      </c>
      <c r="O395" s="1" t="s">
        <v>3406</v>
      </c>
      <c r="P395" s="1" t="s">
        <v>2857</v>
      </c>
      <c r="Q395" s="3">
        <v>44971</v>
      </c>
      <c r="R395" s="3">
        <v>44971</v>
      </c>
      <c r="S395" s="3">
        <v>45275</v>
      </c>
      <c r="T395" s="35"/>
      <c r="U395" s="3"/>
      <c r="V395" s="3"/>
      <c r="W395" s="50"/>
      <c r="X395" s="9">
        <v>9914780</v>
      </c>
      <c r="Y395" s="9">
        <v>10906253</v>
      </c>
      <c r="Z395" s="34">
        <f t="shared" si="17"/>
        <v>0.47619059054370644</v>
      </c>
      <c r="AA395" s="1">
        <v>12545859</v>
      </c>
      <c r="AB395" s="1" t="s">
        <v>2632</v>
      </c>
      <c r="AC395" s="1"/>
      <c r="AD395" s="1"/>
      <c r="AE395" s="3"/>
      <c r="AF395" s="194" t="s">
        <v>3407</v>
      </c>
      <c r="AG395" s="15" t="s">
        <v>192</v>
      </c>
      <c r="AH395" s="15" t="s">
        <v>192</v>
      </c>
    </row>
    <row r="396" spans="1:34" s="4" customFormat="1" x14ac:dyDescent="0.25">
      <c r="A396" s="16">
        <v>891780366</v>
      </c>
      <c r="B396" s="16" t="s">
        <v>54</v>
      </c>
      <c r="C396" s="14" t="s">
        <v>2627</v>
      </c>
      <c r="D396" s="16" t="s">
        <v>60</v>
      </c>
      <c r="E396" s="1" t="s">
        <v>3408</v>
      </c>
      <c r="F396" s="16" t="s">
        <v>61</v>
      </c>
      <c r="G396" s="1" t="s">
        <v>69</v>
      </c>
      <c r="H396" s="1" t="s">
        <v>2629</v>
      </c>
      <c r="I396" s="9">
        <v>19425415</v>
      </c>
      <c r="J396" s="94"/>
      <c r="K396" s="2"/>
      <c r="L396" s="2"/>
      <c r="M396" s="40">
        <f t="shared" si="18"/>
        <v>19425415</v>
      </c>
      <c r="N396" s="1">
        <v>1050429131</v>
      </c>
      <c r="O396" s="1" t="s">
        <v>3409</v>
      </c>
      <c r="P396" s="1" t="s">
        <v>2834</v>
      </c>
      <c r="Q396" s="3">
        <v>44971</v>
      </c>
      <c r="R396" s="3">
        <v>44971</v>
      </c>
      <c r="S396" s="3">
        <v>45275</v>
      </c>
      <c r="T396" s="35"/>
      <c r="U396" s="3"/>
      <c r="V396" s="3"/>
      <c r="W396" s="50"/>
      <c r="X396" s="9">
        <v>9171169</v>
      </c>
      <c r="Y396" s="9">
        <v>10254246</v>
      </c>
      <c r="Z396" s="34">
        <f t="shared" si="17"/>
        <v>0.47212216572979265</v>
      </c>
      <c r="AA396" s="1">
        <v>12545859</v>
      </c>
      <c r="AB396" s="1" t="s">
        <v>2632</v>
      </c>
      <c r="AC396" s="1"/>
      <c r="AD396" s="1"/>
      <c r="AE396" s="3"/>
      <c r="AF396" s="194" t="s">
        <v>3410</v>
      </c>
      <c r="AG396" s="15" t="s">
        <v>192</v>
      </c>
      <c r="AH396" s="15" t="s">
        <v>192</v>
      </c>
    </row>
    <row r="397" spans="1:34" s="4" customFormat="1" x14ac:dyDescent="0.25">
      <c r="A397" s="16">
        <v>891780367</v>
      </c>
      <c r="B397" s="16" t="s">
        <v>54</v>
      </c>
      <c r="C397" s="14" t="s">
        <v>2627</v>
      </c>
      <c r="D397" s="16" t="s">
        <v>60</v>
      </c>
      <c r="E397" s="1" t="s">
        <v>3411</v>
      </c>
      <c r="F397" s="16" t="s">
        <v>61</v>
      </c>
      <c r="G397" s="1" t="s">
        <v>69</v>
      </c>
      <c r="H397" s="1" t="s">
        <v>2629</v>
      </c>
      <c r="I397" s="9">
        <v>19425415</v>
      </c>
      <c r="J397" s="94"/>
      <c r="K397" s="2"/>
      <c r="L397" s="2"/>
      <c r="M397" s="40">
        <f t="shared" si="18"/>
        <v>19425415</v>
      </c>
      <c r="N397" s="1">
        <v>1102233394</v>
      </c>
      <c r="O397" s="1" t="s">
        <v>3412</v>
      </c>
      <c r="P397" s="1" t="s">
        <v>2857</v>
      </c>
      <c r="Q397" s="3">
        <v>44971</v>
      </c>
      <c r="R397" s="3">
        <v>44971</v>
      </c>
      <c r="S397" s="3">
        <v>45275</v>
      </c>
      <c r="T397" s="35"/>
      <c r="U397" s="3"/>
      <c r="V397" s="3"/>
      <c r="W397" s="50"/>
      <c r="X397" s="9">
        <v>9542614</v>
      </c>
      <c r="Y397" s="9">
        <v>9882801</v>
      </c>
      <c r="Z397" s="34">
        <f t="shared" si="17"/>
        <v>0.49124376493372213</v>
      </c>
      <c r="AA397" s="1">
        <v>12545859</v>
      </c>
      <c r="AB397" s="1" t="s">
        <v>2632</v>
      </c>
      <c r="AC397" s="1"/>
      <c r="AD397" s="1"/>
      <c r="AE397" s="3"/>
      <c r="AF397" s="194" t="s">
        <v>3413</v>
      </c>
      <c r="AG397" s="15" t="s">
        <v>192</v>
      </c>
      <c r="AH397" s="15" t="s">
        <v>192</v>
      </c>
    </row>
    <row r="398" spans="1:34" s="4" customFormat="1" x14ac:dyDescent="0.25">
      <c r="A398" s="16">
        <v>891780368</v>
      </c>
      <c r="B398" s="16" t="s">
        <v>54</v>
      </c>
      <c r="C398" s="14" t="s">
        <v>2627</v>
      </c>
      <c r="D398" s="16" t="s">
        <v>60</v>
      </c>
      <c r="E398" s="1" t="s">
        <v>3414</v>
      </c>
      <c r="F398" s="16" t="s">
        <v>61</v>
      </c>
      <c r="G398" s="1" t="s">
        <v>69</v>
      </c>
      <c r="H398" s="1" t="s">
        <v>2629</v>
      </c>
      <c r="I398" s="9">
        <v>19048225</v>
      </c>
      <c r="J398" s="94"/>
      <c r="K398" s="2"/>
      <c r="L398" s="2"/>
      <c r="M398" s="40">
        <f t="shared" si="18"/>
        <v>19048225</v>
      </c>
      <c r="N398" s="1">
        <v>43897859</v>
      </c>
      <c r="O398" s="1" t="s">
        <v>3415</v>
      </c>
      <c r="P398" s="1" t="s">
        <v>2834</v>
      </c>
      <c r="Q398" s="3">
        <v>44971</v>
      </c>
      <c r="R398" s="3">
        <v>44971</v>
      </c>
      <c r="S398" s="3">
        <v>45275</v>
      </c>
      <c r="T398" s="35"/>
      <c r="U398" s="3"/>
      <c r="V398" s="3"/>
      <c r="W398" s="50"/>
      <c r="X398" s="9">
        <v>9070585</v>
      </c>
      <c r="Y398" s="9">
        <v>9977640</v>
      </c>
      <c r="Z398" s="34">
        <f t="shared" si="17"/>
        <v>0.47619056368769269</v>
      </c>
      <c r="AA398" s="1">
        <v>12545859</v>
      </c>
      <c r="AB398" s="1" t="s">
        <v>2632</v>
      </c>
      <c r="AC398" s="1"/>
      <c r="AD398" s="1"/>
      <c r="AE398" s="3"/>
      <c r="AF398" s="194" t="s">
        <v>3416</v>
      </c>
      <c r="AG398" s="15" t="s">
        <v>192</v>
      </c>
      <c r="AH398" s="15" t="s">
        <v>192</v>
      </c>
    </row>
    <row r="399" spans="1:34" s="4" customFormat="1" x14ac:dyDescent="0.25">
      <c r="A399" s="16">
        <v>891780369</v>
      </c>
      <c r="B399" s="16" t="s">
        <v>54</v>
      </c>
      <c r="C399" s="14" t="s">
        <v>2627</v>
      </c>
      <c r="D399" s="16" t="s">
        <v>60</v>
      </c>
      <c r="E399" s="1" t="s">
        <v>3417</v>
      </c>
      <c r="F399" s="16" t="s">
        <v>61</v>
      </c>
      <c r="G399" s="1" t="s">
        <v>69</v>
      </c>
      <c r="H399" s="1" t="s">
        <v>2629</v>
      </c>
      <c r="I399" s="9">
        <v>19048225</v>
      </c>
      <c r="J399" s="94"/>
      <c r="K399" s="2"/>
      <c r="L399" s="2"/>
      <c r="M399" s="40">
        <f t="shared" si="18"/>
        <v>19048225</v>
      </c>
      <c r="N399" s="1">
        <v>84109948</v>
      </c>
      <c r="O399" s="1" t="s">
        <v>3418</v>
      </c>
      <c r="P399" s="1" t="s">
        <v>2636</v>
      </c>
      <c r="Q399" s="3">
        <v>44971</v>
      </c>
      <c r="R399" s="3">
        <v>44971</v>
      </c>
      <c r="S399" s="3">
        <v>45275</v>
      </c>
      <c r="T399" s="35"/>
      <c r="U399" s="3"/>
      <c r="V399" s="3"/>
      <c r="W399" s="50"/>
      <c r="X399" s="9">
        <v>9070585</v>
      </c>
      <c r="Y399" s="9">
        <v>9977640</v>
      </c>
      <c r="Z399" s="34">
        <f t="shared" si="17"/>
        <v>0.47619056368769269</v>
      </c>
      <c r="AA399" s="1">
        <v>12545859</v>
      </c>
      <c r="AB399" s="1" t="s">
        <v>2632</v>
      </c>
      <c r="AC399" s="1"/>
      <c r="AD399" s="1"/>
      <c r="AE399" s="3"/>
      <c r="AF399" s="194" t="s">
        <v>3419</v>
      </c>
      <c r="AG399" s="15" t="s">
        <v>192</v>
      </c>
      <c r="AH399" s="15" t="s">
        <v>192</v>
      </c>
    </row>
    <row r="400" spans="1:34" s="4" customFormat="1" x14ac:dyDescent="0.25">
      <c r="A400" s="16">
        <v>891780370</v>
      </c>
      <c r="B400" s="16" t="s">
        <v>54</v>
      </c>
      <c r="C400" s="14" t="s">
        <v>2627</v>
      </c>
      <c r="D400" s="16" t="s">
        <v>60</v>
      </c>
      <c r="E400" s="1" t="s">
        <v>3420</v>
      </c>
      <c r="F400" s="16" t="s">
        <v>61</v>
      </c>
      <c r="G400" s="1" t="s">
        <v>69</v>
      </c>
      <c r="H400" s="1" t="s">
        <v>2629</v>
      </c>
      <c r="I400" s="9">
        <v>16650356</v>
      </c>
      <c r="J400" s="94"/>
      <c r="K400" s="2"/>
      <c r="L400" s="2"/>
      <c r="M400" s="40">
        <f t="shared" si="18"/>
        <v>16650356</v>
      </c>
      <c r="N400" s="1">
        <v>17684823</v>
      </c>
      <c r="O400" s="1" t="s">
        <v>3421</v>
      </c>
      <c r="P400" s="1" t="s">
        <v>3361</v>
      </c>
      <c r="Q400" s="3">
        <v>44971</v>
      </c>
      <c r="R400" s="3">
        <v>44971</v>
      </c>
      <c r="S400" s="3">
        <v>45199</v>
      </c>
      <c r="T400" s="35"/>
      <c r="U400" s="3"/>
      <c r="V400" s="3"/>
      <c r="W400" s="50"/>
      <c r="X400" s="9">
        <v>10406470</v>
      </c>
      <c r="Y400" s="9">
        <v>6243886</v>
      </c>
      <c r="Z400" s="34">
        <f t="shared" si="17"/>
        <v>0.62499984985306023</v>
      </c>
      <c r="AA400" s="1">
        <v>12545859</v>
      </c>
      <c r="AB400" s="1" t="s">
        <v>2632</v>
      </c>
      <c r="AC400" s="1"/>
      <c r="AD400" s="1"/>
      <c r="AE400" s="3"/>
      <c r="AF400" s="194" t="s">
        <v>3422</v>
      </c>
      <c r="AG400" s="15" t="s">
        <v>192</v>
      </c>
      <c r="AH400" s="15" t="s">
        <v>192</v>
      </c>
    </row>
    <row r="401" spans="1:34" s="4" customFormat="1" x14ac:dyDescent="0.25">
      <c r="A401" s="16">
        <v>891780371</v>
      </c>
      <c r="B401" s="16" t="s">
        <v>54</v>
      </c>
      <c r="C401" s="14" t="s">
        <v>2627</v>
      </c>
      <c r="D401" s="16" t="s">
        <v>60</v>
      </c>
      <c r="E401" s="1" t="s">
        <v>3423</v>
      </c>
      <c r="F401" s="16" t="s">
        <v>61</v>
      </c>
      <c r="G401" s="1" t="s">
        <v>69</v>
      </c>
      <c r="H401" s="1" t="s">
        <v>2629</v>
      </c>
      <c r="I401" s="9">
        <v>15725336</v>
      </c>
      <c r="J401" s="94"/>
      <c r="K401" s="2"/>
      <c r="L401" s="2"/>
      <c r="M401" s="40">
        <f t="shared" si="18"/>
        <v>15725336</v>
      </c>
      <c r="N401" s="1">
        <v>1110478239</v>
      </c>
      <c r="O401" s="1" t="s">
        <v>3424</v>
      </c>
      <c r="P401" s="1" t="s">
        <v>3128</v>
      </c>
      <c r="Q401" s="3">
        <v>44971</v>
      </c>
      <c r="R401" s="3">
        <v>44971</v>
      </c>
      <c r="S401" s="3">
        <v>45214</v>
      </c>
      <c r="T401" s="35"/>
      <c r="U401" s="3"/>
      <c r="V401" s="3"/>
      <c r="W401" s="50"/>
      <c r="X401" s="9">
        <v>9250200</v>
      </c>
      <c r="Y401" s="9">
        <v>6475136</v>
      </c>
      <c r="Z401" s="34">
        <f t="shared" si="17"/>
        <v>0.58823544374504944</v>
      </c>
      <c r="AA401" s="1">
        <v>12545859</v>
      </c>
      <c r="AB401" s="1" t="s">
        <v>2632</v>
      </c>
      <c r="AC401" s="1"/>
      <c r="AD401" s="1"/>
      <c r="AE401" s="3"/>
      <c r="AF401" s="194" t="s">
        <v>3425</v>
      </c>
      <c r="AG401" s="15" t="s">
        <v>192</v>
      </c>
      <c r="AH401" s="15" t="s">
        <v>192</v>
      </c>
    </row>
    <row r="402" spans="1:34" s="4" customFormat="1" x14ac:dyDescent="0.25">
      <c r="A402" s="16">
        <v>891780372</v>
      </c>
      <c r="B402" s="16" t="s">
        <v>54</v>
      </c>
      <c r="C402" s="14" t="s">
        <v>2627</v>
      </c>
      <c r="D402" s="16" t="s">
        <v>60</v>
      </c>
      <c r="E402" s="1" t="s">
        <v>3426</v>
      </c>
      <c r="F402" s="16" t="s">
        <v>61</v>
      </c>
      <c r="G402" s="1" t="s">
        <v>69</v>
      </c>
      <c r="H402" s="1" t="s">
        <v>2629</v>
      </c>
      <c r="I402" s="9">
        <v>19048225</v>
      </c>
      <c r="J402" s="94"/>
      <c r="K402" s="2"/>
      <c r="L402" s="2"/>
      <c r="M402" s="40">
        <f t="shared" si="18"/>
        <v>19048225</v>
      </c>
      <c r="N402" s="1">
        <v>1089796041</v>
      </c>
      <c r="O402" s="1" t="s">
        <v>3427</v>
      </c>
      <c r="P402" s="1" t="s">
        <v>2636</v>
      </c>
      <c r="Q402" s="3">
        <v>44971</v>
      </c>
      <c r="R402" s="3">
        <v>44971</v>
      </c>
      <c r="S402" s="3">
        <v>45275</v>
      </c>
      <c r="T402" s="35"/>
      <c r="U402" s="3"/>
      <c r="V402" s="3"/>
      <c r="W402" s="50"/>
      <c r="X402" s="9">
        <v>9070585</v>
      </c>
      <c r="Y402" s="9">
        <v>9977640</v>
      </c>
      <c r="Z402" s="34">
        <f t="shared" si="17"/>
        <v>0.47619056368769269</v>
      </c>
      <c r="AA402" s="1">
        <v>12545859</v>
      </c>
      <c r="AB402" s="1" t="s">
        <v>2632</v>
      </c>
      <c r="AC402" s="1"/>
      <c r="AD402" s="1"/>
      <c r="AE402" s="3"/>
      <c r="AF402" s="194" t="s">
        <v>3428</v>
      </c>
      <c r="AG402" s="15" t="s">
        <v>192</v>
      </c>
      <c r="AH402" s="15" t="s">
        <v>192</v>
      </c>
    </row>
    <row r="403" spans="1:34" s="4" customFormat="1" x14ac:dyDescent="0.25">
      <c r="A403" s="16">
        <v>891780373</v>
      </c>
      <c r="B403" s="16" t="s">
        <v>54</v>
      </c>
      <c r="C403" s="14" t="s">
        <v>2627</v>
      </c>
      <c r="D403" s="16" t="s">
        <v>60</v>
      </c>
      <c r="E403" s="1" t="s">
        <v>3429</v>
      </c>
      <c r="F403" s="16" t="s">
        <v>61</v>
      </c>
      <c r="G403" s="1" t="s">
        <v>69</v>
      </c>
      <c r="H403" s="1" t="s">
        <v>2629</v>
      </c>
      <c r="I403" s="9">
        <v>19048225</v>
      </c>
      <c r="J403" s="94"/>
      <c r="K403" s="2"/>
      <c r="L403" s="2"/>
      <c r="M403" s="40">
        <f t="shared" si="18"/>
        <v>19048225</v>
      </c>
      <c r="N403" s="1">
        <v>82384739</v>
      </c>
      <c r="O403" s="1" t="s">
        <v>3430</v>
      </c>
      <c r="P403" s="1" t="s">
        <v>2636</v>
      </c>
      <c r="Q403" s="3">
        <v>44971</v>
      </c>
      <c r="R403" s="3">
        <v>44971</v>
      </c>
      <c r="S403" s="3">
        <v>45275</v>
      </c>
      <c r="T403" s="35"/>
      <c r="U403" s="3"/>
      <c r="V403" s="3"/>
      <c r="W403" s="50"/>
      <c r="X403" s="9">
        <v>9070585</v>
      </c>
      <c r="Y403" s="9">
        <v>9977640</v>
      </c>
      <c r="Z403" s="34">
        <f t="shared" si="17"/>
        <v>0.47619056368769269</v>
      </c>
      <c r="AA403" s="1">
        <v>12545859</v>
      </c>
      <c r="AB403" s="1" t="s">
        <v>2632</v>
      </c>
      <c r="AC403" s="1"/>
      <c r="AD403" s="1"/>
      <c r="AE403" s="3"/>
      <c r="AF403" s="194" t="s">
        <v>3431</v>
      </c>
      <c r="AG403" s="15" t="s">
        <v>192</v>
      </c>
      <c r="AH403" s="15" t="s">
        <v>192</v>
      </c>
    </row>
    <row r="404" spans="1:34" s="4" customFormat="1" x14ac:dyDescent="0.25">
      <c r="A404" s="16">
        <v>891780374</v>
      </c>
      <c r="B404" s="16" t="s">
        <v>54</v>
      </c>
      <c r="C404" s="14" t="s">
        <v>2627</v>
      </c>
      <c r="D404" s="16" t="s">
        <v>60</v>
      </c>
      <c r="E404" s="1" t="s">
        <v>3432</v>
      </c>
      <c r="F404" s="16" t="s">
        <v>61</v>
      </c>
      <c r="G404" s="1" t="s">
        <v>69</v>
      </c>
      <c r="H404" s="1" t="s">
        <v>2629</v>
      </c>
      <c r="I404" s="9">
        <v>19048225</v>
      </c>
      <c r="J404" s="94"/>
      <c r="K404" s="2"/>
      <c r="L404" s="2"/>
      <c r="M404" s="40">
        <f t="shared" si="18"/>
        <v>19048225</v>
      </c>
      <c r="N404" s="1">
        <v>1076876126</v>
      </c>
      <c r="O404" s="1" t="s">
        <v>3433</v>
      </c>
      <c r="P404" s="1" t="s">
        <v>2636</v>
      </c>
      <c r="Q404" s="3">
        <v>44971</v>
      </c>
      <c r="R404" s="3">
        <v>44971</v>
      </c>
      <c r="S404" s="3">
        <v>45275</v>
      </c>
      <c r="T404" s="35"/>
      <c r="U404" s="3"/>
      <c r="V404" s="3"/>
      <c r="W404" s="50"/>
      <c r="X404" s="9">
        <v>9070585</v>
      </c>
      <c r="Y404" s="9">
        <v>9977640</v>
      </c>
      <c r="Z404" s="34">
        <f t="shared" si="17"/>
        <v>0.47619056368769269</v>
      </c>
      <c r="AA404" s="1">
        <v>12545859</v>
      </c>
      <c r="AB404" s="1" t="s">
        <v>2632</v>
      </c>
      <c r="AC404" s="1"/>
      <c r="AD404" s="1"/>
      <c r="AE404" s="3"/>
      <c r="AF404" s="194" t="s">
        <v>3434</v>
      </c>
      <c r="AG404" s="15" t="s">
        <v>192</v>
      </c>
      <c r="AH404" s="15" t="s">
        <v>192</v>
      </c>
    </row>
    <row r="405" spans="1:34" s="4" customFormat="1" x14ac:dyDescent="0.25">
      <c r="A405" s="16">
        <v>891780375</v>
      </c>
      <c r="B405" s="16" t="s">
        <v>54</v>
      </c>
      <c r="C405" s="14" t="s">
        <v>2627</v>
      </c>
      <c r="D405" s="16" t="s">
        <v>60</v>
      </c>
      <c r="E405" s="1" t="s">
        <v>3435</v>
      </c>
      <c r="F405" s="16" t="s">
        <v>61</v>
      </c>
      <c r="G405" s="1" t="s">
        <v>69</v>
      </c>
      <c r="H405" s="1" t="s">
        <v>2629</v>
      </c>
      <c r="I405" s="9">
        <v>19048225</v>
      </c>
      <c r="J405" s="94"/>
      <c r="K405" s="2"/>
      <c r="L405" s="2"/>
      <c r="M405" s="40">
        <f t="shared" si="18"/>
        <v>19048225</v>
      </c>
      <c r="N405" s="1">
        <v>1077173190</v>
      </c>
      <c r="O405" s="1" t="s">
        <v>3436</v>
      </c>
      <c r="P405" s="1" t="s">
        <v>2636</v>
      </c>
      <c r="Q405" s="3">
        <v>44971</v>
      </c>
      <c r="R405" s="3">
        <v>44971</v>
      </c>
      <c r="S405" s="3">
        <v>45275</v>
      </c>
      <c r="T405" s="35"/>
      <c r="U405" s="3"/>
      <c r="V405" s="3"/>
      <c r="W405" s="50"/>
      <c r="X405" s="9">
        <v>9070585</v>
      </c>
      <c r="Y405" s="9">
        <v>9977640</v>
      </c>
      <c r="Z405" s="34">
        <f t="shared" si="17"/>
        <v>0.47619056368769269</v>
      </c>
      <c r="AA405" s="1">
        <v>12545859</v>
      </c>
      <c r="AB405" s="1" t="s">
        <v>2632</v>
      </c>
      <c r="AC405" s="1"/>
      <c r="AD405" s="1"/>
      <c r="AE405" s="3"/>
      <c r="AF405" s="194" t="s">
        <v>3437</v>
      </c>
      <c r="AG405" s="15" t="s">
        <v>192</v>
      </c>
      <c r="AH405" s="15" t="s">
        <v>192</v>
      </c>
    </row>
    <row r="406" spans="1:34" s="4" customFormat="1" x14ac:dyDescent="0.25">
      <c r="A406" s="16">
        <v>891780376</v>
      </c>
      <c r="B406" s="16" t="s">
        <v>54</v>
      </c>
      <c r="C406" s="14" t="s">
        <v>2627</v>
      </c>
      <c r="D406" s="16" t="s">
        <v>60</v>
      </c>
      <c r="E406" s="1" t="s">
        <v>3438</v>
      </c>
      <c r="F406" s="16" t="s">
        <v>61</v>
      </c>
      <c r="G406" s="1" t="s">
        <v>69</v>
      </c>
      <c r="H406" s="1" t="s">
        <v>2629</v>
      </c>
      <c r="I406" s="9">
        <v>19048225</v>
      </c>
      <c r="J406" s="94"/>
      <c r="K406" s="2"/>
      <c r="L406" s="2"/>
      <c r="M406" s="40">
        <f t="shared" si="18"/>
        <v>19048225</v>
      </c>
      <c r="N406" s="1">
        <v>1003914460</v>
      </c>
      <c r="O406" s="1" t="s">
        <v>3439</v>
      </c>
      <c r="P406" s="1" t="s">
        <v>2636</v>
      </c>
      <c r="Q406" s="3">
        <v>44971</v>
      </c>
      <c r="R406" s="3">
        <v>44971</v>
      </c>
      <c r="S406" s="3">
        <v>45275</v>
      </c>
      <c r="T406" s="35"/>
      <c r="U406" s="3"/>
      <c r="V406" s="3"/>
      <c r="W406" s="50"/>
      <c r="X406" s="9">
        <v>9070585</v>
      </c>
      <c r="Y406" s="9">
        <v>9977640</v>
      </c>
      <c r="Z406" s="34">
        <f t="shared" si="17"/>
        <v>0.47619056368769269</v>
      </c>
      <c r="AA406" s="1">
        <v>12545859</v>
      </c>
      <c r="AB406" s="1" t="s">
        <v>2632</v>
      </c>
      <c r="AC406" s="1"/>
      <c r="AD406" s="1"/>
      <c r="AE406" s="3"/>
      <c r="AF406" s="194" t="s">
        <v>3440</v>
      </c>
      <c r="AG406" s="15" t="s">
        <v>192</v>
      </c>
      <c r="AH406" s="15" t="s">
        <v>192</v>
      </c>
    </row>
    <row r="407" spans="1:34" s="4" customFormat="1" x14ac:dyDescent="0.25">
      <c r="A407" s="16">
        <v>891780377</v>
      </c>
      <c r="B407" s="16" t="s">
        <v>54</v>
      </c>
      <c r="C407" s="14" t="s">
        <v>2627</v>
      </c>
      <c r="D407" s="16" t="s">
        <v>60</v>
      </c>
      <c r="E407" s="1" t="s">
        <v>3441</v>
      </c>
      <c r="F407" s="16" t="s">
        <v>61</v>
      </c>
      <c r="G407" s="1" t="s">
        <v>69</v>
      </c>
      <c r="H407" s="1" t="s">
        <v>2629</v>
      </c>
      <c r="I407" s="9">
        <v>19425415</v>
      </c>
      <c r="J407" s="94"/>
      <c r="K407" s="2"/>
      <c r="L407" s="2"/>
      <c r="M407" s="40">
        <f t="shared" si="18"/>
        <v>19425415</v>
      </c>
      <c r="N407" s="1">
        <v>35990852</v>
      </c>
      <c r="O407" s="1" t="s">
        <v>3442</v>
      </c>
      <c r="P407" s="1" t="s">
        <v>2651</v>
      </c>
      <c r="Q407" s="3">
        <v>44971</v>
      </c>
      <c r="R407" s="3">
        <v>44971</v>
      </c>
      <c r="S407" s="3">
        <v>45275</v>
      </c>
      <c r="T407" s="35"/>
      <c r="U407" s="3"/>
      <c r="V407" s="3"/>
      <c r="W407" s="50"/>
      <c r="X407" s="9">
        <v>9250200</v>
      </c>
      <c r="Y407" s="9">
        <v>10175215</v>
      </c>
      <c r="Z407" s="34">
        <f t="shared" si="17"/>
        <v>0.47619059875940872</v>
      </c>
      <c r="AA407" s="1">
        <v>12545859</v>
      </c>
      <c r="AB407" s="1" t="s">
        <v>2632</v>
      </c>
      <c r="AC407" s="1"/>
      <c r="AD407" s="1"/>
      <c r="AE407" s="3"/>
      <c r="AF407" s="194" t="s">
        <v>3443</v>
      </c>
      <c r="AG407" s="15" t="s">
        <v>192</v>
      </c>
      <c r="AH407" s="15" t="s">
        <v>192</v>
      </c>
    </row>
    <row r="408" spans="1:34" s="4" customFormat="1" x14ac:dyDescent="0.25">
      <c r="A408" s="16">
        <v>891780378</v>
      </c>
      <c r="B408" s="16" t="s">
        <v>54</v>
      </c>
      <c r="C408" s="14" t="s">
        <v>2627</v>
      </c>
      <c r="D408" s="16" t="s">
        <v>60</v>
      </c>
      <c r="E408" s="1" t="s">
        <v>3444</v>
      </c>
      <c r="F408" s="16" t="s">
        <v>61</v>
      </c>
      <c r="G408" s="1" t="s">
        <v>69</v>
      </c>
      <c r="H408" s="1" t="s">
        <v>2629</v>
      </c>
      <c r="I408" s="9">
        <v>19048225</v>
      </c>
      <c r="J408" s="94"/>
      <c r="K408" s="2"/>
      <c r="L408" s="2"/>
      <c r="M408" s="40">
        <f t="shared" si="18"/>
        <v>19048225</v>
      </c>
      <c r="N408" s="1">
        <v>26371430</v>
      </c>
      <c r="O408" s="1" t="s">
        <v>3445</v>
      </c>
      <c r="P408" s="1" t="s">
        <v>2636</v>
      </c>
      <c r="Q408" s="3">
        <v>44971</v>
      </c>
      <c r="R408" s="3">
        <v>44971</v>
      </c>
      <c r="S408" s="3">
        <v>45275</v>
      </c>
      <c r="T408" s="35"/>
      <c r="U408" s="3"/>
      <c r="V408" s="3"/>
      <c r="W408" s="50"/>
      <c r="X408" s="9">
        <v>9070585</v>
      </c>
      <c r="Y408" s="9">
        <v>9977640</v>
      </c>
      <c r="Z408" s="34">
        <f t="shared" si="17"/>
        <v>0.47619056368769269</v>
      </c>
      <c r="AA408" s="1">
        <v>12545859</v>
      </c>
      <c r="AB408" s="1" t="s">
        <v>2632</v>
      </c>
      <c r="AC408" s="1"/>
      <c r="AD408" s="1"/>
      <c r="AE408" s="3"/>
      <c r="AF408" s="194" t="s">
        <v>3446</v>
      </c>
      <c r="AG408" s="15" t="s">
        <v>192</v>
      </c>
      <c r="AH408" s="15" t="s">
        <v>192</v>
      </c>
    </row>
    <row r="409" spans="1:34" s="4" customFormat="1" x14ac:dyDescent="0.25">
      <c r="A409" s="16">
        <v>891780379</v>
      </c>
      <c r="B409" s="16" t="s">
        <v>54</v>
      </c>
      <c r="C409" s="14" t="s">
        <v>2627</v>
      </c>
      <c r="D409" s="16" t="s">
        <v>60</v>
      </c>
      <c r="E409" s="1" t="s">
        <v>3447</v>
      </c>
      <c r="F409" s="16" t="s">
        <v>61</v>
      </c>
      <c r="G409" s="1" t="s">
        <v>69</v>
      </c>
      <c r="H409" s="1" t="s">
        <v>2629</v>
      </c>
      <c r="I409" s="9">
        <v>19425415</v>
      </c>
      <c r="J409" s="94"/>
      <c r="K409" s="2"/>
      <c r="L409" s="2"/>
      <c r="M409" s="40">
        <f t="shared" si="18"/>
        <v>19425415</v>
      </c>
      <c r="N409" s="1">
        <v>59679871</v>
      </c>
      <c r="O409" s="1" t="s">
        <v>3448</v>
      </c>
      <c r="P409" s="1" t="s">
        <v>2651</v>
      </c>
      <c r="Q409" s="3">
        <v>44971</v>
      </c>
      <c r="R409" s="3">
        <v>44971</v>
      </c>
      <c r="S409" s="3">
        <v>45275</v>
      </c>
      <c r="T409" s="35"/>
      <c r="U409" s="3"/>
      <c r="V409" s="3"/>
      <c r="W409" s="50"/>
      <c r="X409" s="9">
        <v>9250200</v>
      </c>
      <c r="Y409" s="9">
        <v>10175215</v>
      </c>
      <c r="Z409" s="34">
        <f t="shared" si="17"/>
        <v>0.47619059875940872</v>
      </c>
      <c r="AA409" s="1">
        <v>12545859</v>
      </c>
      <c r="AB409" s="1" t="s">
        <v>2632</v>
      </c>
      <c r="AC409" s="1"/>
      <c r="AD409" s="1"/>
      <c r="AE409" s="3"/>
      <c r="AF409" s="194" t="s">
        <v>3449</v>
      </c>
      <c r="AG409" s="15" t="s">
        <v>192</v>
      </c>
      <c r="AH409" s="15" t="s">
        <v>192</v>
      </c>
    </row>
    <row r="410" spans="1:34" s="4" customFormat="1" x14ac:dyDescent="0.25">
      <c r="A410" s="16">
        <v>891780380</v>
      </c>
      <c r="B410" s="16" t="s">
        <v>54</v>
      </c>
      <c r="C410" s="14" t="s">
        <v>2627</v>
      </c>
      <c r="D410" s="16" t="s">
        <v>60</v>
      </c>
      <c r="E410" s="1" t="s">
        <v>3450</v>
      </c>
      <c r="F410" s="16" t="s">
        <v>61</v>
      </c>
      <c r="G410" s="1" t="s">
        <v>69</v>
      </c>
      <c r="H410" s="1" t="s">
        <v>2629</v>
      </c>
      <c r="I410" s="9">
        <v>19048225</v>
      </c>
      <c r="J410" s="94"/>
      <c r="K410" s="2"/>
      <c r="L410" s="2"/>
      <c r="M410" s="40">
        <f t="shared" si="18"/>
        <v>19048225</v>
      </c>
      <c r="N410" s="1">
        <v>29681097</v>
      </c>
      <c r="O410" s="1" t="s">
        <v>3451</v>
      </c>
      <c r="P410" s="1" t="s">
        <v>2834</v>
      </c>
      <c r="Q410" s="3">
        <v>44971</v>
      </c>
      <c r="R410" s="3">
        <v>44971</v>
      </c>
      <c r="S410" s="3">
        <v>45275</v>
      </c>
      <c r="T410" s="35"/>
      <c r="U410" s="3"/>
      <c r="V410" s="3"/>
      <c r="W410" s="50"/>
      <c r="X410" s="9">
        <v>9070585</v>
      </c>
      <c r="Y410" s="9">
        <v>9977640</v>
      </c>
      <c r="Z410" s="34">
        <f t="shared" si="17"/>
        <v>0.47619056368769269</v>
      </c>
      <c r="AA410" s="1">
        <v>12545859</v>
      </c>
      <c r="AB410" s="1" t="s">
        <v>2632</v>
      </c>
      <c r="AC410" s="1"/>
      <c r="AD410" s="1"/>
      <c r="AE410" s="3"/>
      <c r="AF410" s="194" t="s">
        <v>3452</v>
      </c>
      <c r="AG410" s="15" t="s">
        <v>192</v>
      </c>
      <c r="AH410" s="15" t="s">
        <v>192</v>
      </c>
    </row>
    <row r="411" spans="1:34" s="4" customFormat="1" x14ac:dyDescent="0.25">
      <c r="A411" s="16">
        <v>891780381</v>
      </c>
      <c r="B411" s="16" t="s">
        <v>54</v>
      </c>
      <c r="C411" s="14" t="s">
        <v>2627</v>
      </c>
      <c r="D411" s="16" t="s">
        <v>60</v>
      </c>
      <c r="E411" s="1" t="s">
        <v>3453</v>
      </c>
      <c r="F411" s="16" t="s">
        <v>61</v>
      </c>
      <c r="G411" s="1" t="s">
        <v>69</v>
      </c>
      <c r="H411" s="1" t="s">
        <v>2629</v>
      </c>
      <c r="I411" s="9">
        <v>19425415</v>
      </c>
      <c r="J411" s="94"/>
      <c r="K411" s="2"/>
      <c r="L411" s="2"/>
      <c r="M411" s="40">
        <f t="shared" si="18"/>
        <v>19425415</v>
      </c>
      <c r="N411" s="1">
        <v>1079358404</v>
      </c>
      <c r="O411" s="1" t="s">
        <v>3454</v>
      </c>
      <c r="P411" s="1" t="s">
        <v>2636</v>
      </c>
      <c r="Q411" s="3">
        <v>44971</v>
      </c>
      <c r="R411" s="3">
        <v>44971</v>
      </c>
      <c r="S411" s="3">
        <v>45275</v>
      </c>
      <c r="T411" s="35"/>
      <c r="U411" s="3"/>
      <c r="V411" s="3"/>
      <c r="W411" s="50"/>
      <c r="X411" s="9">
        <v>9250200</v>
      </c>
      <c r="Y411" s="9">
        <v>10175215</v>
      </c>
      <c r="Z411" s="34">
        <f t="shared" si="17"/>
        <v>0.47619059875940872</v>
      </c>
      <c r="AA411" s="1">
        <v>12545859</v>
      </c>
      <c r="AB411" s="1" t="s">
        <v>2632</v>
      </c>
      <c r="AC411" s="1"/>
      <c r="AD411" s="1"/>
      <c r="AE411" s="3"/>
      <c r="AF411" s="194" t="s">
        <v>3455</v>
      </c>
      <c r="AG411" s="15" t="s">
        <v>192</v>
      </c>
      <c r="AH411" s="15"/>
    </row>
    <row r="412" spans="1:34" s="4" customFormat="1" x14ac:dyDescent="0.25">
      <c r="A412" s="16">
        <v>891780382</v>
      </c>
      <c r="B412" s="16" t="s">
        <v>54</v>
      </c>
      <c r="C412" s="14" t="s">
        <v>2627</v>
      </c>
      <c r="D412" s="16" t="s">
        <v>60</v>
      </c>
      <c r="E412" s="1" t="s">
        <v>3456</v>
      </c>
      <c r="F412" s="16" t="s">
        <v>61</v>
      </c>
      <c r="G412" s="1" t="s">
        <v>69</v>
      </c>
      <c r="H412" s="1" t="s">
        <v>2629</v>
      </c>
      <c r="I412" s="9">
        <v>19048225</v>
      </c>
      <c r="J412" s="94"/>
      <c r="K412" s="2"/>
      <c r="L412" s="2"/>
      <c r="M412" s="40">
        <f t="shared" si="18"/>
        <v>19048225</v>
      </c>
      <c r="N412" s="1">
        <v>35586928</v>
      </c>
      <c r="O412" s="1" t="s">
        <v>3457</v>
      </c>
      <c r="P412" s="1" t="s">
        <v>3458</v>
      </c>
      <c r="Q412" s="3">
        <v>44980</v>
      </c>
      <c r="R412" s="3">
        <v>44980</v>
      </c>
      <c r="S412" s="3">
        <v>45275</v>
      </c>
      <c r="T412" s="35"/>
      <c r="U412" s="3"/>
      <c r="V412" s="3"/>
      <c r="W412" s="50"/>
      <c r="X412" s="9">
        <v>9259200</v>
      </c>
      <c r="Y412" s="9">
        <v>9789025</v>
      </c>
      <c r="Z412" s="34">
        <f t="shared" si="17"/>
        <v>0.48609253618119275</v>
      </c>
      <c r="AA412" s="1">
        <v>12545859</v>
      </c>
      <c r="AB412" s="1" t="s">
        <v>2632</v>
      </c>
      <c r="AC412" s="1"/>
      <c r="AD412" s="1"/>
      <c r="AE412" s="3"/>
      <c r="AF412" s="194" t="s">
        <v>3459</v>
      </c>
      <c r="AG412" s="15" t="s">
        <v>192</v>
      </c>
      <c r="AH412" s="15" t="s">
        <v>192</v>
      </c>
    </row>
    <row r="413" spans="1:34" s="4" customFormat="1" x14ac:dyDescent="0.25">
      <c r="A413" s="16">
        <v>891780383</v>
      </c>
      <c r="B413" s="16" t="s">
        <v>54</v>
      </c>
      <c r="C413" s="14" t="s">
        <v>2627</v>
      </c>
      <c r="D413" s="16" t="s">
        <v>60</v>
      </c>
      <c r="E413" s="1" t="s">
        <v>3460</v>
      </c>
      <c r="F413" s="16" t="s">
        <v>61</v>
      </c>
      <c r="G413" s="1" t="s">
        <v>69</v>
      </c>
      <c r="H413" s="1" t="s">
        <v>2629</v>
      </c>
      <c r="I413" s="9">
        <v>15572664</v>
      </c>
      <c r="J413" s="94"/>
      <c r="K413" s="2"/>
      <c r="L413" s="2"/>
      <c r="M413" s="40">
        <f t="shared" si="18"/>
        <v>15572664</v>
      </c>
      <c r="N413" s="1">
        <v>1098700784</v>
      </c>
      <c r="O413" s="1" t="s">
        <v>3461</v>
      </c>
      <c r="P413" s="1" t="s">
        <v>3462</v>
      </c>
      <c r="Q413" s="3">
        <v>44980</v>
      </c>
      <c r="R413" s="3">
        <v>44980</v>
      </c>
      <c r="S413" s="3">
        <v>45214</v>
      </c>
      <c r="T413" s="35"/>
      <c r="U413" s="3"/>
      <c r="V413" s="3"/>
      <c r="W413" s="50"/>
      <c r="X413" s="9">
        <v>9160390</v>
      </c>
      <c r="Y413" s="9">
        <v>6412274</v>
      </c>
      <c r="Z413" s="34">
        <f t="shared" si="17"/>
        <v>0.58823525634406548</v>
      </c>
      <c r="AA413" s="1">
        <v>12545859</v>
      </c>
      <c r="AB413" s="1" t="s">
        <v>2632</v>
      </c>
      <c r="AC413" s="1"/>
      <c r="AD413" s="1"/>
      <c r="AE413" s="3"/>
      <c r="AF413" s="194" t="s">
        <v>3463</v>
      </c>
      <c r="AG413" s="15" t="s">
        <v>192</v>
      </c>
      <c r="AH413" s="15" t="s">
        <v>192</v>
      </c>
    </row>
    <row r="414" spans="1:34" s="4" customFormat="1" x14ac:dyDescent="0.25">
      <c r="A414" s="16">
        <v>891780384</v>
      </c>
      <c r="B414" s="16" t="s">
        <v>54</v>
      </c>
      <c r="C414" s="14" t="s">
        <v>2627</v>
      </c>
      <c r="D414" s="16" t="s">
        <v>60</v>
      </c>
      <c r="E414" s="1" t="s">
        <v>3464</v>
      </c>
      <c r="F414" s="16" t="s">
        <v>61</v>
      </c>
      <c r="G414" s="1" t="s">
        <v>69</v>
      </c>
      <c r="H414" s="1" t="s">
        <v>2629</v>
      </c>
      <c r="I414" s="9">
        <v>19048225</v>
      </c>
      <c r="J414" s="94"/>
      <c r="K414" s="2"/>
      <c r="L414" s="2"/>
      <c r="M414" s="40">
        <f t="shared" si="18"/>
        <v>19048225</v>
      </c>
      <c r="N414" s="1">
        <v>1004618250</v>
      </c>
      <c r="O414" s="1" t="s">
        <v>3465</v>
      </c>
      <c r="P414" s="1" t="s">
        <v>3458</v>
      </c>
      <c r="Q414" s="3">
        <v>44980</v>
      </c>
      <c r="R414" s="3">
        <v>44980</v>
      </c>
      <c r="S414" s="3">
        <v>45275</v>
      </c>
      <c r="T414" s="35"/>
      <c r="U414" s="3"/>
      <c r="V414" s="3"/>
      <c r="W414" s="50"/>
      <c r="X414" s="9">
        <v>9070581</v>
      </c>
      <c r="Y414" s="9">
        <v>9977644</v>
      </c>
      <c r="Z414" s="34">
        <f t="shared" si="17"/>
        <v>0.47619035369437313</v>
      </c>
      <c r="AA414" s="1">
        <v>12545859</v>
      </c>
      <c r="AB414" s="1" t="s">
        <v>2632</v>
      </c>
      <c r="AC414" s="1"/>
      <c r="AD414" s="1"/>
      <c r="AE414" s="3"/>
      <c r="AF414" s="194" t="s">
        <v>3466</v>
      </c>
      <c r="AG414" s="15" t="s">
        <v>192</v>
      </c>
      <c r="AH414" s="15" t="s">
        <v>192</v>
      </c>
    </row>
    <row r="415" spans="1:34" s="4" customFormat="1" x14ac:dyDescent="0.25">
      <c r="A415" s="16">
        <v>891780385</v>
      </c>
      <c r="B415" s="16" t="s">
        <v>54</v>
      </c>
      <c r="C415" s="14" t="s">
        <v>2627</v>
      </c>
      <c r="D415" s="16" t="s">
        <v>60</v>
      </c>
      <c r="E415" s="1" t="s">
        <v>3467</v>
      </c>
      <c r="F415" s="16" t="s">
        <v>61</v>
      </c>
      <c r="G415" s="1" t="s">
        <v>69</v>
      </c>
      <c r="H415" s="1" t="s">
        <v>2629</v>
      </c>
      <c r="I415" s="9">
        <v>16650356</v>
      </c>
      <c r="J415" s="94"/>
      <c r="K415" s="2"/>
      <c r="L415" s="2"/>
      <c r="M415" s="40">
        <f t="shared" si="18"/>
        <v>16650356</v>
      </c>
      <c r="N415" s="1">
        <v>1121904908</v>
      </c>
      <c r="O415" s="1" t="s">
        <v>3468</v>
      </c>
      <c r="P415" s="1" t="s">
        <v>3469</v>
      </c>
      <c r="Q415" s="3">
        <v>44980</v>
      </c>
      <c r="R415" s="3">
        <v>44980</v>
      </c>
      <c r="S415" s="3">
        <v>45199</v>
      </c>
      <c r="T415" s="35"/>
      <c r="U415" s="3"/>
      <c r="V415" s="3"/>
      <c r="W415" s="50"/>
      <c r="X415" s="9">
        <v>10406470</v>
      </c>
      <c r="Y415" s="9">
        <v>6243886</v>
      </c>
      <c r="Z415" s="34">
        <f t="shared" si="17"/>
        <v>0.62499984985306023</v>
      </c>
      <c r="AA415" s="1">
        <v>12545859</v>
      </c>
      <c r="AB415" s="1" t="s">
        <v>2632</v>
      </c>
      <c r="AC415" s="1"/>
      <c r="AD415" s="1"/>
      <c r="AE415" s="3"/>
      <c r="AF415" s="194" t="s">
        <v>3470</v>
      </c>
      <c r="AG415" s="15" t="s">
        <v>192</v>
      </c>
      <c r="AH415" s="15" t="s">
        <v>192</v>
      </c>
    </row>
    <row r="416" spans="1:34" s="4" customFormat="1" x14ac:dyDescent="0.25">
      <c r="A416" s="16">
        <v>891780386</v>
      </c>
      <c r="B416" s="16" t="s">
        <v>54</v>
      </c>
      <c r="C416" s="14" t="s">
        <v>2627</v>
      </c>
      <c r="D416" s="16" t="s">
        <v>60</v>
      </c>
      <c r="E416" s="1" t="s">
        <v>3471</v>
      </c>
      <c r="F416" s="16" t="s">
        <v>61</v>
      </c>
      <c r="G416" s="1" t="s">
        <v>69</v>
      </c>
      <c r="H416" s="1" t="s">
        <v>2629</v>
      </c>
      <c r="I416" s="9">
        <v>16650356</v>
      </c>
      <c r="J416" s="94"/>
      <c r="K416" s="2"/>
      <c r="L416" s="2"/>
      <c r="M416" s="40">
        <f t="shared" si="18"/>
        <v>16650356</v>
      </c>
      <c r="N416" s="1">
        <v>1121816828</v>
      </c>
      <c r="O416" s="1" t="s">
        <v>3472</v>
      </c>
      <c r="P416" s="1" t="s">
        <v>3473</v>
      </c>
      <c r="Q416" s="3">
        <v>44980</v>
      </c>
      <c r="R416" s="3">
        <v>44980</v>
      </c>
      <c r="S416" s="3">
        <v>45199</v>
      </c>
      <c r="T416" s="35"/>
      <c r="U416" s="3"/>
      <c r="V416" s="3"/>
      <c r="W416" s="50"/>
      <c r="X416" s="9">
        <v>10406470</v>
      </c>
      <c r="Y416" s="9">
        <v>6243886</v>
      </c>
      <c r="Z416" s="34">
        <f t="shared" si="17"/>
        <v>0.62499984985306023</v>
      </c>
      <c r="AA416" s="1">
        <v>12545859</v>
      </c>
      <c r="AB416" s="1" t="s">
        <v>2632</v>
      </c>
      <c r="AC416" s="1"/>
      <c r="AD416" s="1"/>
      <c r="AE416" s="3"/>
      <c r="AF416" s="194" t="s">
        <v>3474</v>
      </c>
      <c r="AG416" s="15" t="s">
        <v>192</v>
      </c>
      <c r="AH416" s="15" t="s">
        <v>192</v>
      </c>
    </row>
    <row r="417" spans="1:34" s="4" customFormat="1" x14ac:dyDescent="0.25">
      <c r="A417" s="16">
        <v>891780387</v>
      </c>
      <c r="B417" s="16" t="s">
        <v>54</v>
      </c>
      <c r="C417" s="14" t="s">
        <v>2627</v>
      </c>
      <c r="D417" s="16" t="s">
        <v>60</v>
      </c>
      <c r="E417" s="1" t="s">
        <v>3475</v>
      </c>
      <c r="F417" s="16" t="s">
        <v>61</v>
      </c>
      <c r="G417" s="1" t="s">
        <v>69</v>
      </c>
      <c r="H417" s="1" t="s">
        <v>2629</v>
      </c>
      <c r="I417" s="9">
        <v>19048225</v>
      </c>
      <c r="J417" s="94"/>
      <c r="K417" s="2"/>
      <c r="L417" s="2"/>
      <c r="M417" s="40">
        <f t="shared" si="18"/>
        <v>19048225</v>
      </c>
      <c r="N417" s="1">
        <v>1004030583</v>
      </c>
      <c r="O417" s="1" t="s">
        <v>3476</v>
      </c>
      <c r="P417" s="1" t="s">
        <v>3458</v>
      </c>
      <c r="Q417" s="3">
        <v>44980</v>
      </c>
      <c r="R417" s="3">
        <v>44980</v>
      </c>
      <c r="S417" s="3">
        <v>45275</v>
      </c>
      <c r="T417" s="35"/>
      <c r="U417" s="3"/>
      <c r="V417" s="3"/>
      <c r="W417" s="50"/>
      <c r="X417" s="9">
        <v>9070581</v>
      </c>
      <c r="Y417" s="9">
        <v>9977644</v>
      </c>
      <c r="Z417" s="34">
        <f t="shared" si="17"/>
        <v>0.47619035369437313</v>
      </c>
      <c r="AA417" s="1">
        <v>12545859</v>
      </c>
      <c r="AB417" s="1" t="s">
        <v>2632</v>
      </c>
      <c r="AC417" s="1"/>
      <c r="AD417" s="1"/>
      <c r="AE417" s="3"/>
      <c r="AF417" s="194" t="s">
        <v>3477</v>
      </c>
      <c r="AG417" s="15" t="s">
        <v>192</v>
      </c>
      <c r="AH417" s="15" t="s">
        <v>192</v>
      </c>
    </row>
    <row r="418" spans="1:34" s="4" customFormat="1" x14ac:dyDescent="0.25">
      <c r="A418" s="16">
        <v>891780388</v>
      </c>
      <c r="B418" s="16" t="s">
        <v>54</v>
      </c>
      <c r="C418" s="14" t="s">
        <v>2627</v>
      </c>
      <c r="D418" s="16" t="s">
        <v>60</v>
      </c>
      <c r="E418" s="1" t="s">
        <v>3478</v>
      </c>
      <c r="F418" s="16" t="s">
        <v>61</v>
      </c>
      <c r="G418" s="1" t="s">
        <v>69</v>
      </c>
      <c r="H418" s="1" t="s">
        <v>2629</v>
      </c>
      <c r="I418" s="9">
        <v>16650356</v>
      </c>
      <c r="J418" s="94"/>
      <c r="K418" s="2"/>
      <c r="L418" s="2"/>
      <c r="M418" s="40">
        <f t="shared" si="18"/>
        <v>16650356</v>
      </c>
      <c r="N418" s="1">
        <v>42548261</v>
      </c>
      <c r="O418" s="1" t="s">
        <v>3479</v>
      </c>
      <c r="P418" s="1" t="s">
        <v>3480</v>
      </c>
      <c r="Q418" s="3">
        <v>44986</v>
      </c>
      <c r="R418" s="3">
        <v>44986</v>
      </c>
      <c r="S418" s="3">
        <v>45199</v>
      </c>
      <c r="T418" s="35"/>
      <c r="U418" s="3"/>
      <c r="V418" s="3"/>
      <c r="W418" s="50"/>
      <c r="X418" s="9">
        <v>10406470</v>
      </c>
      <c r="Y418" s="9">
        <v>6243886</v>
      </c>
      <c r="Z418" s="34">
        <f t="shared" si="17"/>
        <v>0.62499984985306023</v>
      </c>
      <c r="AA418" s="1">
        <v>12545859</v>
      </c>
      <c r="AB418" s="1" t="s">
        <v>2632</v>
      </c>
      <c r="AC418" s="1"/>
      <c r="AD418" s="1"/>
      <c r="AE418" s="3"/>
      <c r="AF418" s="194" t="s">
        <v>3481</v>
      </c>
      <c r="AG418" s="15" t="s">
        <v>192</v>
      </c>
      <c r="AH418" s="15" t="s">
        <v>192</v>
      </c>
    </row>
    <row r="419" spans="1:34" s="4" customFormat="1" x14ac:dyDescent="0.25">
      <c r="A419" s="16">
        <v>891780389</v>
      </c>
      <c r="B419" s="16" t="s">
        <v>54</v>
      </c>
      <c r="C419" s="14" t="s">
        <v>2627</v>
      </c>
      <c r="D419" s="16" t="s">
        <v>60</v>
      </c>
      <c r="E419" s="1" t="s">
        <v>3482</v>
      </c>
      <c r="F419" s="16" t="s">
        <v>61</v>
      </c>
      <c r="G419" s="1" t="s">
        <v>69</v>
      </c>
      <c r="H419" s="1" t="s">
        <v>2629</v>
      </c>
      <c r="I419" s="9">
        <v>17575375</v>
      </c>
      <c r="J419" s="94"/>
      <c r="K419" s="2"/>
      <c r="L419" s="2"/>
      <c r="M419" s="40">
        <f t="shared" si="18"/>
        <v>17575375</v>
      </c>
      <c r="N419" s="1">
        <v>1085100449</v>
      </c>
      <c r="O419" s="1" t="s">
        <v>3483</v>
      </c>
      <c r="P419" s="1" t="s">
        <v>3484</v>
      </c>
      <c r="Q419" s="3">
        <v>44986</v>
      </c>
      <c r="R419" s="3">
        <v>44986</v>
      </c>
      <c r="S419" s="3">
        <v>45275</v>
      </c>
      <c r="T419" s="35"/>
      <c r="U419" s="3"/>
      <c r="V419" s="3"/>
      <c r="W419" s="50"/>
      <c r="X419" s="9">
        <v>7400160</v>
      </c>
      <c r="Y419" s="9">
        <v>10175215</v>
      </c>
      <c r="Z419" s="34">
        <f t="shared" si="17"/>
        <v>0.42105275136376891</v>
      </c>
      <c r="AA419" s="1">
        <v>12545859</v>
      </c>
      <c r="AB419" s="1" t="s">
        <v>2632</v>
      </c>
      <c r="AC419" s="1"/>
      <c r="AD419" s="1"/>
      <c r="AE419" s="3"/>
      <c r="AF419" s="194" t="s">
        <v>3485</v>
      </c>
      <c r="AG419" s="15" t="s">
        <v>192</v>
      </c>
      <c r="AH419" s="15" t="s">
        <v>192</v>
      </c>
    </row>
    <row r="420" spans="1:34" s="4" customFormat="1" x14ac:dyDescent="0.25">
      <c r="A420" s="16">
        <v>891780390</v>
      </c>
      <c r="B420" s="16" t="s">
        <v>54</v>
      </c>
      <c r="C420" s="14" t="s">
        <v>2627</v>
      </c>
      <c r="D420" s="16" t="s">
        <v>60</v>
      </c>
      <c r="E420" s="1" t="s">
        <v>3486</v>
      </c>
      <c r="F420" s="16" t="s">
        <v>61</v>
      </c>
      <c r="G420" s="1" t="s">
        <v>69</v>
      </c>
      <c r="H420" s="1" t="s">
        <v>2629</v>
      </c>
      <c r="I420" s="9">
        <v>19048225</v>
      </c>
      <c r="J420" s="94"/>
      <c r="K420" s="2"/>
      <c r="L420" s="2"/>
      <c r="M420" s="40">
        <f t="shared" si="18"/>
        <v>19048225</v>
      </c>
      <c r="N420" s="1">
        <v>38465632</v>
      </c>
      <c r="O420" s="1" t="s">
        <v>3487</v>
      </c>
      <c r="P420" s="1" t="s">
        <v>3488</v>
      </c>
      <c r="Q420" s="3">
        <v>44988</v>
      </c>
      <c r="R420" s="3">
        <v>44988</v>
      </c>
      <c r="S420" s="3">
        <v>45275</v>
      </c>
      <c r="T420" s="35"/>
      <c r="U420" s="3"/>
      <c r="V420" s="3"/>
      <c r="W420" s="50"/>
      <c r="X420" s="9">
        <v>9070585</v>
      </c>
      <c r="Y420" s="9">
        <v>9977640</v>
      </c>
      <c r="Z420" s="34">
        <f t="shared" si="17"/>
        <v>0.47619056368769269</v>
      </c>
      <c r="AA420" s="1">
        <v>12545859</v>
      </c>
      <c r="AB420" s="1" t="s">
        <v>2632</v>
      </c>
      <c r="AC420" s="1"/>
      <c r="AD420" s="1"/>
      <c r="AE420" s="3"/>
      <c r="AF420" s="194" t="s">
        <v>3489</v>
      </c>
      <c r="AG420" s="15" t="s">
        <v>192</v>
      </c>
      <c r="AH420" s="15" t="s">
        <v>192</v>
      </c>
    </row>
    <row r="421" spans="1:34" s="4" customFormat="1" x14ac:dyDescent="0.25">
      <c r="A421" s="16">
        <v>891780391</v>
      </c>
      <c r="B421" s="16" t="s">
        <v>54</v>
      </c>
      <c r="C421" s="14" t="s">
        <v>2627</v>
      </c>
      <c r="D421" s="16" t="s">
        <v>60</v>
      </c>
      <c r="E421" s="1" t="s">
        <v>3490</v>
      </c>
      <c r="F421" s="16" t="s">
        <v>61</v>
      </c>
      <c r="G421" s="1" t="s">
        <v>69</v>
      </c>
      <c r="H421" s="1" t="s">
        <v>2629</v>
      </c>
      <c r="I421" s="9">
        <v>19048225</v>
      </c>
      <c r="J421" s="94"/>
      <c r="K421" s="2"/>
      <c r="L421" s="2"/>
      <c r="M421" s="40">
        <f t="shared" si="18"/>
        <v>19048225</v>
      </c>
      <c r="N421" s="1">
        <v>35806173</v>
      </c>
      <c r="O421" s="1" t="s">
        <v>3491</v>
      </c>
      <c r="P421" s="1" t="s">
        <v>3492</v>
      </c>
      <c r="Q421" s="3">
        <v>44988</v>
      </c>
      <c r="R421" s="3">
        <v>44988</v>
      </c>
      <c r="S421" s="3">
        <v>45275</v>
      </c>
      <c r="T421" s="35"/>
      <c r="U421" s="3"/>
      <c r="V421" s="3"/>
      <c r="W421" s="50"/>
      <c r="X421" s="9">
        <v>9070585</v>
      </c>
      <c r="Y421" s="9">
        <v>9977640</v>
      </c>
      <c r="Z421" s="34">
        <f t="shared" si="17"/>
        <v>0.47619056368769269</v>
      </c>
      <c r="AA421" s="1">
        <v>12545859</v>
      </c>
      <c r="AB421" s="1" t="s">
        <v>2632</v>
      </c>
      <c r="AC421" s="1"/>
      <c r="AD421" s="1"/>
      <c r="AE421" s="3"/>
      <c r="AF421" s="194" t="s">
        <v>3493</v>
      </c>
      <c r="AG421" s="15" t="s">
        <v>192</v>
      </c>
      <c r="AH421" s="15" t="s">
        <v>192</v>
      </c>
    </row>
    <row r="422" spans="1:34" s="4" customFormat="1" x14ac:dyDescent="0.25">
      <c r="A422" s="16">
        <v>891780392</v>
      </c>
      <c r="B422" s="16" t="s">
        <v>54</v>
      </c>
      <c r="C422" s="14" t="s">
        <v>2627</v>
      </c>
      <c r="D422" s="16" t="s">
        <v>60</v>
      </c>
      <c r="E422" s="1" t="s">
        <v>3494</v>
      </c>
      <c r="F422" s="16" t="s">
        <v>61</v>
      </c>
      <c r="G422" s="1" t="s">
        <v>69</v>
      </c>
      <c r="H422" s="1" t="s">
        <v>2629</v>
      </c>
      <c r="I422" s="9">
        <v>19425415</v>
      </c>
      <c r="J422" s="94"/>
      <c r="K422" s="2"/>
      <c r="L422" s="2"/>
      <c r="M422" s="40">
        <f t="shared" si="18"/>
        <v>19425415</v>
      </c>
      <c r="N422" s="1">
        <v>1077632469</v>
      </c>
      <c r="O422" s="1" t="s">
        <v>3495</v>
      </c>
      <c r="P422" s="1" t="s">
        <v>3496</v>
      </c>
      <c r="Q422" s="3">
        <v>44988</v>
      </c>
      <c r="R422" s="3">
        <v>44988</v>
      </c>
      <c r="S422" s="3">
        <v>45275</v>
      </c>
      <c r="T422" s="35"/>
      <c r="U422" s="3"/>
      <c r="V422" s="3"/>
      <c r="W422" s="50"/>
      <c r="X422" s="9">
        <v>9250200</v>
      </c>
      <c r="Y422" s="9">
        <v>10175215</v>
      </c>
      <c r="Z422" s="34">
        <f t="shared" si="17"/>
        <v>0.47619059875940872</v>
      </c>
      <c r="AA422" s="1">
        <v>12545859</v>
      </c>
      <c r="AB422" s="1" t="s">
        <v>2632</v>
      </c>
      <c r="AC422" s="1"/>
      <c r="AD422" s="1"/>
      <c r="AE422" s="3"/>
      <c r="AF422" s="194" t="s">
        <v>3497</v>
      </c>
      <c r="AG422" s="15" t="s">
        <v>192</v>
      </c>
      <c r="AH422" s="15" t="s">
        <v>192</v>
      </c>
    </row>
    <row r="423" spans="1:34" s="4" customFormat="1" x14ac:dyDescent="0.25">
      <c r="A423" s="16">
        <v>891780393</v>
      </c>
      <c r="B423" s="16" t="s">
        <v>54</v>
      </c>
      <c r="C423" s="14" t="s">
        <v>2627</v>
      </c>
      <c r="D423" s="16" t="s">
        <v>60</v>
      </c>
      <c r="E423" s="1" t="s">
        <v>3498</v>
      </c>
      <c r="F423" s="16" t="s">
        <v>61</v>
      </c>
      <c r="G423" s="1" t="s">
        <v>69</v>
      </c>
      <c r="H423" s="1" t="s">
        <v>2629</v>
      </c>
      <c r="I423" s="9">
        <v>19048225</v>
      </c>
      <c r="J423" s="94"/>
      <c r="K423" s="2"/>
      <c r="L423" s="2"/>
      <c r="M423" s="40">
        <f t="shared" si="18"/>
        <v>19048225</v>
      </c>
      <c r="N423" s="1">
        <v>1077648918</v>
      </c>
      <c r="O423" s="1" t="s">
        <v>3499</v>
      </c>
      <c r="P423" s="1" t="s">
        <v>3500</v>
      </c>
      <c r="Q423" s="3">
        <v>44988</v>
      </c>
      <c r="R423" s="3">
        <v>44988</v>
      </c>
      <c r="S423" s="3">
        <v>45275</v>
      </c>
      <c r="T423" s="35"/>
      <c r="U423" s="3"/>
      <c r="V423" s="3"/>
      <c r="W423" s="50"/>
      <c r="X423" s="9">
        <v>9070585</v>
      </c>
      <c r="Y423" s="9">
        <v>9977640</v>
      </c>
      <c r="Z423" s="34">
        <f t="shared" si="17"/>
        <v>0.47619056368769269</v>
      </c>
      <c r="AA423" s="1">
        <v>12545859</v>
      </c>
      <c r="AB423" s="1" t="s">
        <v>2632</v>
      </c>
      <c r="AC423" s="1"/>
      <c r="AD423" s="1"/>
      <c r="AE423" s="3"/>
      <c r="AF423" s="194" t="s">
        <v>3501</v>
      </c>
      <c r="AG423" s="15" t="s">
        <v>192</v>
      </c>
      <c r="AH423" s="15" t="s">
        <v>192</v>
      </c>
    </row>
    <row r="424" spans="1:34" s="4" customFormat="1" x14ac:dyDescent="0.25">
      <c r="A424" s="16">
        <v>891780394</v>
      </c>
      <c r="B424" s="16" t="s">
        <v>54</v>
      </c>
      <c r="C424" s="14" t="s">
        <v>2627</v>
      </c>
      <c r="D424" s="16" t="s">
        <v>60</v>
      </c>
      <c r="E424" s="1" t="s">
        <v>3502</v>
      </c>
      <c r="F424" s="16" t="s">
        <v>61</v>
      </c>
      <c r="G424" s="1" t="s">
        <v>69</v>
      </c>
      <c r="H424" s="1" t="s">
        <v>2629</v>
      </c>
      <c r="I424" s="9">
        <v>19425415</v>
      </c>
      <c r="J424" s="94"/>
      <c r="K424" s="2"/>
      <c r="L424" s="2"/>
      <c r="M424" s="40">
        <f t="shared" si="18"/>
        <v>19425415</v>
      </c>
      <c r="N424" s="1">
        <v>1077423088</v>
      </c>
      <c r="O424" s="1" t="s">
        <v>3503</v>
      </c>
      <c r="P424" s="1" t="s">
        <v>3504</v>
      </c>
      <c r="Q424" s="3">
        <v>44991</v>
      </c>
      <c r="R424" s="3">
        <v>44991</v>
      </c>
      <c r="S424" s="3">
        <v>45275</v>
      </c>
      <c r="T424" s="35"/>
      <c r="U424" s="3"/>
      <c r="V424" s="3"/>
      <c r="W424" s="50"/>
      <c r="X424" s="9">
        <v>9250200</v>
      </c>
      <c r="Y424" s="9">
        <v>10175215</v>
      </c>
      <c r="Z424" s="34">
        <f t="shared" si="17"/>
        <v>0.47619059875940872</v>
      </c>
      <c r="AA424" s="1">
        <v>12545859</v>
      </c>
      <c r="AB424" s="1" t="s">
        <v>2632</v>
      </c>
      <c r="AC424" s="1"/>
      <c r="AD424" s="1"/>
      <c r="AE424" s="3"/>
      <c r="AF424" s="194" t="s">
        <v>3505</v>
      </c>
      <c r="AG424" s="15" t="s">
        <v>192</v>
      </c>
      <c r="AH424" s="15" t="s">
        <v>192</v>
      </c>
    </row>
    <row r="425" spans="1:34" s="4" customFormat="1" x14ac:dyDescent="0.25">
      <c r="A425" s="16">
        <v>891780395</v>
      </c>
      <c r="B425" s="16" t="s">
        <v>54</v>
      </c>
      <c r="C425" s="14" t="s">
        <v>2627</v>
      </c>
      <c r="D425" s="16" t="s">
        <v>60</v>
      </c>
      <c r="E425" s="1" t="s">
        <v>3506</v>
      </c>
      <c r="F425" s="16" t="s">
        <v>61</v>
      </c>
      <c r="G425" s="1" t="s">
        <v>69</v>
      </c>
      <c r="H425" s="1" t="s">
        <v>2629</v>
      </c>
      <c r="I425" s="9">
        <v>17234108</v>
      </c>
      <c r="J425" s="94"/>
      <c r="K425" s="2"/>
      <c r="L425" s="2"/>
      <c r="M425" s="40">
        <f t="shared" si="18"/>
        <v>17234108</v>
      </c>
      <c r="N425" s="1">
        <v>1121200331</v>
      </c>
      <c r="O425" s="1" t="s">
        <v>3507</v>
      </c>
      <c r="P425" s="1" t="s">
        <v>3508</v>
      </c>
      <c r="Q425" s="3">
        <v>44991</v>
      </c>
      <c r="R425" s="3">
        <v>44991</v>
      </c>
      <c r="S425" s="3">
        <v>45275</v>
      </c>
      <c r="T425" s="35"/>
      <c r="U425" s="3"/>
      <c r="V425" s="3"/>
      <c r="W425" s="50"/>
      <c r="X425" s="9">
        <v>7256468</v>
      </c>
      <c r="Y425" s="9">
        <v>9977640</v>
      </c>
      <c r="Z425" s="34">
        <f t="shared" si="17"/>
        <v>0.42105271708869413</v>
      </c>
      <c r="AA425" s="1">
        <v>12545859</v>
      </c>
      <c r="AB425" s="1" t="s">
        <v>2632</v>
      </c>
      <c r="AC425" s="1"/>
      <c r="AD425" s="1"/>
      <c r="AE425" s="3"/>
      <c r="AF425" s="194" t="s">
        <v>3509</v>
      </c>
      <c r="AG425" s="15" t="s">
        <v>192</v>
      </c>
      <c r="AH425" s="15" t="s">
        <v>192</v>
      </c>
    </row>
    <row r="426" spans="1:34" s="4" customFormat="1" x14ac:dyDescent="0.25">
      <c r="A426" s="16">
        <v>891780396</v>
      </c>
      <c r="B426" s="16" t="s">
        <v>54</v>
      </c>
      <c r="C426" s="14" t="s">
        <v>2627</v>
      </c>
      <c r="D426" s="16" t="s">
        <v>60</v>
      </c>
      <c r="E426" s="1" t="s">
        <v>3510</v>
      </c>
      <c r="F426" s="16" t="s">
        <v>61</v>
      </c>
      <c r="G426" s="1" t="s">
        <v>69</v>
      </c>
      <c r="H426" s="1" t="s">
        <v>2629</v>
      </c>
      <c r="I426" s="9">
        <v>17575375</v>
      </c>
      <c r="J426" s="94"/>
      <c r="K426" s="2"/>
      <c r="L426" s="2"/>
      <c r="M426" s="40">
        <f t="shared" si="18"/>
        <v>17575375</v>
      </c>
      <c r="N426" s="1">
        <v>1046666286</v>
      </c>
      <c r="O426" s="1" t="s">
        <v>3511</v>
      </c>
      <c r="P426" s="1" t="s">
        <v>3512</v>
      </c>
      <c r="Q426" s="3">
        <v>44993</v>
      </c>
      <c r="R426" s="3">
        <v>44993</v>
      </c>
      <c r="S426" s="3">
        <v>45275</v>
      </c>
      <c r="T426" s="35"/>
      <c r="U426" s="3"/>
      <c r="V426" s="3"/>
      <c r="W426" s="50"/>
      <c r="X426" s="9">
        <v>7400160</v>
      </c>
      <c r="Y426" s="9">
        <v>10175215</v>
      </c>
      <c r="Z426" s="34">
        <f t="shared" si="17"/>
        <v>0.42105275136376891</v>
      </c>
      <c r="AA426" s="1">
        <v>12545859</v>
      </c>
      <c r="AB426" s="1" t="s">
        <v>2632</v>
      </c>
      <c r="AC426" s="1"/>
      <c r="AD426" s="1"/>
      <c r="AE426" s="3"/>
      <c r="AF426" s="194" t="s">
        <v>3513</v>
      </c>
      <c r="AG426" s="15" t="s">
        <v>192</v>
      </c>
      <c r="AH426" s="15" t="s">
        <v>192</v>
      </c>
    </row>
    <row r="427" spans="1:34" s="4" customFormat="1" x14ac:dyDescent="0.25">
      <c r="A427" s="16">
        <v>891780397</v>
      </c>
      <c r="B427" s="16" t="s">
        <v>54</v>
      </c>
      <c r="C427" s="14" t="s">
        <v>2627</v>
      </c>
      <c r="D427" s="16" t="s">
        <v>60</v>
      </c>
      <c r="E427" s="1" t="s">
        <v>3514</v>
      </c>
      <c r="F427" s="16" t="s">
        <v>61</v>
      </c>
      <c r="G427" s="1" t="s">
        <v>69</v>
      </c>
      <c r="H427" s="1" t="s">
        <v>2629</v>
      </c>
      <c r="I427" s="9">
        <v>17575375</v>
      </c>
      <c r="J427" s="94"/>
      <c r="K427" s="2"/>
      <c r="L427" s="2"/>
      <c r="M427" s="40">
        <f t="shared" si="18"/>
        <v>17575375</v>
      </c>
      <c r="N427" s="1">
        <v>1076018097</v>
      </c>
      <c r="O427" s="1" t="s">
        <v>3515</v>
      </c>
      <c r="P427" s="1" t="s">
        <v>3516</v>
      </c>
      <c r="Q427" s="3">
        <v>44993</v>
      </c>
      <c r="R427" s="3">
        <v>44993</v>
      </c>
      <c r="S427" s="3">
        <v>45275</v>
      </c>
      <c r="T427" s="35"/>
      <c r="U427" s="3"/>
      <c r="V427" s="3"/>
      <c r="W427" s="50"/>
      <c r="X427" s="9">
        <v>5550120</v>
      </c>
      <c r="Y427" s="9">
        <v>12025255</v>
      </c>
      <c r="Z427" s="34">
        <f t="shared" si="17"/>
        <v>0.31578956352282667</v>
      </c>
      <c r="AA427" s="1">
        <v>12545859</v>
      </c>
      <c r="AB427" s="1" t="s">
        <v>2632</v>
      </c>
      <c r="AC427" s="1"/>
      <c r="AD427" s="1"/>
      <c r="AE427" s="3"/>
      <c r="AF427" s="194" t="s">
        <v>3517</v>
      </c>
      <c r="AG427" s="15" t="s">
        <v>192</v>
      </c>
      <c r="AH427" s="15" t="s">
        <v>192</v>
      </c>
    </row>
    <row r="428" spans="1:34" s="4" customFormat="1" x14ac:dyDescent="0.25">
      <c r="A428" s="16">
        <v>891780398</v>
      </c>
      <c r="B428" s="16" t="s">
        <v>54</v>
      </c>
      <c r="C428" s="14" t="s">
        <v>2627</v>
      </c>
      <c r="D428" s="16" t="s">
        <v>60</v>
      </c>
      <c r="E428" s="1" t="s">
        <v>3518</v>
      </c>
      <c r="F428" s="16" t="s">
        <v>61</v>
      </c>
      <c r="G428" s="1" t="s">
        <v>69</v>
      </c>
      <c r="H428" s="1" t="s">
        <v>2629</v>
      </c>
      <c r="I428" s="9">
        <v>14700000</v>
      </c>
      <c r="J428" s="94"/>
      <c r="K428" s="2"/>
      <c r="L428" s="2"/>
      <c r="M428" s="40">
        <f t="shared" si="18"/>
        <v>14700000</v>
      </c>
      <c r="N428" s="1">
        <v>1004322387</v>
      </c>
      <c r="O428" s="1" t="s">
        <v>3519</v>
      </c>
      <c r="P428" s="1" t="s">
        <v>3520</v>
      </c>
      <c r="Q428" s="3">
        <v>44995</v>
      </c>
      <c r="R428" s="3">
        <v>44995</v>
      </c>
      <c r="S428" s="3">
        <v>45275</v>
      </c>
      <c r="T428" s="35"/>
      <c r="U428" s="3"/>
      <c r="V428" s="3"/>
      <c r="W428" s="50"/>
      <c r="X428" s="9">
        <v>7000000</v>
      </c>
      <c r="Y428" s="9">
        <v>7700000</v>
      </c>
      <c r="Z428" s="34">
        <f t="shared" si="17"/>
        <v>0.47619047619047616</v>
      </c>
      <c r="AA428" s="1">
        <v>12545859</v>
      </c>
      <c r="AB428" s="1" t="s">
        <v>2632</v>
      </c>
      <c r="AC428" s="1"/>
      <c r="AD428" s="1"/>
      <c r="AE428" s="3"/>
      <c r="AF428" s="194" t="s">
        <v>3521</v>
      </c>
      <c r="AG428" s="15" t="s">
        <v>192</v>
      </c>
      <c r="AH428" s="15" t="s">
        <v>192</v>
      </c>
    </row>
    <row r="429" spans="1:34" s="4" customFormat="1" x14ac:dyDescent="0.25">
      <c r="A429" s="16">
        <v>891780399</v>
      </c>
      <c r="B429" s="16" t="s">
        <v>54</v>
      </c>
      <c r="C429" s="14" t="s">
        <v>2627</v>
      </c>
      <c r="D429" s="16" t="s">
        <v>60</v>
      </c>
      <c r="E429" s="1" t="s">
        <v>3522</v>
      </c>
      <c r="F429" s="16" t="s">
        <v>61</v>
      </c>
      <c r="G429" s="1" t="s">
        <v>69</v>
      </c>
      <c r="H429" s="1" t="s">
        <v>2629</v>
      </c>
      <c r="I429" s="9">
        <v>14250000</v>
      </c>
      <c r="J429" s="94"/>
      <c r="K429" s="2"/>
      <c r="L429" s="2"/>
      <c r="M429" s="40">
        <f t="shared" si="18"/>
        <v>14250000</v>
      </c>
      <c r="N429" s="1">
        <v>1083036012</v>
      </c>
      <c r="O429" s="1" t="s">
        <v>3523</v>
      </c>
      <c r="P429" s="1" t="s">
        <v>3524</v>
      </c>
      <c r="Q429" s="3">
        <v>44999</v>
      </c>
      <c r="R429" s="3">
        <v>44999</v>
      </c>
      <c r="S429" s="3">
        <v>45275</v>
      </c>
      <c r="T429" s="35"/>
      <c r="U429" s="3"/>
      <c r="V429" s="3"/>
      <c r="W429" s="50"/>
      <c r="X429" s="9">
        <v>5700000</v>
      </c>
      <c r="Y429" s="9">
        <v>8550000</v>
      </c>
      <c r="Z429" s="34">
        <f t="shared" si="17"/>
        <v>0.4</v>
      </c>
      <c r="AA429" s="1">
        <v>12545859</v>
      </c>
      <c r="AB429" s="1" t="s">
        <v>2632</v>
      </c>
      <c r="AC429" s="1"/>
      <c r="AD429" s="1"/>
      <c r="AE429" s="3"/>
      <c r="AF429" s="194" t="s">
        <v>3525</v>
      </c>
      <c r="AG429" s="15" t="s">
        <v>192</v>
      </c>
      <c r="AH429" s="15" t="s">
        <v>192</v>
      </c>
    </row>
    <row r="430" spans="1:34" s="4" customFormat="1" x14ac:dyDescent="0.25">
      <c r="A430" s="16">
        <v>891780400</v>
      </c>
      <c r="B430" s="16" t="s">
        <v>54</v>
      </c>
      <c r="C430" s="14" t="s">
        <v>2627</v>
      </c>
      <c r="D430" s="16" t="s">
        <v>60</v>
      </c>
      <c r="E430" s="1" t="s">
        <v>3526</v>
      </c>
      <c r="F430" s="16" t="s">
        <v>61</v>
      </c>
      <c r="G430" s="1" t="s">
        <v>69</v>
      </c>
      <c r="H430" s="1" t="s">
        <v>2629</v>
      </c>
      <c r="I430" s="9">
        <v>17575375</v>
      </c>
      <c r="J430" s="94"/>
      <c r="K430" s="2"/>
      <c r="L430" s="2"/>
      <c r="M430" s="40">
        <f t="shared" si="18"/>
        <v>17575375</v>
      </c>
      <c r="N430" s="1">
        <v>1072530056</v>
      </c>
      <c r="O430" s="1" t="s">
        <v>3527</v>
      </c>
      <c r="P430" s="1" t="s">
        <v>3528</v>
      </c>
      <c r="Q430" s="3">
        <v>45000</v>
      </c>
      <c r="R430" s="3">
        <v>45000</v>
      </c>
      <c r="S430" s="3">
        <v>45275</v>
      </c>
      <c r="T430" s="35"/>
      <c r="U430" s="3"/>
      <c r="V430" s="3"/>
      <c r="W430" s="50"/>
      <c r="X430" s="9">
        <v>7400160</v>
      </c>
      <c r="Y430" s="9">
        <v>10175215</v>
      </c>
      <c r="Z430" s="34">
        <f t="shared" si="17"/>
        <v>0.42105275136376891</v>
      </c>
      <c r="AA430" s="1">
        <v>12545859</v>
      </c>
      <c r="AB430" s="1" t="s">
        <v>2632</v>
      </c>
      <c r="AC430" s="1"/>
      <c r="AD430" s="1"/>
      <c r="AE430" s="3"/>
      <c r="AF430" s="194" t="s">
        <v>3529</v>
      </c>
      <c r="AG430" s="15" t="s">
        <v>192</v>
      </c>
      <c r="AH430" s="15" t="s">
        <v>192</v>
      </c>
    </row>
    <row r="431" spans="1:34" s="4" customFormat="1" x14ac:dyDescent="0.25">
      <c r="A431" s="16">
        <v>891780401</v>
      </c>
      <c r="B431" s="16" t="s">
        <v>54</v>
      </c>
      <c r="C431" s="14" t="s">
        <v>2627</v>
      </c>
      <c r="D431" s="16" t="s">
        <v>60</v>
      </c>
      <c r="E431" s="1" t="s">
        <v>3530</v>
      </c>
      <c r="F431" s="16" t="s">
        <v>61</v>
      </c>
      <c r="G431" s="1" t="s">
        <v>69</v>
      </c>
      <c r="H431" s="1" t="s">
        <v>2629</v>
      </c>
      <c r="I431" s="9">
        <v>17575375</v>
      </c>
      <c r="J431" s="94"/>
      <c r="K431" s="2"/>
      <c r="L431" s="2"/>
      <c r="M431" s="40">
        <f t="shared" si="18"/>
        <v>17575375</v>
      </c>
      <c r="N431" s="1">
        <v>50885658</v>
      </c>
      <c r="O431" s="1" t="s">
        <v>3531</v>
      </c>
      <c r="P431" s="1" t="s">
        <v>3528</v>
      </c>
      <c r="Q431" s="3">
        <v>45000</v>
      </c>
      <c r="R431" s="3">
        <v>45000</v>
      </c>
      <c r="S431" s="3">
        <v>45275</v>
      </c>
      <c r="T431" s="35"/>
      <c r="U431" s="3"/>
      <c r="V431" s="3"/>
      <c r="W431" s="50"/>
      <c r="X431" s="9">
        <v>7400160</v>
      </c>
      <c r="Y431" s="9">
        <v>10175215</v>
      </c>
      <c r="Z431" s="34">
        <f t="shared" si="17"/>
        <v>0.42105275136376891</v>
      </c>
      <c r="AA431" s="1">
        <v>12545859</v>
      </c>
      <c r="AB431" s="1" t="s">
        <v>2632</v>
      </c>
      <c r="AC431" s="1"/>
      <c r="AD431" s="1"/>
      <c r="AE431" s="3"/>
      <c r="AF431" s="194" t="s">
        <v>3532</v>
      </c>
      <c r="AG431" s="15" t="s">
        <v>192</v>
      </c>
      <c r="AH431" s="15" t="s">
        <v>192</v>
      </c>
    </row>
    <row r="432" spans="1:34" s="4" customFormat="1" x14ac:dyDescent="0.25">
      <c r="A432" s="16">
        <v>891780402</v>
      </c>
      <c r="B432" s="16" t="s">
        <v>54</v>
      </c>
      <c r="C432" s="14" t="s">
        <v>2627</v>
      </c>
      <c r="D432" s="16" t="s">
        <v>60</v>
      </c>
      <c r="E432" s="1" t="s">
        <v>3533</v>
      </c>
      <c r="F432" s="16" t="s">
        <v>61</v>
      </c>
      <c r="G432" s="1" t="s">
        <v>69</v>
      </c>
      <c r="H432" s="1" t="s">
        <v>2629</v>
      </c>
      <c r="I432" s="9">
        <v>15342880</v>
      </c>
      <c r="J432" s="94"/>
      <c r="K432" s="2"/>
      <c r="L432" s="2"/>
      <c r="M432" s="40">
        <f t="shared" si="18"/>
        <v>15342880</v>
      </c>
      <c r="N432" s="1">
        <v>1032364211</v>
      </c>
      <c r="O432" s="1" t="s">
        <v>3534</v>
      </c>
      <c r="P432" s="1" t="s">
        <v>3535</v>
      </c>
      <c r="Q432" s="3">
        <v>45008</v>
      </c>
      <c r="R432" s="3">
        <v>45008</v>
      </c>
      <c r="S432" s="3">
        <v>45107</v>
      </c>
      <c r="T432" s="35"/>
      <c r="U432" s="3"/>
      <c r="V432" s="3"/>
      <c r="W432" s="50"/>
      <c r="X432" s="9">
        <v>15342880</v>
      </c>
      <c r="Y432" s="9">
        <f>M432-X432</f>
        <v>0</v>
      </c>
      <c r="Z432" s="34">
        <f t="shared" si="17"/>
        <v>1</v>
      </c>
      <c r="AA432" s="1">
        <v>12545859</v>
      </c>
      <c r="AB432" s="1" t="s">
        <v>2632</v>
      </c>
      <c r="AC432" s="1"/>
      <c r="AD432" s="1"/>
      <c r="AE432" s="3"/>
      <c r="AF432" s="194" t="s">
        <v>3536</v>
      </c>
      <c r="AG432" s="15" t="s">
        <v>192</v>
      </c>
      <c r="AH432" s="15" t="s">
        <v>192</v>
      </c>
    </row>
    <row r="433" spans="1:34" s="4" customFormat="1" x14ac:dyDescent="0.25">
      <c r="A433" s="16">
        <v>891780403</v>
      </c>
      <c r="B433" s="16" t="s">
        <v>54</v>
      </c>
      <c r="C433" s="14" t="s">
        <v>2627</v>
      </c>
      <c r="D433" s="16" t="s">
        <v>60</v>
      </c>
      <c r="E433" s="1" t="s">
        <v>3537</v>
      </c>
      <c r="F433" s="16" t="s">
        <v>61</v>
      </c>
      <c r="G433" s="1" t="s">
        <v>69</v>
      </c>
      <c r="H433" s="1" t="s">
        <v>2629</v>
      </c>
      <c r="I433" s="9">
        <v>15342880</v>
      </c>
      <c r="J433" s="94"/>
      <c r="K433" s="2"/>
      <c r="L433" s="2"/>
      <c r="M433" s="40">
        <f t="shared" si="18"/>
        <v>15342880</v>
      </c>
      <c r="N433" s="1">
        <v>79006342</v>
      </c>
      <c r="O433" s="1" t="s">
        <v>3538</v>
      </c>
      <c r="P433" s="1" t="s">
        <v>3535</v>
      </c>
      <c r="Q433" s="3">
        <v>45008</v>
      </c>
      <c r="R433" s="3">
        <v>45008</v>
      </c>
      <c r="S433" s="3">
        <v>45107</v>
      </c>
      <c r="T433" s="35"/>
      <c r="U433" s="3"/>
      <c r="V433" s="3"/>
      <c r="W433" s="50">
        <v>45138</v>
      </c>
      <c r="X433" s="9">
        <v>6863920</v>
      </c>
      <c r="Y433" s="9">
        <v>8478960</v>
      </c>
      <c r="Z433" s="34">
        <f t="shared" si="17"/>
        <v>0.44736842105263158</v>
      </c>
      <c r="AA433" s="1">
        <v>12545859</v>
      </c>
      <c r="AB433" s="1" t="s">
        <v>2632</v>
      </c>
      <c r="AC433" s="1"/>
      <c r="AD433" s="1"/>
      <c r="AE433" s="3"/>
      <c r="AF433" s="194" t="s">
        <v>3539</v>
      </c>
      <c r="AG433" s="15" t="s">
        <v>192</v>
      </c>
      <c r="AH433" s="15"/>
    </row>
    <row r="434" spans="1:34" s="4" customFormat="1" x14ac:dyDescent="0.25">
      <c r="A434" s="16">
        <v>891780404</v>
      </c>
      <c r="B434" s="16" t="s">
        <v>54</v>
      </c>
      <c r="C434" s="14" t="s">
        <v>2627</v>
      </c>
      <c r="D434" s="16" t="s">
        <v>60</v>
      </c>
      <c r="E434" s="1" t="s">
        <v>3540</v>
      </c>
      <c r="F434" s="16" t="s">
        <v>61</v>
      </c>
      <c r="G434" s="1" t="s">
        <v>69</v>
      </c>
      <c r="H434" s="1" t="s">
        <v>2629</v>
      </c>
      <c r="I434" s="9">
        <v>10901520</v>
      </c>
      <c r="J434" s="94"/>
      <c r="K434" s="2"/>
      <c r="L434" s="2"/>
      <c r="M434" s="40">
        <f t="shared" si="18"/>
        <v>10901520</v>
      </c>
      <c r="N434" s="1">
        <v>1216719769</v>
      </c>
      <c r="O434" s="1" t="s">
        <v>3541</v>
      </c>
      <c r="P434" s="1" t="s">
        <v>3542</v>
      </c>
      <c r="Q434" s="3">
        <v>45008</v>
      </c>
      <c r="R434" s="3">
        <v>45008</v>
      </c>
      <c r="S434" s="3">
        <v>45107</v>
      </c>
      <c r="T434" s="35"/>
      <c r="U434" s="3"/>
      <c r="V434" s="3"/>
      <c r="W434" s="50">
        <v>45138</v>
      </c>
      <c r="X434" s="9">
        <v>8801968</v>
      </c>
      <c r="Y434" s="9">
        <v>2099552</v>
      </c>
      <c r="Z434" s="34">
        <f t="shared" si="17"/>
        <v>0.80740740740740746</v>
      </c>
      <c r="AA434" s="1">
        <v>12545859</v>
      </c>
      <c r="AB434" s="1" t="s">
        <v>2632</v>
      </c>
      <c r="AC434" s="1"/>
      <c r="AD434" s="1"/>
      <c r="AE434" s="3"/>
      <c r="AF434" s="194" t="s">
        <v>3543</v>
      </c>
      <c r="AG434" s="15" t="s">
        <v>192</v>
      </c>
      <c r="AH434" s="15" t="s">
        <v>192</v>
      </c>
    </row>
    <row r="435" spans="1:34" s="4" customFormat="1" x14ac:dyDescent="0.25">
      <c r="A435" s="16">
        <v>891780405</v>
      </c>
      <c r="B435" s="16" t="s">
        <v>54</v>
      </c>
      <c r="C435" s="14" t="s">
        <v>2627</v>
      </c>
      <c r="D435" s="16" t="s">
        <v>60</v>
      </c>
      <c r="E435" s="1" t="s">
        <v>3544</v>
      </c>
      <c r="F435" s="16" t="s">
        <v>61</v>
      </c>
      <c r="G435" s="1" t="s">
        <v>69</v>
      </c>
      <c r="H435" s="1" t="s">
        <v>2629</v>
      </c>
      <c r="I435" s="9">
        <v>15419991</v>
      </c>
      <c r="J435" s="94"/>
      <c r="K435" s="2"/>
      <c r="L435" s="2"/>
      <c r="M435" s="40">
        <f t="shared" si="18"/>
        <v>15419991</v>
      </c>
      <c r="N435" s="1">
        <v>1067946038</v>
      </c>
      <c r="O435" s="1" t="s">
        <v>3545</v>
      </c>
      <c r="P435" s="1" t="s">
        <v>3546</v>
      </c>
      <c r="Q435" s="3">
        <v>45013</v>
      </c>
      <c r="R435" s="3">
        <v>45017</v>
      </c>
      <c r="S435" s="3">
        <v>45275</v>
      </c>
      <c r="T435" s="35"/>
      <c r="U435" s="3"/>
      <c r="V435" s="3"/>
      <c r="W435" s="50"/>
      <c r="X435" s="9">
        <v>1028000</v>
      </c>
      <c r="Y435" s="9">
        <v>14391991</v>
      </c>
      <c r="Z435" s="34">
        <f t="shared" si="17"/>
        <v>6.6666705577195215E-2</v>
      </c>
      <c r="AA435" s="1">
        <v>12545859</v>
      </c>
      <c r="AB435" s="1" t="s">
        <v>2632</v>
      </c>
      <c r="AC435" s="1"/>
      <c r="AD435" s="1"/>
      <c r="AE435" s="3"/>
      <c r="AF435" s="194" t="s">
        <v>3547</v>
      </c>
      <c r="AG435" s="15" t="s">
        <v>192</v>
      </c>
      <c r="AH435" s="15" t="s">
        <v>192</v>
      </c>
    </row>
    <row r="436" spans="1:34" s="4" customFormat="1" x14ac:dyDescent="0.25">
      <c r="A436" s="16">
        <v>891780406</v>
      </c>
      <c r="B436" s="16" t="s">
        <v>54</v>
      </c>
      <c r="C436" s="14" t="s">
        <v>2627</v>
      </c>
      <c r="D436" s="16" t="s">
        <v>60</v>
      </c>
      <c r="E436" s="1" t="s">
        <v>3548</v>
      </c>
      <c r="F436" s="16" t="s">
        <v>61</v>
      </c>
      <c r="G436" s="1" t="s">
        <v>69</v>
      </c>
      <c r="H436" s="1" t="s">
        <v>2629</v>
      </c>
      <c r="I436" s="9">
        <v>14025000</v>
      </c>
      <c r="J436" s="94"/>
      <c r="K436" s="2"/>
      <c r="L436" s="2"/>
      <c r="M436" s="40">
        <f t="shared" si="18"/>
        <v>14025000</v>
      </c>
      <c r="N436" s="1">
        <v>1122839317</v>
      </c>
      <c r="O436" s="1" t="s">
        <v>3549</v>
      </c>
      <c r="P436" s="1" t="s">
        <v>3550</v>
      </c>
      <c r="Q436" s="3">
        <v>45033</v>
      </c>
      <c r="R436" s="3">
        <v>45033</v>
      </c>
      <c r="S436" s="3">
        <v>45275</v>
      </c>
      <c r="T436" s="35"/>
      <c r="U436" s="3"/>
      <c r="V436" s="3"/>
      <c r="W436" s="50"/>
      <c r="X436" s="9">
        <v>4950000</v>
      </c>
      <c r="Y436" s="9">
        <v>9075000</v>
      </c>
      <c r="Z436" s="34">
        <f t="shared" si="17"/>
        <v>0.35294117647058826</v>
      </c>
      <c r="AA436" s="1">
        <v>12545859</v>
      </c>
      <c r="AB436" s="1" t="s">
        <v>2632</v>
      </c>
      <c r="AC436" s="1"/>
      <c r="AD436" s="1"/>
      <c r="AE436" s="3"/>
      <c r="AF436" s="194" t="s">
        <v>3551</v>
      </c>
      <c r="AG436" s="15" t="s">
        <v>192</v>
      </c>
      <c r="AH436" s="15" t="s">
        <v>192</v>
      </c>
    </row>
    <row r="437" spans="1:34" s="4" customFormat="1" x14ac:dyDescent="0.25">
      <c r="A437" s="16">
        <v>891780407</v>
      </c>
      <c r="B437" s="16" t="s">
        <v>54</v>
      </c>
      <c r="C437" s="14" t="s">
        <v>2627</v>
      </c>
      <c r="D437" s="16" t="s">
        <v>60</v>
      </c>
      <c r="E437" s="1" t="s">
        <v>3552</v>
      </c>
      <c r="F437" s="16" t="s">
        <v>61</v>
      </c>
      <c r="G437" s="1" t="s">
        <v>69</v>
      </c>
      <c r="H437" s="1" t="s">
        <v>2629</v>
      </c>
      <c r="I437" s="9">
        <v>15419991</v>
      </c>
      <c r="J437" s="94"/>
      <c r="K437" s="2"/>
      <c r="L437" s="2"/>
      <c r="M437" s="40">
        <f t="shared" si="18"/>
        <v>15419991</v>
      </c>
      <c r="N437" s="1">
        <v>1087128575</v>
      </c>
      <c r="O437" s="1" t="s">
        <v>3553</v>
      </c>
      <c r="P437" s="1" t="s">
        <v>3554</v>
      </c>
      <c r="Q437" s="3">
        <v>45035</v>
      </c>
      <c r="R437" s="3">
        <v>45035</v>
      </c>
      <c r="S437" s="3">
        <v>45275</v>
      </c>
      <c r="T437" s="35"/>
      <c r="U437" s="3"/>
      <c r="V437" s="3"/>
      <c r="W437" s="50"/>
      <c r="X437" s="9">
        <v>5442351</v>
      </c>
      <c r="Y437" s="9">
        <v>9977640</v>
      </c>
      <c r="Z437" s="34">
        <f t="shared" si="17"/>
        <v>0.35294125658049996</v>
      </c>
      <c r="AA437" s="1">
        <v>12545859</v>
      </c>
      <c r="AB437" s="1" t="s">
        <v>2632</v>
      </c>
      <c r="AC437" s="1"/>
      <c r="AD437" s="1"/>
      <c r="AE437" s="3"/>
      <c r="AF437" s="194" t="s">
        <v>3555</v>
      </c>
      <c r="AG437" s="15" t="s">
        <v>192</v>
      </c>
      <c r="AH437" s="15" t="s">
        <v>192</v>
      </c>
    </row>
    <row r="438" spans="1:34" s="4" customFormat="1" x14ac:dyDescent="0.25">
      <c r="A438" s="16">
        <v>891780408</v>
      </c>
      <c r="B438" s="16" t="s">
        <v>54</v>
      </c>
      <c r="C438" s="14" t="s">
        <v>2627</v>
      </c>
      <c r="D438" s="16" t="s">
        <v>60</v>
      </c>
      <c r="E438" s="1" t="s">
        <v>3556</v>
      </c>
      <c r="F438" s="16" t="s">
        <v>61</v>
      </c>
      <c r="G438" s="1" t="s">
        <v>69</v>
      </c>
      <c r="H438" s="1" t="s">
        <v>2629</v>
      </c>
      <c r="I438" s="9">
        <v>14025000</v>
      </c>
      <c r="J438" s="94"/>
      <c r="K438" s="2"/>
      <c r="L438" s="2"/>
      <c r="M438" s="40">
        <f t="shared" si="18"/>
        <v>14025000</v>
      </c>
      <c r="N438" s="1">
        <v>1124031438</v>
      </c>
      <c r="O438" s="1" t="s">
        <v>3557</v>
      </c>
      <c r="P438" s="1" t="s">
        <v>3558</v>
      </c>
      <c r="Q438" s="3">
        <v>45035</v>
      </c>
      <c r="R438" s="3">
        <v>45035</v>
      </c>
      <c r="S438" s="3">
        <v>45275</v>
      </c>
      <c r="T438" s="35"/>
      <c r="U438" s="3"/>
      <c r="V438" s="3"/>
      <c r="W438" s="50"/>
      <c r="X438" s="9">
        <v>4950000</v>
      </c>
      <c r="Y438" s="9">
        <v>9075000</v>
      </c>
      <c r="Z438" s="34">
        <f t="shared" si="17"/>
        <v>0.35294117647058826</v>
      </c>
      <c r="AA438" s="1">
        <v>12545859</v>
      </c>
      <c r="AB438" s="1" t="s">
        <v>2632</v>
      </c>
      <c r="AC438" s="1"/>
      <c r="AD438" s="1"/>
      <c r="AE438" s="3"/>
      <c r="AF438" s="194" t="s">
        <v>3559</v>
      </c>
      <c r="AG438" s="15" t="s">
        <v>192</v>
      </c>
      <c r="AH438" s="15" t="s">
        <v>192</v>
      </c>
    </row>
    <row r="439" spans="1:34" s="4" customFormat="1" x14ac:dyDescent="0.25">
      <c r="A439" s="16">
        <v>891780409</v>
      </c>
      <c r="B439" s="16" t="s">
        <v>54</v>
      </c>
      <c r="C439" s="14" t="s">
        <v>2627</v>
      </c>
      <c r="D439" s="16" t="s">
        <v>60</v>
      </c>
      <c r="E439" s="1" t="s">
        <v>3560</v>
      </c>
      <c r="F439" s="16" t="s">
        <v>61</v>
      </c>
      <c r="G439" s="1" t="s">
        <v>69</v>
      </c>
      <c r="H439" s="1" t="s">
        <v>2629</v>
      </c>
      <c r="I439" s="9">
        <v>15725336</v>
      </c>
      <c r="J439" s="94"/>
      <c r="K439" s="2"/>
      <c r="L439" s="2"/>
      <c r="M439" s="40">
        <f t="shared" si="18"/>
        <v>15725336</v>
      </c>
      <c r="N439" s="1">
        <v>1082215293</v>
      </c>
      <c r="O439" s="1" t="s">
        <v>3561</v>
      </c>
      <c r="P439" s="1" t="s">
        <v>3562</v>
      </c>
      <c r="Q439" s="3">
        <v>45035</v>
      </c>
      <c r="R439" s="3">
        <v>45035</v>
      </c>
      <c r="S439" s="3">
        <v>45275</v>
      </c>
      <c r="T439" s="35"/>
      <c r="U439" s="3"/>
      <c r="V439" s="3"/>
      <c r="W439" s="50"/>
      <c r="X439" s="9">
        <v>5550120</v>
      </c>
      <c r="Y439" s="9">
        <v>10175216</v>
      </c>
      <c r="Z439" s="34">
        <f t="shared" si="17"/>
        <v>0.35294126624702965</v>
      </c>
      <c r="AA439" s="1">
        <v>12545859</v>
      </c>
      <c r="AB439" s="1" t="s">
        <v>2632</v>
      </c>
      <c r="AC439" s="1"/>
      <c r="AD439" s="1"/>
      <c r="AE439" s="3"/>
      <c r="AF439" s="194" t="s">
        <v>3563</v>
      </c>
      <c r="AG439" s="15" t="s">
        <v>192</v>
      </c>
      <c r="AH439" s="15" t="s">
        <v>192</v>
      </c>
    </row>
    <row r="440" spans="1:34" s="4" customFormat="1" x14ac:dyDescent="0.25">
      <c r="A440" s="16">
        <v>891780410</v>
      </c>
      <c r="B440" s="16" t="s">
        <v>54</v>
      </c>
      <c r="C440" s="14" t="s">
        <v>2627</v>
      </c>
      <c r="D440" s="16" t="s">
        <v>60</v>
      </c>
      <c r="E440" s="1" t="s">
        <v>3564</v>
      </c>
      <c r="F440" s="16" t="s">
        <v>61</v>
      </c>
      <c r="G440" s="1" t="s">
        <v>69</v>
      </c>
      <c r="H440" s="1" t="s">
        <v>2629</v>
      </c>
      <c r="I440" s="9">
        <v>12112800</v>
      </c>
      <c r="J440" s="94"/>
      <c r="K440" s="2"/>
      <c r="L440" s="2"/>
      <c r="M440" s="40">
        <f t="shared" si="18"/>
        <v>12112800</v>
      </c>
      <c r="N440" s="1">
        <v>1069584559</v>
      </c>
      <c r="O440" s="1" t="s">
        <v>3565</v>
      </c>
      <c r="P440" s="1" t="s">
        <v>3566</v>
      </c>
      <c r="Q440" s="3">
        <v>45036</v>
      </c>
      <c r="R440" s="3">
        <v>45036</v>
      </c>
      <c r="S440" s="3">
        <v>45107</v>
      </c>
      <c r="T440" s="35"/>
      <c r="U440" s="3"/>
      <c r="V440" s="3"/>
      <c r="W440" s="50">
        <v>45138</v>
      </c>
      <c r="X440" s="9">
        <v>10417008</v>
      </c>
      <c r="Y440" s="9">
        <v>1695792</v>
      </c>
      <c r="Z440" s="34">
        <f t="shared" si="17"/>
        <v>0.86</v>
      </c>
      <c r="AA440" s="1">
        <v>12545859</v>
      </c>
      <c r="AB440" s="1" t="s">
        <v>2632</v>
      </c>
      <c r="AC440" s="1"/>
      <c r="AD440" s="1"/>
      <c r="AE440" s="3"/>
      <c r="AF440" s="194" t="s">
        <v>3567</v>
      </c>
      <c r="AG440" s="15" t="s">
        <v>192</v>
      </c>
      <c r="AH440" s="15" t="s">
        <v>192</v>
      </c>
    </row>
    <row r="441" spans="1:34" s="4" customFormat="1" x14ac:dyDescent="0.25">
      <c r="A441" s="16">
        <v>891780411</v>
      </c>
      <c r="B441" s="16" t="s">
        <v>54</v>
      </c>
      <c r="C441" s="14" t="s">
        <v>2627</v>
      </c>
      <c r="D441" s="16" t="s">
        <v>60</v>
      </c>
      <c r="E441" s="1" t="s">
        <v>3568</v>
      </c>
      <c r="F441" s="16" t="s">
        <v>61</v>
      </c>
      <c r="G441" s="1" t="s">
        <v>69</v>
      </c>
      <c r="H441" s="1" t="s">
        <v>2629</v>
      </c>
      <c r="I441" s="9">
        <v>14025000</v>
      </c>
      <c r="J441" s="94"/>
      <c r="K441" s="2"/>
      <c r="L441" s="2"/>
      <c r="M441" s="40">
        <f t="shared" si="18"/>
        <v>14025000</v>
      </c>
      <c r="N441" s="1">
        <v>1124496661</v>
      </c>
      <c r="O441" s="1" t="s">
        <v>3569</v>
      </c>
      <c r="P441" s="1" t="s">
        <v>3570</v>
      </c>
      <c r="Q441" s="3">
        <v>45041</v>
      </c>
      <c r="R441" s="3">
        <v>45041</v>
      </c>
      <c r="S441" s="3">
        <v>45275</v>
      </c>
      <c r="T441" s="35"/>
      <c r="U441" s="3"/>
      <c r="V441" s="3"/>
      <c r="W441" s="50"/>
      <c r="X441" s="9">
        <v>4950000</v>
      </c>
      <c r="Y441" s="9">
        <v>9075000</v>
      </c>
      <c r="Z441" s="34">
        <f t="shared" si="17"/>
        <v>0.35294117647058826</v>
      </c>
      <c r="AA441" s="1">
        <v>12545859</v>
      </c>
      <c r="AB441" s="1" t="s">
        <v>2632</v>
      </c>
      <c r="AC441" s="1"/>
      <c r="AD441" s="1"/>
      <c r="AE441" s="3"/>
      <c r="AF441" s="194" t="s">
        <v>3571</v>
      </c>
      <c r="AG441" s="15" t="s">
        <v>192</v>
      </c>
      <c r="AH441" s="15" t="s">
        <v>192</v>
      </c>
    </row>
    <row r="442" spans="1:34" s="4" customFormat="1" x14ac:dyDescent="0.25">
      <c r="A442" s="16">
        <v>891780412</v>
      </c>
      <c r="B442" s="16" t="s">
        <v>54</v>
      </c>
      <c r="C442" s="14" t="s">
        <v>2627</v>
      </c>
      <c r="D442" s="16" t="s">
        <v>60</v>
      </c>
      <c r="E442" s="1" t="s">
        <v>3572</v>
      </c>
      <c r="F442" s="16" t="s">
        <v>61</v>
      </c>
      <c r="G442" s="1" t="s">
        <v>69</v>
      </c>
      <c r="H442" s="1" t="s">
        <v>2629</v>
      </c>
      <c r="I442" s="9">
        <v>14025000</v>
      </c>
      <c r="J442" s="94"/>
      <c r="K442" s="2"/>
      <c r="L442" s="2"/>
      <c r="M442" s="40">
        <f t="shared" si="18"/>
        <v>14025000</v>
      </c>
      <c r="N442" s="1">
        <v>1124005944</v>
      </c>
      <c r="O442" s="1" t="s">
        <v>3573</v>
      </c>
      <c r="P442" s="1" t="s">
        <v>3574</v>
      </c>
      <c r="Q442" s="3">
        <v>45041</v>
      </c>
      <c r="R442" s="3">
        <v>45041</v>
      </c>
      <c r="S442" s="3">
        <v>45275</v>
      </c>
      <c r="T442" s="35"/>
      <c r="U442" s="3"/>
      <c r="V442" s="3"/>
      <c r="W442" s="50"/>
      <c r="X442" s="9">
        <v>4950000</v>
      </c>
      <c r="Y442" s="9">
        <v>9075000</v>
      </c>
      <c r="Z442" s="34">
        <f t="shared" si="17"/>
        <v>0.35294117647058826</v>
      </c>
      <c r="AA442" s="1">
        <v>12545859</v>
      </c>
      <c r="AB442" s="1" t="s">
        <v>2632</v>
      </c>
      <c r="AC442" s="1"/>
      <c r="AD442" s="1"/>
      <c r="AE442" s="3"/>
      <c r="AF442" s="194" t="s">
        <v>3575</v>
      </c>
      <c r="AG442" s="15" t="s">
        <v>192</v>
      </c>
      <c r="AH442" s="15" t="s">
        <v>192</v>
      </c>
    </row>
    <row r="443" spans="1:34" s="4" customFormat="1" x14ac:dyDescent="0.25">
      <c r="A443" s="16">
        <v>891780413</v>
      </c>
      <c r="B443" s="16" t="s">
        <v>54</v>
      </c>
      <c r="C443" s="14" t="s">
        <v>2627</v>
      </c>
      <c r="D443" s="16" t="s">
        <v>60</v>
      </c>
      <c r="E443" s="1" t="s">
        <v>3576</v>
      </c>
      <c r="F443" s="16" t="s">
        <v>61</v>
      </c>
      <c r="G443" s="1" t="s">
        <v>69</v>
      </c>
      <c r="H443" s="1" t="s">
        <v>2629</v>
      </c>
      <c r="I443" s="9">
        <v>13605875</v>
      </c>
      <c r="J443" s="94"/>
      <c r="K443" s="2"/>
      <c r="L443" s="2"/>
      <c r="M443" s="40">
        <f t="shared" si="18"/>
        <v>13605875</v>
      </c>
      <c r="N443" s="1">
        <v>45767985</v>
      </c>
      <c r="O443" s="1" t="s">
        <v>3577</v>
      </c>
      <c r="P443" s="1" t="s">
        <v>3578</v>
      </c>
      <c r="Q443" s="3">
        <v>45050</v>
      </c>
      <c r="R443" s="3">
        <v>45050</v>
      </c>
      <c r="S443" s="3">
        <v>45275</v>
      </c>
      <c r="T443" s="35"/>
      <c r="U443" s="3"/>
      <c r="V443" s="3"/>
      <c r="W443" s="50"/>
      <c r="X443" s="9">
        <v>3628234</v>
      </c>
      <c r="Y443" s="9">
        <v>9977641</v>
      </c>
      <c r="Z443" s="34">
        <f t="shared" si="17"/>
        <v>0.26666671566510791</v>
      </c>
      <c r="AA443" s="1">
        <v>12545859</v>
      </c>
      <c r="AB443" s="1" t="s">
        <v>2632</v>
      </c>
      <c r="AC443" s="1"/>
      <c r="AD443" s="1"/>
      <c r="AE443" s="3"/>
      <c r="AF443" s="194" t="s">
        <v>3579</v>
      </c>
      <c r="AG443" s="15" t="s">
        <v>192</v>
      </c>
      <c r="AH443" s="15" t="s">
        <v>192</v>
      </c>
    </row>
    <row r="444" spans="1:34" s="4" customFormat="1" x14ac:dyDescent="0.25">
      <c r="A444" s="16">
        <v>891780414</v>
      </c>
      <c r="B444" s="16" t="s">
        <v>54</v>
      </c>
      <c r="C444" s="14" t="s">
        <v>2627</v>
      </c>
      <c r="D444" s="16" t="s">
        <v>60</v>
      </c>
      <c r="E444" s="1" t="s">
        <v>3580</v>
      </c>
      <c r="F444" s="16" t="s">
        <v>61</v>
      </c>
      <c r="G444" s="1" t="s">
        <v>69</v>
      </c>
      <c r="H444" s="1" t="s">
        <v>2629</v>
      </c>
      <c r="I444" s="9">
        <v>13821430</v>
      </c>
      <c r="J444" s="94"/>
      <c r="K444" s="2"/>
      <c r="L444" s="2"/>
      <c r="M444" s="40">
        <f t="shared" si="18"/>
        <v>13821430</v>
      </c>
      <c r="N444" s="1">
        <v>1083012957</v>
      </c>
      <c r="O444" s="1" t="s">
        <v>3581</v>
      </c>
      <c r="P444" s="1" t="s">
        <v>3582</v>
      </c>
      <c r="Q444" s="3">
        <v>45050</v>
      </c>
      <c r="R444" s="3">
        <v>45050</v>
      </c>
      <c r="S444" s="3">
        <v>45275</v>
      </c>
      <c r="T444" s="35"/>
      <c r="U444" s="3"/>
      <c r="V444" s="3"/>
      <c r="W444" s="50"/>
      <c r="X444" s="9">
        <v>3685716</v>
      </c>
      <c r="Y444" s="9">
        <v>10135714</v>
      </c>
      <c r="Z444" s="34">
        <f t="shared" si="17"/>
        <v>0.26666676313521825</v>
      </c>
      <c r="AA444" s="1">
        <v>12545859</v>
      </c>
      <c r="AB444" s="1" t="s">
        <v>2632</v>
      </c>
      <c r="AC444" s="1"/>
      <c r="AD444" s="1"/>
      <c r="AE444" s="3"/>
      <c r="AF444" s="194" t="s">
        <v>3583</v>
      </c>
      <c r="AG444" s="15" t="s">
        <v>192</v>
      </c>
      <c r="AH444" s="15" t="s">
        <v>192</v>
      </c>
    </row>
    <row r="445" spans="1:34" s="4" customFormat="1" x14ac:dyDescent="0.25">
      <c r="A445" s="16">
        <v>891780415</v>
      </c>
      <c r="B445" s="16" t="s">
        <v>54</v>
      </c>
      <c r="C445" s="14" t="s">
        <v>2627</v>
      </c>
      <c r="D445" s="16" t="s">
        <v>60</v>
      </c>
      <c r="E445" s="1" t="s">
        <v>3584</v>
      </c>
      <c r="F445" s="16" t="s">
        <v>61</v>
      </c>
      <c r="G445" s="1" t="s">
        <v>69</v>
      </c>
      <c r="H445" s="1" t="s">
        <v>2629</v>
      </c>
      <c r="I445" s="9">
        <v>13605875</v>
      </c>
      <c r="J445" s="94"/>
      <c r="K445" s="2"/>
      <c r="L445" s="2"/>
      <c r="M445" s="40">
        <f t="shared" si="18"/>
        <v>13605875</v>
      </c>
      <c r="N445" s="1">
        <v>1102577048</v>
      </c>
      <c r="O445" s="1" t="s">
        <v>3585</v>
      </c>
      <c r="P445" s="1" t="s">
        <v>3586</v>
      </c>
      <c r="Q445" s="3">
        <v>45071</v>
      </c>
      <c r="R445" s="3">
        <v>45071</v>
      </c>
      <c r="S445" s="3">
        <v>45275</v>
      </c>
      <c r="T445" s="35"/>
      <c r="U445" s="3"/>
      <c r="V445" s="3"/>
      <c r="W445" s="50"/>
      <c r="X445" s="9">
        <v>3628234</v>
      </c>
      <c r="Y445" s="9">
        <v>9977641</v>
      </c>
      <c r="Z445" s="34">
        <f t="shared" si="17"/>
        <v>0.26666671566510791</v>
      </c>
      <c r="AA445" s="1">
        <v>12545859</v>
      </c>
      <c r="AB445" s="1" t="s">
        <v>2632</v>
      </c>
      <c r="AC445" s="1"/>
      <c r="AD445" s="1"/>
      <c r="AE445" s="3"/>
      <c r="AF445" s="194" t="s">
        <v>3587</v>
      </c>
      <c r="AG445" s="15" t="s">
        <v>192</v>
      </c>
      <c r="AH445" s="15"/>
    </row>
    <row r="446" spans="1:34" s="4" customFormat="1" x14ac:dyDescent="0.25">
      <c r="A446" s="16">
        <v>891780416</v>
      </c>
      <c r="B446" s="16" t="s">
        <v>54</v>
      </c>
      <c r="C446" s="14" t="s">
        <v>2627</v>
      </c>
      <c r="D446" s="16" t="s">
        <v>60</v>
      </c>
      <c r="E446" s="1" t="s">
        <v>3588</v>
      </c>
      <c r="F446" s="16" t="s">
        <v>61</v>
      </c>
      <c r="G446" s="1" t="s">
        <v>69</v>
      </c>
      <c r="H446" s="1" t="s">
        <v>59</v>
      </c>
      <c r="I446" s="9">
        <v>12749570</v>
      </c>
      <c r="J446" s="94"/>
      <c r="K446" s="2"/>
      <c r="L446" s="2"/>
      <c r="M446" s="40">
        <f t="shared" si="18"/>
        <v>12749570</v>
      </c>
      <c r="N446" s="1">
        <v>819005564</v>
      </c>
      <c r="O446" s="1" t="s">
        <v>1677</v>
      </c>
      <c r="P446" s="1" t="s">
        <v>3589</v>
      </c>
      <c r="Q446" s="3">
        <v>44986</v>
      </c>
      <c r="R446" s="3">
        <v>44986</v>
      </c>
      <c r="S446" s="3">
        <v>44993</v>
      </c>
      <c r="T446" s="35"/>
      <c r="U446" s="3"/>
      <c r="V446" s="3"/>
      <c r="W446" s="50"/>
      <c r="X446" s="9">
        <v>12749570</v>
      </c>
      <c r="Y446" s="9">
        <f>M446-X446</f>
        <v>0</v>
      </c>
      <c r="Z446" s="34">
        <f t="shared" si="17"/>
        <v>1</v>
      </c>
      <c r="AA446" s="1">
        <v>12545859</v>
      </c>
      <c r="AB446" s="1" t="s">
        <v>2632</v>
      </c>
      <c r="AC446" s="1"/>
      <c r="AD446" s="1"/>
      <c r="AE446" s="3"/>
      <c r="AF446" s="194" t="s">
        <v>3590</v>
      </c>
      <c r="AG446" s="15" t="s">
        <v>192</v>
      </c>
      <c r="AH446" s="15" t="s">
        <v>191</v>
      </c>
    </row>
    <row r="447" spans="1:34" s="4" customFormat="1" x14ac:dyDescent="0.25">
      <c r="A447" s="16">
        <v>891780417</v>
      </c>
      <c r="B447" s="16" t="s">
        <v>54</v>
      </c>
      <c r="C447" s="14" t="s">
        <v>2627</v>
      </c>
      <c r="D447" s="16" t="s">
        <v>60</v>
      </c>
      <c r="E447" s="1" t="s">
        <v>3591</v>
      </c>
      <c r="F447" s="16" t="s">
        <v>61</v>
      </c>
      <c r="G447" s="1" t="s">
        <v>69</v>
      </c>
      <c r="H447" s="1" t="s">
        <v>59</v>
      </c>
      <c r="I447" s="9">
        <v>169648000</v>
      </c>
      <c r="J447" s="94"/>
      <c r="K447" s="2"/>
      <c r="L447" s="2"/>
      <c r="M447" s="40">
        <f t="shared" si="18"/>
        <v>169648000</v>
      </c>
      <c r="N447" s="1">
        <v>1030539760</v>
      </c>
      <c r="O447" s="1" t="s">
        <v>3592</v>
      </c>
      <c r="P447" s="1" t="s">
        <v>3593</v>
      </c>
      <c r="Q447" s="3">
        <v>45012</v>
      </c>
      <c r="R447" s="3">
        <v>45012</v>
      </c>
      <c r="S447" s="3">
        <v>45169</v>
      </c>
      <c r="T447" s="35"/>
      <c r="U447" s="3"/>
      <c r="V447" s="3"/>
      <c r="W447" s="50"/>
      <c r="X447" s="9">
        <v>33417000</v>
      </c>
      <c r="Y447" s="9">
        <v>136231000</v>
      </c>
      <c r="Z447" s="34">
        <f t="shared" si="17"/>
        <v>0.19697844949542581</v>
      </c>
      <c r="AA447" s="1">
        <v>12545859</v>
      </c>
      <c r="AB447" s="1" t="s">
        <v>2632</v>
      </c>
      <c r="AC447" s="1"/>
      <c r="AD447" s="1"/>
      <c r="AE447" s="3"/>
      <c r="AF447" s="194" t="s">
        <v>3594</v>
      </c>
      <c r="AG447" s="15" t="s">
        <v>192</v>
      </c>
      <c r="AH447" s="15" t="s">
        <v>191</v>
      </c>
    </row>
    <row r="448" spans="1:34" s="4" customFormat="1" x14ac:dyDescent="0.25">
      <c r="A448" s="16">
        <v>891780418</v>
      </c>
      <c r="B448" s="16" t="s">
        <v>54</v>
      </c>
      <c r="C448" s="14" t="s">
        <v>2627</v>
      </c>
      <c r="D448" s="16" t="s">
        <v>60</v>
      </c>
      <c r="E448" s="1" t="s">
        <v>3595</v>
      </c>
      <c r="F448" s="16" t="s">
        <v>61</v>
      </c>
      <c r="G448" s="1" t="s">
        <v>69</v>
      </c>
      <c r="H448" s="1" t="s">
        <v>59</v>
      </c>
      <c r="I448" s="9">
        <v>44625000</v>
      </c>
      <c r="J448" s="94"/>
      <c r="K448" s="2"/>
      <c r="L448" s="2"/>
      <c r="M448" s="40">
        <f t="shared" si="18"/>
        <v>44625000</v>
      </c>
      <c r="N448" s="1">
        <v>900763287</v>
      </c>
      <c r="O448" s="1" t="s">
        <v>3596</v>
      </c>
      <c r="P448" s="1" t="s">
        <v>3597</v>
      </c>
      <c r="Q448" s="3">
        <v>45041</v>
      </c>
      <c r="R448" s="3">
        <v>45041</v>
      </c>
      <c r="S448" s="3">
        <v>45071</v>
      </c>
      <c r="T448" s="35"/>
      <c r="U448" s="3"/>
      <c r="V448" s="3"/>
      <c r="W448" s="50"/>
      <c r="X448" s="9">
        <v>44625000</v>
      </c>
      <c r="Y448" s="9">
        <f>M448-X448</f>
        <v>0</v>
      </c>
      <c r="Z448" s="34">
        <f t="shared" si="17"/>
        <v>1</v>
      </c>
      <c r="AA448" s="1">
        <v>12545859</v>
      </c>
      <c r="AB448" s="1" t="s">
        <v>2632</v>
      </c>
      <c r="AC448" s="1"/>
      <c r="AD448" s="1"/>
      <c r="AE448" s="3"/>
      <c r="AF448" s="194" t="s">
        <v>3598</v>
      </c>
      <c r="AG448" s="15" t="s">
        <v>192</v>
      </c>
      <c r="AH448" s="15" t="s">
        <v>191</v>
      </c>
    </row>
    <row r="449" spans="1:34" s="4" customFormat="1" x14ac:dyDescent="0.25">
      <c r="A449" s="16">
        <v>891780419</v>
      </c>
      <c r="B449" s="16" t="s">
        <v>54</v>
      </c>
      <c r="C449" s="14" t="s">
        <v>2627</v>
      </c>
      <c r="D449" s="16" t="s">
        <v>60</v>
      </c>
      <c r="E449" s="1" t="s">
        <v>3599</v>
      </c>
      <c r="F449" s="16" t="s">
        <v>61</v>
      </c>
      <c r="G449" s="1" t="s">
        <v>69</v>
      </c>
      <c r="H449" s="1" t="s">
        <v>2629</v>
      </c>
      <c r="I449" s="9">
        <v>53222400</v>
      </c>
      <c r="J449" s="94"/>
      <c r="K449" s="2"/>
      <c r="L449" s="2"/>
      <c r="M449" s="40">
        <f t="shared" si="18"/>
        <v>53222400</v>
      </c>
      <c r="N449" s="1">
        <v>1082886770</v>
      </c>
      <c r="O449" s="1" t="s">
        <v>3600</v>
      </c>
      <c r="P449" s="1" t="s">
        <v>3601</v>
      </c>
      <c r="Q449" s="3">
        <v>44964</v>
      </c>
      <c r="R449" s="3">
        <v>44964</v>
      </c>
      <c r="S449" s="3">
        <v>45275</v>
      </c>
      <c r="T449" s="35"/>
      <c r="U449" s="3"/>
      <c r="V449" s="3"/>
      <c r="W449" s="50"/>
      <c r="X449" s="9">
        <v>24192000</v>
      </c>
      <c r="Y449" s="9">
        <v>29030400</v>
      </c>
      <c r="Z449" s="34">
        <f t="shared" si="17"/>
        <v>0.45454545454545453</v>
      </c>
      <c r="AA449" s="1">
        <v>12545859</v>
      </c>
      <c r="AB449" s="1" t="s">
        <v>2632</v>
      </c>
      <c r="AC449" s="1"/>
      <c r="AD449" s="1"/>
      <c r="AE449" s="3"/>
      <c r="AF449" s="194" t="s">
        <v>3602</v>
      </c>
      <c r="AG449" s="15" t="s">
        <v>192</v>
      </c>
      <c r="AH449" s="15" t="s">
        <v>192</v>
      </c>
    </row>
    <row r="450" spans="1:34" s="4" customFormat="1" x14ac:dyDescent="0.25">
      <c r="A450" s="16">
        <v>891780420</v>
      </c>
      <c r="B450" s="16" t="s">
        <v>54</v>
      </c>
      <c r="C450" s="14" t="s">
        <v>2627</v>
      </c>
      <c r="D450" s="16" t="s">
        <v>60</v>
      </c>
      <c r="E450" s="1" t="s">
        <v>3603</v>
      </c>
      <c r="F450" s="16" t="s">
        <v>61</v>
      </c>
      <c r="G450" s="1" t="s">
        <v>69</v>
      </c>
      <c r="H450" s="1" t="s">
        <v>2629</v>
      </c>
      <c r="I450" s="9">
        <v>39670400</v>
      </c>
      <c r="J450" s="94"/>
      <c r="K450" s="2"/>
      <c r="L450" s="2"/>
      <c r="M450" s="40">
        <f t="shared" si="18"/>
        <v>39670400</v>
      </c>
      <c r="N450" s="1">
        <v>36727138</v>
      </c>
      <c r="O450" s="1" t="s">
        <v>3604</v>
      </c>
      <c r="P450" s="1" t="s">
        <v>3605</v>
      </c>
      <c r="Q450" s="3">
        <v>44964</v>
      </c>
      <c r="R450" s="3">
        <v>44964</v>
      </c>
      <c r="S450" s="3">
        <v>45275</v>
      </c>
      <c r="T450" s="35"/>
      <c r="U450" s="3"/>
      <c r="V450" s="3"/>
      <c r="W450" s="50"/>
      <c r="X450" s="9">
        <v>18032000</v>
      </c>
      <c r="Y450" s="9">
        <v>21638400</v>
      </c>
      <c r="Z450" s="34">
        <f t="shared" si="17"/>
        <v>0.45454545454545453</v>
      </c>
      <c r="AA450" s="1">
        <v>12545859</v>
      </c>
      <c r="AB450" s="1" t="s">
        <v>2632</v>
      </c>
      <c r="AC450" s="1"/>
      <c r="AD450" s="1"/>
      <c r="AE450" s="3"/>
      <c r="AF450" s="194" t="s">
        <v>3606</v>
      </c>
      <c r="AG450" s="15" t="s">
        <v>192</v>
      </c>
      <c r="AH450" s="15" t="s">
        <v>192</v>
      </c>
    </row>
    <row r="451" spans="1:34" s="4" customFormat="1" x14ac:dyDescent="0.25">
      <c r="A451" s="16">
        <v>891780421</v>
      </c>
      <c r="B451" s="16" t="s">
        <v>54</v>
      </c>
      <c r="C451" s="14" t="s">
        <v>2627</v>
      </c>
      <c r="D451" s="16" t="s">
        <v>60</v>
      </c>
      <c r="E451" s="1" t="s">
        <v>3607</v>
      </c>
      <c r="F451" s="16" t="s">
        <v>61</v>
      </c>
      <c r="G451" s="1" t="s">
        <v>69</v>
      </c>
      <c r="H451" s="1" t="s">
        <v>2629</v>
      </c>
      <c r="I451" s="9">
        <v>39670400</v>
      </c>
      <c r="J451" s="94"/>
      <c r="K451" s="2"/>
      <c r="L451" s="2"/>
      <c r="M451" s="40">
        <f t="shared" si="18"/>
        <v>39670400</v>
      </c>
      <c r="N451" s="1">
        <v>1124034719</v>
      </c>
      <c r="O451" s="1" t="s">
        <v>3608</v>
      </c>
      <c r="P451" s="1" t="s">
        <v>3609</v>
      </c>
      <c r="Q451" s="3">
        <v>44964</v>
      </c>
      <c r="R451" s="3">
        <v>44964</v>
      </c>
      <c r="S451" s="3">
        <v>45275</v>
      </c>
      <c r="T451" s="35"/>
      <c r="U451" s="3"/>
      <c r="V451" s="3"/>
      <c r="W451" s="50"/>
      <c r="X451" s="9">
        <v>18032000</v>
      </c>
      <c r="Y451" s="9">
        <v>21638400</v>
      </c>
      <c r="Z451" s="34">
        <f t="shared" si="17"/>
        <v>0.45454545454545453</v>
      </c>
      <c r="AA451" s="1">
        <v>12545859</v>
      </c>
      <c r="AB451" s="1" t="s">
        <v>2632</v>
      </c>
      <c r="AC451" s="1"/>
      <c r="AD451" s="1"/>
      <c r="AE451" s="3"/>
      <c r="AF451" s="194" t="s">
        <v>3610</v>
      </c>
      <c r="AG451" s="15" t="s">
        <v>192</v>
      </c>
      <c r="AH451" s="15" t="s">
        <v>192</v>
      </c>
    </row>
    <row r="452" spans="1:34" s="4" customFormat="1" x14ac:dyDescent="0.25">
      <c r="A452" s="16">
        <v>891780422</v>
      </c>
      <c r="B452" s="16" t="s">
        <v>54</v>
      </c>
      <c r="C452" s="14" t="s">
        <v>2627</v>
      </c>
      <c r="D452" s="16" t="s">
        <v>60</v>
      </c>
      <c r="E452" s="1" t="s">
        <v>3611</v>
      </c>
      <c r="F452" s="16" t="s">
        <v>61</v>
      </c>
      <c r="G452" s="1" t="s">
        <v>69</v>
      </c>
      <c r="H452" s="1" t="s">
        <v>2629</v>
      </c>
      <c r="I452" s="9">
        <v>41799998</v>
      </c>
      <c r="J452" s="94"/>
      <c r="K452" s="2"/>
      <c r="L452" s="2"/>
      <c r="M452" s="40">
        <f t="shared" si="18"/>
        <v>41799998</v>
      </c>
      <c r="N452" s="1">
        <v>57304414</v>
      </c>
      <c r="O452" s="1" t="s">
        <v>3612</v>
      </c>
      <c r="P452" s="1" t="s">
        <v>3613</v>
      </c>
      <c r="Q452" s="3">
        <v>44964</v>
      </c>
      <c r="R452" s="3">
        <v>44964</v>
      </c>
      <c r="S452" s="3">
        <v>45275</v>
      </c>
      <c r="T452" s="35"/>
      <c r="U452" s="3"/>
      <c r="V452" s="3"/>
      <c r="W452" s="50"/>
      <c r="X452" s="9">
        <v>20302875</v>
      </c>
      <c r="Y452" s="9">
        <v>21497123</v>
      </c>
      <c r="Z452" s="34">
        <f t="shared" si="17"/>
        <v>0.48571473615859984</v>
      </c>
      <c r="AA452" s="1">
        <v>12545859</v>
      </c>
      <c r="AB452" s="1" t="s">
        <v>2632</v>
      </c>
      <c r="AC452" s="1"/>
      <c r="AD452" s="1"/>
      <c r="AE452" s="3"/>
      <c r="AF452" s="194" t="s">
        <v>3614</v>
      </c>
      <c r="AG452" s="15" t="s">
        <v>192</v>
      </c>
      <c r="AH452" s="15" t="s">
        <v>192</v>
      </c>
    </row>
    <row r="453" spans="1:34" s="4" customFormat="1" x14ac:dyDescent="0.25">
      <c r="A453" s="16">
        <v>891780423</v>
      </c>
      <c r="B453" s="16" t="s">
        <v>54</v>
      </c>
      <c r="C453" s="14" t="s">
        <v>2627</v>
      </c>
      <c r="D453" s="16" t="s">
        <v>60</v>
      </c>
      <c r="E453" s="1" t="s">
        <v>3615</v>
      </c>
      <c r="F453" s="16" t="s">
        <v>61</v>
      </c>
      <c r="G453" s="1" t="s">
        <v>69</v>
      </c>
      <c r="H453" s="1" t="s">
        <v>2629</v>
      </c>
      <c r="I453" s="9">
        <v>30913256</v>
      </c>
      <c r="J453" s="94"/>
      <c r="K453" s="2"/>
      <c r="L453" s="2"/>
      <c r="M453" s="40">
        <f t="shared" si="18"/>
        <v>30913256</v>
      </c>
      <c r="N453" s="1">
        <v>36724831</v>
      </c>
      <c r="O453" s="1" t="s">
        <v>3616</v>
      </c>
      <c r="P453" s="1" t="s">
        <v>3617</v>
      </c>
      <c r="Q453" s="3">
        <v>44964</v>
      </c>
      <c r="R453" s="3">
        <v>44964</v>
      </c>
      <c r="S453" s="3">
        <v>45275</v>
      </c>
      <c r="T453" s="35"/>
      <c r="U453" s="3"/>
      <c r="V453" s="3"/>
      <c r="W453" s="50"/>
      <c r="X453" s="9">
        <v>14720600</v>
      </c>
      <c r="Y453" s="9">
        <v>16192656</v>
      </c>
      <c r="Z453" s="34">
        <f t="shared" ref="Z453:Z516" si="19">+(X453/M453)</f>
        <v>0.47619053780682308</v>
      </c>
      <c r="AA453" s="1">
        <v>12545859</v>
      </c>
      <c r="AB453" s="1" t="s">
        <v>2632</v>
      </c>
      <c r="AC453" s="1"/>
      <c r="AD453" s="1"/>
      <c r="AE453" s="3"/>
      <c r="AF453" s="194" t="s">
        <v>3618</v>
      </c>
      <c r="AG453" s="15" t="s">
        <v>192</v>
      </c>
      <c r="AH453" s="15" t="s">
        <v>192</v>
      </c>
    </row>
    <row r="454" spans="1:34" s="4" customFormat="1" x14ac:dyDescent="0.25">
      <c r="A454" s="16">
        <v>891780424</v>
      </c>
      <c r="B454" s="16" t="s">
        <v>54</v>
      </c>
      <c r="C454" s="14" t="s">
        <v>2627</v>
      </c>
      <c r="D454" s="16" t="s">
        <v>60</v>
      </c>
      <c r="E454" s="1" t="s">
        <v>3619</v>
      </c>
      <c r="F454" s="16" t="s">
        <v>61</v>
      </c>
      <c r="G454" s="1" t="s">
        <v>69</v>
      </c>
      <c r="H454" s="1" t="s">
        <v>2629</v>
      </c>
      <c r="I454" s="9">
        <v>33712000</v>
      </c>
      <c r="J454" s="94"/>
      <c r="K454" s="2"/>
      <c r="L454" s="2"/>
      <c r="M454" s="40">
        <f t="shared" ref="M454:M517" si="20">I454+K454-L454</f>
        <v>33712000</v>
      </c>
      <c r="N454" s="1">
        <v>1082932895</v>
      </c>
      <c r="O454" s="1" t="s">
        <v>3620</v>
      </c>
      <c r="P454" s="1" t="s">
        <v>3621</v>
      </c>
      <c r="Q454" s="3">
        <v>44964</v>
      </c>
      <c r="R454" s="3">
        <v>44964</v>
      </c>
      <c r="S454" s="3">
        <v>45275</v>
      </c>
      <c r="T454" s="35"/>
      <c r="U454" s="3"/>
      <c r="V454" s="3"/>
      <c r="W454" s="50"/>
      <c r="X454" s="9">
        <v>16053335</v>
      </c>
      <c r="Y454" s="9">
        <v>17658665</v>
      </c>
      <c r="Z454" s="34">
        <f t="shared" si="19"/>
        <v>0.47619052562885622</v>
      </c>
      <c r="AA454" s="1">
        <v>12545859</v>
      </c>
      <c r="AB454" s="1" t="s">
        <v>2632</v>
      </c>
      <c r="AC454" s="1"/>
      <c r="AD454" s="1"/>
      <c r="AE454" s="3"/>
      <c r="AF454" s="194" t="s">
        <v>3622</v>
      </c>
      <c r="AG454" s="15" t="s">
        <v>192</v>
      </c>
      <c r="AH454" s="15" t="s">
        <v>192</v>
      </c>
    </row>
    <row r="455" spans="1:34" s="4" customFormat="1" x14ac:dyDescent="0.25">
      <c r="A455" s="16">
        <v>891780425</v>
      </c>
      <c r="B455" s="16" t="s">
        <v>54</v>
      </c>
      <c r="C455" s="14" t="s">
        <v>2627</v>
      </c>
      <c r="D455" s="16" t="s">
        <v>60</v>
      </c>
      <c r="E455" s="1" t="s">
        <v>3623</v>
      </c>
      <c r="F455" s="16" t="s">
        <v>61</v>
      </c>
      <c r="G455" s="1" t="s">
        <v>69</v>
      </c>
      <c r="H455" s="1" t="s">
        <v>2629</v>
      </c>
      <c r="I455" s="9">
        <v>32245920</v>
      </c>
      <c r="J455" s="94"/>
      <c r="K455" s="2"/>
      <c r="L455" s="2"/>
      <c r="M455" s="40">
        <f t="shared" si="20"/>
        <v>32245920</v>
      </c>
      <c r="N455" s="1">
        <v>85164268</v>
      </c>
      <c r="O455" s="1" t="s">
        <v>3624</v>
      </c>
      <c r="P455" s="1" t="s">
        <v>3625</v>
      </c>
      <c r="Q455" s="3">
        <v>44964</v>
      </c>
      <c r="R455" s="3">
        <v>44964</v>
      </c>
      <c r="S455" s="3">
        <v>45275</v>
      </c>
      <c r="T455" s="35"/>
      <c r="U455" s="3"/>
      <c r="V455" s="3"/>
      <c r="W455" s="50"/>
      <c r="X455" s="9">
        <v>15355200</v>
      </c>
      <c r="Y455" s="9">
        <v>16890720</v>
      </c>
      <c r="Z455" s="34">
        <f t="shared" si="19"/>
        <v>0.47619047619047616</v>
      </c>
      <c r="AA455" s="1">
        <v>12545859</v>
      </c>
      <c r="AB455" s="1" t="s">
        <v>2632</v>
      </c>
      <c r="AC455" s="1"/>
      <c r="AD455" s="1"/>
      <c r="AE455" s="3"/>
      <c r="AF455" s="194" t="s">
        <v>3626</v>
      </c>
      <c r="AG455" s="15" t="s">
        <v>192</v>
      </c>
      <c r="AH455" s="15" t="s">
        <v>192</v>
      </c>
    </row>
    <row r="456" spans="1:34" s="4" customFormat="1" x14ac:dyDescent="0.25">
      <c r="A456" s="16">
        <v>891780426</v>
      </c>
      <c r="B456" s="16" t="s">
        <v>54</v>
      </c>
      <c r="C456" s="14" t="s">
        <v>2627</v>
      </c>
      <c r="D456" s="16" t="s">
        <v>60</v>
      </c>
      <c r="E456" s="1" t="s">
        <v>3627</v>
      </c>
      <c r="F456" s="16" t="s">
        <v>61</v>
      </c>
      <c r="G456" s="1" t="s">
        <v>69</v>
      </c>
      <c r="H456" s="1" t="s">
        <v>2629</v>
      </c>
      <c r="I456" s="9">
        <v>41160000</v>
      </c>
      <c r="J456" s="94"/>
      <c r="K456" s="2"/>
      <c r="L456" s="2"/>
      <c r="M456" s="40">
        <f t="shared" si="20"/>
        <v>41160000</v>
      </c>
      <c r="N456" s="1">
        <v>52861365</v>
      </c>
      <c r="O456" s="1" t="s">
        <v>3628</v>
      </c>
      <c r="P456" s="1" t="s">
        <v>3629</v>
      </c>
      <c r="Q456" s="3">
        <v>44964</v>
      </c>
      <c r="R456" s="3">
        <v>44964</v>
      </c>
      <c r="S456" s="3">
        <v>45275</v>
      </c>
      <c r="T456" s="35"/>
      <c r="U456" s="3"/>
      <c r="V456" s="3"/>
      <c r="W456" s="50"/>
      <c r="X456" s="9">
        <v>19600000</v>
      </c>
      <c r="Y456" s="9">
        <v>21560000</v>
      </c>
      <c r="Z456" s="34">
        <f t="shared" si="19"/>
        <v>0.47619047619047616</v>
      </c>
      <c r="AA456" s="1">
        <v>12545859</v>
      </c>
      <c r="AB456" s="1" t="s">
        <v>2632</v>
      </c>
      <c r="AC456" s="1"/>
      <c r="AD456" s="1"/>
      <c r="AE456" s="3"/>
      <c r="AF456" s="194" t="s">
        <v>3630</v>
      </c>
      <c r="AG456" s="15" t="s">
        <v>192</v>
      </c>
      <c r="AH456" s="15" t="s">
        <v>192</v>
      </c>
    </row>
    <row r="457" spans="1:34" s="4" customFormat="1" x14ac:dyDescent="0.25">
      <c r="A457" s="16">
        <v>891780427</v>
      </c>
      <c r="B457" s="16" t="s">
        <v>54</v>
      </c>
      <c r="C457" s="14" t="s">
        <v>2627</v>
      </c>
      <c r="D457" s="16" t="s">
        <v>60</v>
      </c>
      <c r="E457" s="1" t="s">
        <v>3631</v>
      </c>
      <c r="F457" s="16" t="s">
        <v>61</v>
      </c>
      <c r="G457" s="1" t="s">
        <v>69</v>
      </c>
      <c r="H457" s="1" t="s">
        <v>2629</v>
      </c>
      <c r="I457" s="9">
        <v>22979040</v>
      </c>
      <c r="J457" s="94"/>
      <c r="K457" s="2"/>
      <c r="L457" s="2"/>
      <c r="M457" s="40">
        <f t="shared" si="20"/>
        <v>22979040</v>
      </c>
      <c r="N457" s="1">
        <v>5054039</v>
      </c>
      <c r="O457" s="1" t="s">
        <v>3632</v>
      </c>
      <c r="P457" s="1" t="s">
        <v>3633</v>
      </c>
      <c r="Q457" s="3">
        <v>44964</v>
      </c>
      <c r="R457" s="3">
        <v>44964</v>
      </c>
      <c r="S457" s="3">
        <v>45275</v>
      </c>
      <c r="T457" s="35"/>
      <c r="U457" s="3"/>
      <c r="V457" s="3"/>
      <c r="W457" s="50"/>
      <c r="X457" s="9">
        <v>10942400</v>
      </c>
      <c r="Y457" s="9">
        <v>12036640</v>
      </c>
      <c r="Z457" s="34">
        <f t="shared" si="19"/>
        <v>0.47619047619047616</v>
      </c>
      <c r="AA457" s="1">
        <v>12545859</v>
      </c>
      <c r="AB457" s="1" t="s">
        <v>2632</v>
      </c>
      <c r="AC457" s="1"/>
      <c r="AD457" s="1"/>
      <c r="AE457" s="3"/>
      <c r="AF457" s="194" t="s">
        <v>3634</v>
      </c>
      <c r="AG457" s="15" t="s">
        <v>192</v>
      </c>
      <c r="AH457" s="15" t="s">
        <v>192</v>
      </c>
    </row>
    <row r="458" spans="1:34" s="4" customFormat="1" x14ac:dyDescent="0.25">
      <c r="A458" s="16">
        <v>891780428</v>
      </c>
      <c r="B458" s="16" t="s">
        <v>54</v>
      </c>
      <c r="C458" s="14" t="s">
        <v>2627</v>
      </c>
      <c r="D458" s="16" t="s">
        <v>60</v>
      </c>
      <c r="E458" s="1" t="s">
        <v>3635</v>
      </c>
      <c r="F458" s="16" t="s">
        <v>61</v>
      </c>
      <c r="G458" s="1" t="s">
        <v>69</v>
      </c>
      <c r="H458" s="1" t="s">
        <v>2629</v>
      </c>
      <c r="I458" s="9">
        <v>63000000</v>
      </c>
      <c r="J458" s="94"/>
      <c r="K458" s="2"/>
      <c r="L458" s="2"/>
      <c r="M458" s="40">
        <f t="shared" si="20"/>
        <v>63000000</v>
      </c>
      <c r="N458" s="1">
        <v>1082843154</v>
      </c>
      <c r="O458" s="1" t="s">
        <v>2205</v>
      </c>
      <c r="P458" s="1" t="s">
        <v>3636</v>
      </c>
      <c r="Q458" s="3">
        <v>44964</v>
      </c>
      <c r="R458" s="3">
        <v>44964</v>
      </c>
      <c r="S458" s="3">
        <v>45275</v>
      </c>
      <c r="T458" s="35"/>
      <c r="U458" s="3"/>
      <c r="V458" s="3"/>
      <c r="W458" s="50"/>
      <c r="X458" s="9">
        <v>30000000</v>
      </c>
      <c r="Y458" s="9">
        <v>33000000</v>
      </c>
      <c r="Z458" s="34">
        <f t="shared" si="19"/>
        <v>0.47619047619047616</v>
      </c>
      <c r="AA458" s="1">
        <v>12545859</v>
      </c>
      <c r="AB458" s="1" t="s">
        <v>2632</v>
      </c>
      <c r="AC458" s="1"/>
      <c r="AD458" s="1"/>
      <c r="AE458" s="3"/>
      <c r="AF458" s="194" t="s">
        <v>3637</v>
      </c>
      <c r="AG458" s="15" t="s">
        <v>192</v>
      </c>
      <c r="AH458" s="15" t="s">
        <v>192</v>
      </c>
    </row>
    <row r="459" spans="1:34" s="4" customFormat="1" x14ac:dyDescent="0.25">
      <c r="A459" s="16">
        <v>891780429</v>
      </c>
      <c r="B459" s="16" t="s">
        <v>54</v>
      </c>
      <c r="C459" s="14" t="s">
        <v>2627</v>
      </c>
      <c r="D459" s="16" t="s">
        <v>60</v>
      </c>
      <c r="E459" s="1" t="s">
        <v>3638</v>
      </c>
      <c r="F459" s="16" t="s">
        <v>61</v>
      </c>
      <c r="G459" s="1" t="s">
        <v>69</v>
      </c>
      <c r="H459" s="1" t="s">
        <v>2629</v>
      </c>
      <c r="I459" s="9">
        <v>27048000</v>
      </c>
      <c r="J459" s="94"/>
      <c r="K459" s="2"/>
      <c r="L459" s="2"/>
      <c r="M459" s="40">
        <f t="shared" si="20"/>
        <v>27048000</v>
      </c>
      <c r="N459" s="1">
        <v>1082992606</v>
      </c>
      <c r="O459" s="1" t="s">
        <v>3639</v>
      </c>
      <c r="P459" s="1" t="s">
        <v>3640</v>
      </c>
      <c r="Q459" s="3">
        <v>44964</v>
      </c>
      <c r="R459" s="3">
        <v>44964</v>
      </c>
      <c r="S459" s="3">
        <v>45275</v>
      </c>
      <c r="T459" s="35"/>
      <c r="U459" s="3"/>
      <c r="V459" s="3"/>
      <c r="W459" s="50"/>
      <c r="X459" s="9">
        <v>12880000</v>
      </c>
      <c r="Y459" s="9">
        <v>14168000</v>
      </c>
      <c r="Z459" s="34">
        <f t="shared" si="19"/>
        <v>0.47619047619047616</v>
      </c>
      <c r="AA459" s="1">
        <v>12545859</v>
      </c>
      <c r="AB459" s="1" t="s">
        <v>2632</v>
      </c>
      <c r="AC459" s="1"/>
      <c r="AD459" s="1"/>
      <c r="AE459" s="3"/>
      <c r="AF459" s="194" t="s">
        <v>3641</v>
      </c>
      <c r="AG459" s="15" t="s">
        <v>192</v>
      </c>
      <c r="AH459" s="15" t="s">
        <v>192</v>
      </c>
    </row>
    <row r="460" spans="1:34" s="4" customFormat="1" x14ac:dyDescent="0.25">
      <c r="A460" s="16">
        <v>891780430</v>
      </c>
      <c r="B460" s="16" t="s">
        <v>54</v>
      </c>
      <c r="C460" s="14" t="s">
        <v>2627</v>
      </c>
      <c r="D460" s="16" t="s">
        <v>60</v>
      </c>
      <c r="E460" s="1" t="s">
        <v>3642</v>
      </c>
      <c r="F460" s="16" t="s">
        <v>61</v>
      </c>
      <c r="G460" s="1" t="s">
        <v>69</v>
      </c>
      <c r="H460" s="1" t="s">
        <v>2629</v>
      </c>
      <c r="I460" s="9">
        <v>24696000</v>
      </c>
      <c r="J460" s="94"/>
      <c r="K460" s="2"/>
      <c r="L460" s="2"/>
      <c r="M460" s="40">
        <f t="shared" si="20"/>
        <v>24696000</v>
      </c>
      <c r="N460" s="1">
        <v>1083035432</v>
      </c>
      <c r="O460" s="1" t="s">
        <v>3643</v>
      </c>
      <c r="P460" s="1" t="s">
        <v>3644</v>
      </c>
      <c r="Q460" s="3">
        <v>44964</v>
      </c>
      <c r="R460" s="3">
        <v>44964</v>
      </c>
      <c r="S460" s="3">
        <v>45275</v>
      </c>
      <c r="T460" s="35"/>
      <c r="U460" s="3"/>
      <c r="V460" s="3"/>
      <c r="W460" s="50"/>
      <c r="X460" s="9">
        <v>11760000</v>
      </c>
      <c r="Y460" s="9">
        <v>12936000</v>
      </c>
      <c r="Z460" s="34">
        <f t="shared" si="19"/>
        <v>0.47619047619047616</v>
      </c>
      <c r="AA460" s="1">
        <v>12545859</v>
      </c>
      <c r="AB460" s="1" t="s">
        <v>2632</v>
      </c>
      <c r="AC460" s="1"/>
      <c r="AD460" s="1"/>
      <c r="AE460" s="3"/>
      <c r="AF460" s="194" t="s">
        <v>3645</v>
      </c>
      <c r="AG460" s="15" t="s">
        <v>192</v>
      </c>
      <c r="AH460" s="15" t="s">
        <v>192</v>
      </c>
    </row>
    <row r="461" spans="1:34" s="4" customFormat="1" x14ac:dyDescent="0.25">
      <c r="A461" s="16">
        <v>891780431</v>
      </c>
      <c r="B461" s="16" t="s">
        <v>54</v>
      </c>
      <c r="C461" s="14" t="s">
        <v>2627</v>
      </c>
      <c r="D461" s="16" t="s">
        <v>60</v>
      </c>
      <c r="E461" s="1" t="s">
        <v>3646</v>
      </c>
      <c r="F461" s="16" t="s">
        <v>61</v>
      </c>
      <c r="G461" s="1" t="s">
        <v>69</v>
      </c>
      <c r="H461" s="1" t="s">
        <v>2629</v>
      </c>
      <c r="I461" s="9">
        <v>53660001</v>
      </c>
      <c r="J461" s="94"/>
      <c r="K461" s="2"/>
      <c r="L461" s="2"/>
      <c r="M461" s="40">
        <f t="shared" si="20"/>
        <v>53660001</v>
      </c>
      <c r="N461" s="1">
        <v>1082998090</v>
      </c>
      <c r="O461" s="1" t="s">
        <v>3647</v>
      </c>
      <c r="P461" s="1" t="s">
        <v>3648</v>
      </c>
      <c r="Q461" s="3">
        <v>44964</v>
      </c>
      <c r="R461" s="3">
        <v>44964</v>
      </c>
      <c r="S461" s="3">
        <v>45275</v>
      </c>
      <c r="T461" s="35"/>
      <c r="U461" s="3"/>
      <c r="V461" s="3"/>
      <c r="W461" s="50"/>
      <c r="X461" s="9">
        <v>25552380</v>
      </c>
      <c r="Y461" s="9">
        <v>28107621</v>
      </c>
      <c r="Z461" s="34">
        <f t="shared" si="19"/>
        <v>0.47619044956782614</v>
      </c>
      <c r="AA461" s="1">
        <v>12545859</v>
      </c>
      <c r="AB461" s="1" t="s">
        <v>2632</v>
      </c>
      <c r="AC461" s="1"/>
      <c r="AD461" s="1"/>
      <c r="AE461" s="3"/>
      <c r="AF461" s="194" t="s">
        <v>3649</v>
      </c>
      <c r="AG461" s="15" t="s">
        <v>192</v>
      </c>
      <c r="AH461" s="15" t="s">
        <v>192</v>
      </c>
    </row>
    <row r="462" spans="1:34" s="4" customFormat="1" x14ac:dyDescent="0.25">
      <c r="A462" s="16">
        <v>891780432</v>
      </c>
      <c r="B462" s="16" t="s">
        <v>54</v>
      </c>
      <c r="C462" s="14" t="s">
        <v>2627</v>
      </c>
      <c r="D462" s="16" t="s">
        <v>60</v>
      </c>
      <c r="E462" s="1" t="s">
        <v>3650</v>
      </c>
      <c r="F462" s="16" t="s">
        <v>61</v>
      </c>
      <c r="G462" s="1" t="s">
        <v>69</v>
      </c>
      <c r="H462" s="1" t="s">
        <v>2629</v>
      </c>
      <c r="I462" s="9">
        <v>32375703</v>
      </c>
      <c r="J462" s="94"/>
      <c r="K462" s="2"/>
      <c r="L462" s="2"/>
      <c r="M462" s="40">
        <f t="shared" si="20"/>
        <v>32375703</v>
      </c>
      <c r="N462" s="1">
        <v>1083030113</v>
      </c>
      <c r="O462" s="1" t="s">
        <v>3651</v>
      </c>
      <c r="P462" s="1" t="s">
        <v>3652</v>
      </c>
      <c r="Q462" s="3">
        <v>44964</v>
      </c>
      <c r="R462" s="3">
        <v>44964</v>
      </c>
      <c r="S462" s="3">
        <v>45275</v>
      </c>
      <c r="T462" s="35"/>
      <c r="U462" s="3"/>
      <c r="V462" s="3"/>
      <c r="W462" s="50"/>
      <c r="X462" s="9">
        <v>15417000</v>
      </c>
      <c r="Y462" s="9">
        <v>16958703</v>
      </c>
      <c r="Z462" s="34">
        <f t="shared" si="19"/>
        <v>0.47619043206567591</v>
      </c>
      <c r="AA462" s="1">
        <v>12545859</v>
      </c>
      <c r="AB462" s="1" t="s">
        <v>2632</v>
      </c>
      <c r="AC462" s="1"/>
      <c r="AD462" s="1"/>
      <c r="AE462" s="3"/>
      <c r="AF462" s="194" t="s">
        <v>3653</v>
      </c>
      <c r="AG462" s="15" t="s">
        <v>192</v>
      </c>
      <c r="AH462" s="15" t="s">
        <v>192</v>
      </c>
    </row>
    <row r="463" spans="1:34" s="4" customFormat="1" x14ac:dyDescent="0.25">
      <c r="A463" s="16">
        <v>891780433</v>
      </c>
      <c r="B463" s="16" t="s">
        <v>54</v>
      </c>
      <c r="C463" s="14" t="s">
        <v>2627</v>
      </c>
      <c r="D463" s="16" t="s">
        <v>60</v>
      </c>
      <c r="E463" s="1" t="s">
        <v>3654</v>
      </c>
      <c r="F463" s="16" t="s">
        <v>61</v>
      </c>
      <c r="G463" s="1" t="s">
        <v>69</v>
      </c>
      <c r="H463" s="1" t="s">
        <v>2629</v>
      </c>
      <c r="I463" s="9">
        <v>24696000</v>
      </c>
      <c r="J463" s="94"/>
      <c r="K463" s="2"/>
      <c r="L463" s="2"/>
      <c r="M463" s="40">
        <f t="shared" si="20"/>
        <v>24696000</v>
      </c>
      <c r="N463" s="1">
        <v>1052996816</v>
      </c>
      <c r="O463" s="1" t="s">
        <v>3655</v>
      </c>
      <c r="P463" s="1" t="s">
        <v>3656</v>
      </c>
      <c r="Q463" s="3">
        <v>44964</v>
      </c>
      <c r="R463" s="3">
        <v>44964</v>
      </c>
      <c r="S463" s="3">
        <v>45275</v>
      </c>
      <c r="T463" s="35"/>
      <c r="U463" s="3"/>
      <c r="V463" s="3"/>
      <c r="W463" s="50"/>
      <c r="X463" s="9">
        <v>11760000</v>
      </c>
      <c r="Y463" s="9">
        <v>12936000</v>
      </c>
      <c r="Z463" s="34">
        <f t="shared" si="19"/>
        <v>0.47619047619047616</v>
      </c>
      <c r="AA463" s="1">
        <v>12545859</v>
      </c>
      <c r="AB463" s="1" t="s">
        <v>2632</v>
      </c>
      <c r="AC463" s="1"/>
      <c r="AD463" s="1"/>
      <c r="AE463" s="3"/>
      <c r="AF463" s="194" t="s">
        <v>3657</v>
      </c>
      <c r="AG463" s="15" t="s">
        <v>192</v>
      </c>
      <c r="AH463" s="15" t="s">
        <v>192</v>
      </c>
    </row>
    <row r="464" spans="1:34" s="4" customFormat="1" x14ac:dyDescent="0.25">
      <c r="A464" s="16">
        <v>891780434</v>
      </c>
      <c r="B464" s="16" t="s">
        <v>54</v>
      </c>
      <c r="C464" s="14" t="s">
        <v>2627</v>
      </c>
      <c r="D464" s="16" t="s">
        <v>60</v>
      </c>
      <c r="E464" s="1" t="s">
        <v>3658</v>
      </c>
      <c r="F464" s="16" t="s">
        <v>61</v>
      </c>
      <c r="G464" s="1" t="s">
        <v>69</v>
      </c>
      <c r="H464" s="1" t="s">
        <v>2629</v>
      </c>
      <c r="I464" s="9">
        <v>48451200</v>
      </c>
      <c r="J464" s="94"/>
      <c r="K464" s="2"/>
      <c r="L464" s="2"/>
      <c r="M464" s="40">
        <f t="shared" si="20"/>
        <v>48451200</v>
      </c>
      <c r="N464" s="1">
        <v>85474379</v>
      </c>
      <c r="O464" s="1" t="s">
        <v>3659</v>
      </c>
      <c r="P464" s="1" t="s">
        <v>3660</v>
      </c>
      <c r="Q464" s="3">
        <v>44964</v>
      </c>
      <c r="R464" s="3">
        <v>44964</v>
      </c>
      <c r="S464" s="3">
        <v>45275</v>
      </c>
      <c r="T464" s="35"/>
      <c r="U464" s="3"/>
      <c r="V464" s="3"/>
      <c r="W464" s="50"/>
      <c r="X464" s="9">
        <v>23072000</v>
      </c>
      <c r="Y464" s="9">
        <v>25379200</v>
      </c>
      <c r="Z464" s="34">
        <f t="shared" si="19"/>
        <v>0.47619047619047616</v>
      </c>
      <c r="AA464" s="1">
        <v>12545859</v>
      </c>
      <c r="AB464" s="1" t="s">
        <v>2632</v>
      </c>
      <c r="AC464" s="1"/>
      <c r="AD464" s="1"/>
      <c r="AE464" s="3"/>
      <c r="AF464" s="194" t="s">
        <v>3661</v>
      </c>
      <c r="AG464" s="15" t="s">
        <v>192</v>
      </c>
      <c r="AH464" s="15" t="s">
        <v>192</v>
      </c>
    </row>
    <row r="465" spans="1:34" s="4" customFormat="1" x14ac:dyDescent="0.25">
      <c r="A465" s="16">
        <v>891780435</v>
      </c>
      <c r="B465" s="16" t="s">
        <v>54</v>
      </c>
      <c r="C465" s="14" t="s">
        <v>2627</v>
      </c>
      <c r="D465" s="16" t="s">
        <v>60</v>
      </c>
      <c r="E465" s="1" t="s">
        <v>3662</v>
      </c>
      <c r="F465" s="16" t="s">
        <v>61</v>
      </c>
      <c r="G465" s="1" t="s">
        <v>69</v>
      </c>
      <c r="H465" s="1" t="s">
        <v>2629</v>
      </c>
      <c r="I465" s="9">
        <v>38644001</v>
      </c>
      <c r="J465" s="94"/>
      <c r="K465" s="2"/>
      <c r="L465" s="2"/>
      <c r="M465" s="40">
        <f t="shared" si="20"/>
        <v>38644001</v>
      </c>
      <c r="N465" s="1">
        <v>1082998304</v>
      </c>
      <c r="O465" s="1" t="s">
        <v>3663</v>
      </c>
      <c r="P465" s="1" t="s">
        <v>3664</v>
      </c>
      <c r="Q465" s="3">
        <v>44964</v>
      </c>
      <c r="R465" s="3">
        <v>44964</v>
      </c>
      <c r="S465" s="3">
        <v>45275</v>
      </c>
      <c r="T465" s="35"/>
      <c r="U465" s="3"/>
      <c r="V465" s="3"/>
      <c r="W465" s="50"/>
      <c r="X465" s="9">
        <v>18401905</v>
      </c>
      <c r="Y465" s="9">
        <v>20242096</v>
      </c>
      <c r="Z465" s="34">
        <f t="shared" si="19"/>
        <v>0.4761904700292291</v>
      </c>
      <c r="AA465" s="1">
        <v>12545859</v>
      </c>
      <c r="AB465" s="1" t="s">
        <v>2632</v>
      </c>
      <c r="AC465" s="1"/>
      <c r="AD465" s="1"/>
      <c r="AE465" s="3"/>
      <c r="AF465" s="194" t="s">
        <v>3665</v>
      </c>
      <c r="AG465" s="15" t="s">
        <v>192</v>
      </c>
      <c r="AH465" s="15" t="s">
        <v>192</v>
      </c>
    </row>
    <row r="466" spans="1:34" s="4" customFormat="1" x14ac:dyDescent="0.25">
      <c r="A466" s="16">
        <v>891780436</v>
      </c>
      <c r="B466" s="16" t="s">
        <v>54</v>
      </c>
      <c r="C466" s="14" t="s">
        <v>2627</v>
      </c>
      <c r="D466" s="16" t="s">
        <v>60</v>
      </c>
      <c r="E466" s="1" t="s">
        <v>3666</v>
      </c>
      <c r="F466" s="16" t="s">
        <v>61</v>
      </c>
      <c r="G466" s="1" t="s">
        <v>69</v>
      </c>
      <c r="H466" s="1" t="s">
        <v>2629</v>
      </c>
      <c r="I466" s="9">
        <v>41160000</v>
      </c>
      <c r="J466" s="94">
        <v>1</v>
      </c>
      <c r="K466" s="2">
        <v>1500000</v>
      </c>
      <c r="L466" s="2"/>
      <c r="M466" s="40">
        <f t="shared" si="20"/>
        <v>42660000</v>
      </c>
      <c r="N466" s="1">
        <v>1082837576</v>
      </c>
      <c r="O466" s="1" t="s">
        <v>3667</v>
      </c>
      <c r="P466" s="1" t="s">
        <v>3668</v>
      </c>
      <c r="Q466" s="3">
        <v>44964</v>
      </c>
      <c r="R466" s="3">
        <v>44964</v>
      </c>
      <c r="S466" s="3">
        <v>45275</v>
      </c>
      <c r="T466" s="35"/>
      <c r="U466" s="3"/>
      <c r="V466" s="3"/>
      <c r="W466" s="50"/>
      <c r="X466" s="9">
        <v>19975000</v>
      </c>
      <c r="Y466" s="9">
        <v>22685000</v>
      </c>
      <c r="Z466" s="34">
        <f t="shared" si="19"/>
        <v>0.46823722456633848</v>
      </c>
      <c r="AA466" s="1">
        <v>12545859</v>
      </c>
      <c r="AB466" s="1" t="s">
        <v>2632</v>
      </c>
      <c r="AC466" s="1"/>
      <c r="AD466" s="1"/>
      <c r="AE466" s="3"/>
      <c r="AF466" s="194" t="s">
        <v>3669</v>
      </c>
      <c r="AG466" s="15" t="s">
        <v>192</v>
      </c>
      <c r="AH466" s="15" t="s">
        <v>192</v>
      </c>
    </row>
    <row r="467" spans="1:34" s="4" customFormat="1" x14ac:dyDescent="0.25">
      <c r="A467" s="16">
        <v>891780437</v>
      </c>
      <c r="B467" s="16" t="s">
        <v>54</v>
      </c>
      <c r="C467" s="14" t="s">
        <v>2627</v>
      </c>
      <c r="D467" s="16" t="s">
        <v>60</v>
      </c>
      <c r="E467" s="1" t="s">
        <v>3670</v>
      </c>
      <c r="F467" s="16" t="s">
        <v>61</v>
      </c>
      <c r="G467" s="1" t="s">
        <v>69</v>
      </c>
      <c r="H467" s="1" t="s">
        <v>2629</v>
      </c>
      <c r="I467" s="9">
        <v>34965749</v>
      </c>
      <c r="J467" s="94"/>
      <c r="K467" s="2"/>
      <c r="L467" s="2"/>
      <c r="M467" s="40">
        <f t="shared" si="20"/>
        <v>34965749</v>
      </c>
      <c r="N467" s="1">
        <v>1082927274</v>
      </c>
      <c r="O467" s="1" t="s">
        <v>3671</v>
      </c>
      <c r="P467" s="1" t="s">
        <v>3672</v>
      </c>
      <c r="Q467" s="3">
        <v>44964</v>
      </c>
      <c r="R467" s="3">
        <v>44964</v>
      </c>
      <c r="S467" s="3">
        <v>45275</v>
      </c>
      <c r="T467" s="35"/>
      <c r="U467" s="3"/>
      <c r="V467" s="3"/>
      <c r="W467" s="50"/>
      <c r="X467" s="9">
        <v>16650355</v>
      </c>
      <c r="Y467" s="9">
        <v>18315394</v>
      </c>
      <c r="Z467" s="34">
        <f t="shared" si="19"/>
        <v>0.47619042852478294</v>
      </c>
      <c r="AA467" s="1">
        <v>12545859</v>
      </c>
      <c r="AB467" s="1" t="s">
        <v>2632</v>
      </c>
      <c r="AC467" s="1"/>
      <c r="AD467" s="1"/>
      <c r="AE467" s="3"/>
      <c r="AF467" s="194" t="s">
        <v>3673</v>
      </c>
      <c r="AG467" s="15" t="s">
        <v>192</v>
      </c>
      <c r="AH467" s="15" t="s">
        <v>192</v>
      </c>
    </row>
    <row r="468" spans="1:34" s="4" customFormat="1" x14ac:dyDescent="0.25">
      <c r="A468" s="16">
        <v>891780438</v>
      </c>
      <c r="B468" s="16" t="s">
        <v>54</v>
      </c>
      <c r="C468" s="14" t="s">
        <v>2627</v>
      </c>
      <c r="D468" s="16" t="s">
        <v>60</v>
      </c>
      <c r="E468" s="1" t="s">
        <v>3674</v>
      </c>
      <c r="F468" s="16" t="s">
        <v>61</v>
      </c>
      <c r="G468" s="1" t="s">
        <v>69</v>
      </c>
      <c r="H468" s="1" t="s">
        <v>2629</v>
      </c>
      <c r="I468" s="9">
        <v>28224000</v>
      </c>
      <c r="J468" s="94"/>
      <c r="K468" s="2"/>
      <c r="L468" s="2"/>
      <c r="M468" s="40">
        <f t="shared" si="20"/>
        <v>28224000</v>
      </c>
      <c r="N468" s="1">
        <v>1081833102</v>
      </c>
      <c r="O468" s="1" t="s">
        <v>3675</v>
      </c>
      <c r="P468" s="1" t="s">
        <v>3676</v>
      </c>
      <c r="Q468" s="3">
        <v>44964</v>
      </c>
      <c r="R468" s="3">
        <v>44964</v>
      </c>
      <c r="S468" s="3">
        <v>45275</v>
      </c>
      <c r="T468" s="35"/>
      <c r="U468" s="3"/>
      <c r="V468" s="3"/>
      <c r="W468" s="50"/>
      <c r="X468" s="9">
        <v>13440000</v>
      </c>
      <c r="Y468" s="9">
        <v>14784000</v>
      </c>
      <c r="Z468" s="34">
        <f t="shared" si="19"/>
        <v>0.47619047619047616</v>
      </c>
      <c r="AA468" s="1">
        <v>12545859</v>
      </c>
      <c r="AB468" s="1" t="s">
        <v>2632</v>
      </c>
      <c r="AC468" s="1"/>
      <c r="AD468" s="1"/>
      <c r="AE468" s="3"/>
      <c r="AF468" s="194" t="s">
        <v>3677</v>
      </c>
      <c r="AG468" s="15" t="s">
        <v>192</v>
      </c>
      <c r="AH468" s="15" t="s">
        <v>192</v>
      </c>
    </row>
    <row r="469" spans="1:34" s="4" customFormat="1" x14ac:dyDescent="0.25">
      <c r="A469" s="16">
        <v>891780439</v>
      </c>
      <c r="B469" s="16" t="s">
        <v>54</v>
      </c>
      <c r="C469" s="14" t="s">
        <v>2627</v>
      </c>
      <c r="D469" s="16" t="s">
        <v>60</v>
      </c>
      <c r="E469" s="1" t="s">
        <v>3678</v>
      </c>
      <c r="F469" s="16" t="s">
        <v>61</v>
      </c>
      <c r="G469" s="1" t="s">
        <v>69</v>
      </c>
      <c r="H469" s="1" t="s">
        <v>2629</v>
      </c>
      <c r="I469" s="9">
        <v>22979040</v>
      </c>
      <c r="J469" s="94"/>
      <c r="K469" s="2"/>
      <c r="L469" s="2"/>
      <c r="M469" s="40">
        <f t="shared" si="20"/>
        <v>22979040</v>
      </c>
      <c r="N469" s="1">
        <v>1081811668</v>
      </c>
      <c r="O469" s="1" t="s">
        <v>3679</v>
      </c>
      <c r="P469" s="1" t="s">
        <v>3680</v>
      </c>
      <c r="Q469" s="3">
        <v>44964</v>
      </c>
      <c r="R469" s="3">
        <v>44964</v>
      </c>
      <c r="S469" s="3">
        <v>45275</v>
      </c>
      <c r="T469" s="35"/>
      <c r="U469" s="3"/>
      <c r="V469" s="3"/>
      <c r="W469" s="50"/>
      <c r="X469" s="9">
        <v>10942400</v>
      </c>
      <c r="Y469" s="9">
        <v>12036640</v>
      </c>
      <c r="Z469" s="34">
        <f t="shared" si="19"/>
        <v>0.47619047619047616</v>
      </c>
      <c r="AA469" s="1">
        <v>12545859</v>
      </c>
      <c r="AB469" s="1" t="s">
        <v>2632</v>
      </c>
      <c r="AC469" s="1"/>
      <c r="AD469" s="1"/>
      <c r="AE469" s="3"/>
      <c r="AF469" s="194" t="s">
        <v>3681</v>
      </c>
      <c r="AG469" s="15" t="s">
        <v>192</v>
      </c>
      <c r="AH469" s="15" t="s">
        <v>192</v>
      </c>
    </row>
    <row r="470" spans="1:34" s="4" customFormat="1" x14ac:dyDescent="0.25">
      <c r="A470" s="16">
        <v>891780440</v>
      </c>
      <c r="B470" s="16" t="s">
        <v>54</v>
      </c>
      <c r="C470" s="14" t="s">
        <v>2627</v>
      </c>
      <c r="D470" s="16" t="s">
        <v>60</v>
      </c>
      <c r="E470" s="1" t="s">
        <v>3682</v>
      </c>
      <c r="F470" s="16" t="s">
        <v>61</v>
      </c>
      <c r="G470" s="1" t="s">
        <v>69</v>
      </c>
      <c r="H470" s="1" t="s">
        <v>2629</v>
      </c>
      <c r="I470" s="9">
        <v>22979040</v>
      </c>
      <c r="J470" s="94"/>
      <c r="K470" s="2"/>
      <c r="L470" s="2"/>
      <c r="M470" s="40">
        <f t="shared" si="20"/>
        <v>22979040</v>
      </c>
      <c r="N470" s="1">
        <v>1082974774</v>
      </c>
      <c r="O470" s="1" t="s">
        <v>3683</v>
      </c>
      <c r="P470" s="1" t="s">
        <v>3684</v>
      </c>
      <c r="Q470" s="3">
        <v>44964</v>
      </c>
      <c r="R470" s="3">
        <v>44964</v>
      </c>
      <c r="S470" s="3">
        <v>45275</v>
      </c>
      <c r="T470" s="35"/>
      <c r="U470" s="3"/>
      <c r="V470" s="3"/>
      <c r="W470" s="50"/>
      <c r="X470" s="9">
        <v>10942400</v>
      </c>
      <c r="Y470" s="9">
        <v>12036640</v>
      </c>
      <c r="Z470" s="34">
        <f t="shared" si="19"/>
        <v>0.47619047619047616</v>
      </c>
      <c r="AA470" s="1">
        <v>12545859</v>
      </c>
      <c r="AB470" s="1" t="s">
        <v>2632</v>
      </c>
      <c r="AC470" s="1"/>
      <c r="AD470" s="1"/>
      <c r="AE470" s="3"/>
      <c r="AF470" s="194" t="s">
        <v>3685</v>
      </c>
      <c r="AG470" s="15" t="s">
        <v>192</v>
      </c>
      <c r="AH470" s="15" t="s">
        <v>192</v>
      </c>
    </row>
    <row r="471" spans="1:34" s="4" customFormat="1" x14ac:dyDescent="0.25">
      <c r="A471" s="16">
        <v>891780441</v>
      </c>
      <c r="B471" s="16" t="s">
        <v>54</v>
      </c>
      <c r="C471" s="14" t="s">
        <v>2627</v>
      </c>
      <c r="D471" s="16" t="s">
        <v>60</v>
      </c>
      <c r="E471" s="1" t="s">
        <v>3686</v>
      </c>
      <c r="F471" s="16" t="s">
        <v>61</v>
      </c>
      <c r="G471" s="1" t="s">
        <v>69</v>
      </c>
      <c r="H471" s="1" t="s">
        <v>2629</v>
      </c>
      <c r="I471" s="9">
        <v>22979040</v>
      </c>
      <c r="J471" s="94"/>
      <c r="K471" s="2"/>
      <c r="L471" s="2"/>
      <c r="M471" s="40">
        <f t="shared" si="20"/>
        <v>22979040</v>
      </c>
      <c r="N471" s="1">
        <v>1052999688</v>
      </c>
      <c r="O471" s="1" t="s">
        <v>3687</v>
      </c>
      <c r="P471" s="1" t="s">
        <v>3688</v>
      </c>
      <c r="Q471" s="3">
        <v>44964</v>
      </c>
      <c r="R471" s="3">
        <v>44964</v>
      </c>
      <c r="S471" s="3">
        <v>45275</v>
      </c>
      <c r="T471" s="35"/>
      <c r="U471" s="3"/>
      <c r="V471" s="3"/>
      <c r="W471" s="50"/>
      <c r="X471" s="9">
        <v>10942400</v>
      </c>
      <c r="Y471" s="9">
        <v>12036640</v>
      </c>
      <c r="Z471" s="34">
        <f t="shared" si="19"/>
        <v>0.47619047619047616</v>
      </c>
      <c r="AA471" s="1">
        <v>12545859</v>
      </c>
      <c r="AB471" s="1" t="s">
        <v>2632</v>
      </c>
      <c r="AC471" s="1"/>
      <c r="AD471" s="1"/>
      <c r="AE471" s="3"/>
      <c r="AF471" s="194" t="s">
        <v>3689</v>
      </c>
      <c r="AG471" s="15" t="s">
        <v>192</v>
      </c>
      <c r="AH471" s="15" t="s">
        <v>192</v>
      </c>
    </row>
    <row r="472" spans="1:34" s="4" customFormat="1" x14ac:dyDescent="0.25">
      <c r="A472" s="16">
        <v>891780442</v>
      </c>
      <c r="B472" s="16" t="s">
        <v>54</v>
      </c>
      <c r="C472" s="14" t="s">
        <v>2627</v>
      </c>
      <c r="D472" s="16" t="s">
        <v>60</v>
      </c>
      <c r="E472" s="1" t="s">
        <v>3690</v>
      </c>
      <c r="F472" s="16" t="s">
        <v>61</v>
      </c>
      <c r="G472" s="1" t="s">
        <v>69</v>
      </c>
      <c r="H472" s="1" t="s">
        <v>2629</v>
      </c>
      <c r="I472" s="9">
        <v>32375700.000000004</v>
      </c>
      <c r="J472" s="94"/>
      <c r="K472" s="2"/>
      <c r="L472" s="2"/>
      <c r="M472" s="40">
        <f t="shared" si="20"/>
        <v>32375700.000000004</v>
      </c>
      <c r="N472" s="1">
        <v>6097847</v>
      </c>
      <c r="O472" s="1" t="s">
        <v>3691</v>
      </c>
      <c r="P472" s="1" t="s">
        <v>3692</v>
      </c>
      <c r="Q472" s="3">
        <v>44964</v>
      </c>
      <c r="R472" s="3">
        <v>44964</v>
      </c>
      <c r="S472" s="3">
        <v>45275</v>
      </c>
      <c r="T472" s="35"/>
      <c r="U472" s="3"/>
      <c r="V472" s="3"/>
      <c r="W472" s="50"/>
      <c r="X472" s="9">
        <v>15417000.000000004</v>
      </c>
      <c r="Y472" s="9">
        <v>16958700</v>
      </c>
      <c r="Z472" s="34">
        <f t="shared" si="19"/>
        <v>0.47619047619047628</v>
      </c>
      <c r="AA472" s="1">
        <v>12545859</v>
      </c>
      <c r="AB472" s="1" t="s">
        <v>2632</v>
      </c>
      <c r="AC472" s="1"/>
      <c r="AD472" s="1"/>
      <c r="AE472" s="3"/>
      <c r="AF472" s="194" t="s">
        <v>3693</v>
      </c>
      <c r="AG472" s="15" t="s">
        <v>192</v>
      </c>
      <c r="AH472" s="15" t="s">
        <v>192</v>
      </c>
    </row>
    <row r="473" spans="1:34" s="4" customFormat="1" x14ac:dyDescent="0.25">
      <c r="A473" s="16">
        <v>891780443</v>
      </c>
      <c r="B473" s="16" t="s">
        <v>54</v>
      </c>
      <c r="C473" s="14" t="s">
        <v>2627</v>
      </c>
      <c r="D473" s="16" t="s">
        <v>60</v>
      </c>
      <c r="E473" s="1" t="s">
        <v>3694</v>
      </c>
      <c r="F473" s="16" t="s">
        <v>61</v>
      </c>
      <c r="G473" s="1" t="s">
        <v>69</v>
      </c>
      <c r="H473" s="1" t="s">
        <v>2629</v>
      </c>
      <c r="I473" s="9">
        <v>32375697</v>
      </c>
      <c r="J473" s="94"/>
      <c r="K473" s="2"/>
      <c r="L473" s="2"/>
      <c r="M473" s="40">
        <f t="shared" si="20"/>
        <v>32375697</v>
      </c>
      <c r="N473" s="1">
        <v>1130670780</v>
      </c>
      <c r="O473" s="1" t="s">
        <v>3695</v>
      </c>
      <c r="P473" s="1" t="s">
        <v>3696</v>
      </c>
      <c r="Q473" s="3">
        <v>44964</v>
      </c>
      <c r="R473" s="3">
        <v>44964</v>
      </c>
      <c r="S473" s="3">
        <v>45275</v>
      </c>
      <c r="T473" s="35"/>
      <c r="U473" s="3"/>
      <c r="V473" s="3"/>
      <c r="W473" s="50"/>
      <c r="X473" s="9">
        <v>15417000</v>
      </c>
      <c r="Y473" s="9">
        <v>16958697</v>
      </c>
      <c r="Z473" s="34">
        <f t="shared" si="19"/>
        <v>0.47619052031528464</v>
      </c>
      <c r="AA473" s="1">
        <v>12545859</v>
      </c>
      <c r="AB473" s="1" t="s">
        <v>2632</v>
      </c>
      <c r="AC473" s="1"/>
      <c r="AD473" s="1"/>
      <c r="AE473" s="3"/>
      <c r="AF473" s="194" t="s">
        <v>3697</v>
      </c>
      <c r="AG473" s="15" t="s">
        <v>192</v>
      </c>
      <c r="AH473" s="15" t="s">
        <v>192</v>
      </c>
    </row>
    <row r="474" spans="1:34" s="4" customFormat="1" x14ac:dyDescent="0.25">
      <c r="A474" s="16">
        <v>891780444</v>
      </c>
      <c r="B474" s="16" t="s">
        <v>54</v>
      </c>
      <c r="C474" s="14" t="s">
        <v>2627</v>
      </c>
      <c r="D474" s="16" t="s">
        <v>60</v>
      </c>
      <c r="E474" s="1" t="s">
        <v>3698</v>
      </c>
      <c r="F474" s="16" t="s">
        <v>61</v>
      </c>
      <c r="G474" s="1" t="s">
        <v>69</v>
      </c>
      <c r="H474" s="1" t="s">
        <v>2629</v>
      </c>
      <c r="I474" s="9">
        <v>48451200</v>
      </c>
      <c r="J474" s="94"/>
      <c r="K474" s="2"/>
      <c r="L474" s="2"/>
      <c r="M474" s="40">
        <f t="shared" si="20"/>
        <v>48451200</v>
      </c>
      <c r="N474" s="1">
        <v>1082986047</v>
      </c>
      <c r="O474" s="1" t="s">
        <v>3699</v>
      </c>
      <c r="P474" s="1" t="s">
        <v>3700</v>
      </c>
      <c r="Q474" s="3">
        <v>44964</v>
      </c>
      <c r="R474" s="3">
        <v>44964</v>
      </c>
      <c r="S474" s="3">
        <v>45275</v>
      </c>
      <c r="T474" s="35"/>
      <c r="U474" s="3"/>
      <c r="V474" s="3"/>
      <c r="W474" s="50"/>
      <c r="X474" s="9">
        <v>23072000</v>
      </c>
      <c r="Y474" s="9">
        <v>25379200</v>
      </c>
      <c r="Z474" s="34">
        <f t="shared" si="19"/>
        <v>0.47619047619047616</v>
      </c>
      <c r="AA474" s="1">
        <v>12545859</v>
      </c>
      <c r="AB474" s="1" t="s">
        <v>2632</v>
      </c>
      <c r="AC474" s="1"/>
      <c r="AD474" s="1"/>
      <c r="AE474" s="3"/>
      <c r="AF474" s="194" t="s">
        <v>3701</v>
      </c>
      <c r="AG474" s="15" t="s">
        <v>192</v>
      </c>
      <c r="AH474" s="15" t="s">
        <v>192</v>
      </c>
    </row>
    <row r="475" spans="1:34" s="4" customFormat="1" x14ac:dyDescent="0.25">
      <c r="A475" s="16">
        <v>891780445</v>
      </c>
      <c r="B475" s="16" t="s">
        <v>54</v>
      </c>
      <c r="C475" s="14" t="s">
        <v>2627</v>
      </c>
      <c r="D475" s="16" t="s">
        <v>60</v>
      </c>
      <c r="E475" s="1" t="s">
        <v>3702</v>
      </c>
      <c r="F475" s="16" t="s">
        <v>61</v>
      </c>
      <c r="G475" s="1" t="s">
        <v>69</v>
      </c>
      <c r="H475" s="1" t="s">
        <v>2629</v>
      </c>
      <c r="I475" s="9">
        <v>29400000.000000004</v>
      </c>
      <c r="J475" s="94"/>
      <c r="K475" s="2"/>
      <c r="L475" s="2"/>
      <c r="M475" s="40">
        <f t="shared" si="20"/>
        <v>29400000.000000004</v>
      </c>
      <c r="N475" s="1">
        <v>1020809722</v>
      </c>
      <c r="O475" s="1" t="s">
        <v>3703</v>
      </c>
      <c r="P475" s="1" t="s">
        <v>3704</v>
      </c>
      <c r="Q475" s="3">
        <v>44964</v>
      </c>
      <c r="R475" s="3">
        <v>44964</v>
      </c>
      <c r="S475" s="3">
        <v>45275</v>
      </c>
      <c r="T475" s="35"/>
      <c r="U475" s="3"/>
      <c r="V475" s="3"/>
      <c r="W475" s="50"/>
      <c r="X475" s="9">
        <v>14000000.000000004</v>
      </c>
      <c r="Y475" s="9">
        <v>15400000</v>
      </c>
      <c r="Z475" s="34">
        <f t="shared" si="19"/>
        <v>0.47619047619047628</v>
      </c>
      <c r="AA475" s="1">
        <v>12545859</v>
      </c>
      <c r="AB475" s="1" t="s">
        <v>2632</v>
      </c>
      <c r="AC475" s="1"/>
      <c r="AD475" s="1"/>
      <c r="AE475" s="3"/>
      <c r="AF475" s="194" t="s">
        <v>3705</v>
      </c>
      <c r="AG475" s="15" t="s">
        <v>192</v>
      </c>
      <c r="AH475" s="15" t="s">
        <v>192</v>
      </c>
    </row>
    <row r="476" spans="1:34" s="4" customFormat="1" x14ac:dyDescent="0.25">
      <c r="A476" s="16">
        <v>891780446</v>
      </c>
      <c r="B476" s="16" t="s">
        <v>54</v>
      </c>
      <c r="C476" s="14" t="s">
        <v>2627</v>
      </c>
      <c r="D476" s="16" t="s">
        <v>60</v>
      </c>
      <c r="E476" s="1" t="s">
        <v>3706</v>
      </c>
      <c r="F476" s="16" t="s">
        <v>61</v>
      </c>
      <c r="G476" s="1" t="s">
        <v>69</v>
      </c>
      <c r="H476" s="1" t="s">
        <v>2629</v>
      </c>
      <c r="I476" s="9">
        <v>45997753</v>
      </c>
      <c r="J476" s="94"/>
      <c r="K476" s="2"/>
      <c r="L476" s="2"/>
      <c r="M476" s="40">
        <f t="shared" si="20"/>
        <v>45997753</v>
      </c>
      <c r="N476" s="1">
        <v>36560284</v>
      </c>
      <c r="O476" s="1" t="s">
        <v>3707</v>
      </c>
      <c r="P476" s="1" t="s">
        <v>3708</v>
      </c>
      <c r="Q476" s="3">
        <v>44964</v>
      </c>
      <c r="R476" s="3">
        <v>44964</v>
      </c>
      <c r="S476" s="3">
        <v>45275</v>
      </c>
      <c r="T476" s="35"/>
      <c r="U476" s="3"/>
      <c r="V476" s="3"/>
      <c r="W476" s="50"/>
      <c r="X476" s="9">
        <v>21903690</v>
      </c>
      <c r="Y476" s="9">
        <v>24094063</v>
      </c>
      <c r="Z476" s="34">
        <f t="shared" si="19"/>
        <v>0.47619043478058593</v>
      </c>
      <c r="AA476" s="1">
        <v>12545859</v>
      </c>
      <c r="AB476" s="1" t="s">
        <v>2632</v>
      </c>
      <c r="AC476" s="1"/>
      <c r="AD476" s="1"/>
      <c r="AE476" s="3"/>
      <c r="AF476" s="194" t="s">
        <v>3709</v>
      </c>
      <c r="AG476" s="15" t="s">
        <v>192</v>
      </c>
      <c r="AH476" s="15" t="s">
        <v>192</v>
      </c>
    </row>
    <row r="477" spans="1:34" s="4" customFormat="1" x14ac:dyDescent="0.25">
      <c r="A477" s="16">
        <v>891780447</v>
      </c>
      <c r="B477" s="16" t="s">
        <v>54</v>
      </c>
      <c r="C477" s="14" t="s">
        <v>2627</v>
      </c>
      <c r="D477" s="16" t="s">
        <v>60</v>
      </c>
      <c r="E477" s="1" t="s">
        <v>3710</v>
      </c>
      <c r="F477" s="16" t="s">
        <v>61</v>
      </c>
      <c r="G477" s="1" t="s">
        <v>69</v>
      </c>
      <c r="H477" s="1" t="s">
        <v>2629</v>
      </c>
      <c r="I477" s="9">
        <v>21029244</v>
      </c>
      <c r="J477" s="94"/>
      <c r="K477" s="2"/>
      <c r="L477" s="2"/>
      <c r="M477" s="40">
        <f t="shared" si="20"/>
        <v>21029244</v>
      </c>
      <c r="N477" s="1">
        <v>30688551</v>
      </c>
      <c r="O477" s="1" t="s">
        <v>3711</v>
      </c>
      <c r="P477" s="1" t="s">
        <v>2651</v>
      </c>
      <c r="Q477" s="3">
        <v>44964</v>
      </c>
      <c r="R477" s="3">
        <v>44964</v>
      </c>
      <c r="S477" s="3">
        <v>45275</v>
      </c>
      <c r="T477" s="35"/>
      <c r="U477" s="3"/>
      <c r="V477" s="3"/>
      <c r="W477" s="50"/>
      <c r="X477" s="9">
        <v>10013925</v>
      </c>
      <c r="Y477" s="9">
        <v>11015319</v>
      </c>
      <c r="Z477" s="34">
        <f t="shared" si="19"/>
        <v>0.47619044222417123</v>
      </c>
      <c r="AA477" s="1">
        <v>12545859</v>
      </c>
      <c r="AB477" s="1" t="s">
        <v>2632</v>
      </c>
      <c r="AC477" s="1"/>
      <c r="AD477" s="1"/>
      <c r="AE477" s="3"/>
      <c r="AF477" s="194" t="s">
        <v>3712</v>
      </c>
      <c r="AG477" s="15" t="s">
        <v>192</v>
      </c>
      <c r="AH477" s="15" t="s">
        <v>192</v>
      </c>
    </row>
    <row r="478" spans="1:34" s="4" customFormat="1" x14ac:dyDescent="0.25">
      <c r="A478" s="16">
        <v>891780448</v>
      </c>
      <c r="B478" s="16" t="s">
        <v>54</v>
      </c>
      <c r="C478" s="14" t="s">
        <v>2627</v>
      </c>
      <c r="D478" s="16" t="s">
        <v>60</v>
      </c>
      <c r="E478" s="1" t="s">
        <v>3713</v>
      </c>
      <c r="F478" s="16" t="s">
        <v>61</v>
      </c>
      <c r="G478" s="1" t="s">
        <v>69</v>
      </c>
      <c r="H478" s="1" t="s">
        <v>2629</v>
      </c>
      <c r="I478" s="9">
        <v>68469639</v>
      </c>
      <c r="J478" s="94">
        <v>1</v>
      </c>
      <c r="K478" s="2"/>
      <c r="L478" s="2">
        <v>15850002</v>
      </c>
      <c r="M478" s="40">
        <f t="shared" si="20"/>
        <v>52619637</v>
      </c>
      <c r="N478" s="1">
        <v>57456729</v>
      </c>
      <c r="O478" s="1" t="s">
        <v>3714</v>
      </c>
      <c r="P478" s="1" t="s">
        <v>3715</v>
      </c>
      <c r="Q478" s="3">
        <v>44964</v>
      </c>
      <c r="R478" s="3">
        <v>44964</v>
      </c>
      <c r="S478" s="3">
        <v>45275</v>
      </c>
      <c r="T478" s="35" t="s">
        <v>192</v>
      </c>
      <c r="U478" s="3">
        <v>45078</v>
      </c>
      <c r="V478" s="3">
        <v>45108</v>
      </c>
      <c r="W478" s="50"/>
      <c r="X478" s="9">
        <v>20045576</v>
      </c>
      <c r="Y478" s="9">
        <v>32574061</v>
      </c>
      <c r="Z478" s="34">
        <f t="shared" si="19"/>
        <v>0.38095238095238093</v>
      </c>
      <c r="AA478" s="1">
        <v>12545859</v>
      </c>
      <c r="AB478" s="1" t="s">
        <v>2632</v>
      </c>
      <c r="AC478" s="1"/>
      <c r="AD478" s="1"/>
      <c r="AE478" s="3"/>
      <c r="AF478" s="194" t="s">
        <v>3716</v>
      </c>
      <c r="AG478" s="15" t="s">
        <v>192</v>
      </c>
      <c r="AH478" s="15" t="s">
        <v>192</v>
      </c>
    </row>
    <row r="479" spans="1:34" s="4" customFormat="1" x14ac:dyDescent="0.25">
      <c r="A479" s="16">
        <v>891780449</v>
      </c>
      <c r="B479" s="16" t="s">
        <v>54</v>
      </c>
      <c r="C479" s="14" t="s">
        <v>2627</v>
      </c>
      <c r="D479" s="16" t="s">
        <v>60</v>
      </c>
      <c r="E479" s="1" t="s">
        <v>3717</v>
      </c>
      <c r="F479" s="16" t="s">
        <v>61</v>
      </c>
      <c r="G479" s="1" t="s">
        <v>69</v>
      </c>
      <c r="H479" s="1" t="s">
        <v>2629</v>
      </c>
      <c r="I479" s="9">
        <v>31298135</v>
      </c>
      <c r="J479" s="94"/>
      <c r="K479" s="2"/>
      <c r="L479" s="2"/>
      <c r="M479" s="40">
        <f t="shared" si="20"/>
        <v>31298135</v>
      </c>
      <c r="N479" s="1">
        <v>36724996</v>
      </c>
      <c r="O479" s="1" t="s">
        <v>3718</v>
      </c>
      <c r="P479" s="1" t="s">
        <v>3719</v>
      </c>
      <c r="Q479" s="3">
        <v>44964</v>
      </c>
      <c r="R479" s="3">
        <v>44964</v>
      </c>
      <c r="S479" s="3">
        <v>45275</v>
      </c>
      <c r="T479" s="35"/>
      <c r="U479" s="3"/>
      <c r="V479" s="3"/>
      <c r="W479" s="50"/>
      <c r="X479" s="9">
        <v>14903875</v>
      </c>
      <c r="Y479" s="9">
        <v>16394260</v>
      </c>
      <c r="Z479" s="34">
        <f t="shared" si="19"/>
        <v>0.47619051422712566</v>
      </c>
      <c r="AA479" s="1">
        <v>12545859</v>
      </c>
      <c r="AB479" s="1" t="s">
        <v>2632</v>
      </c>
      <c r="AC479" s="1"/>
      <c r="AD479" s="1"/>
      <c r="AE479" s="3"/>
      <c r="AF479" s="194" t="s">
        <v>3720</v>
      </c>
      <c r="AG479" s="15" t="s">
        <v>192</v>
      </c>
      <c r="AH479" s="15" t="s">
        <v>192</v>
      </c>
    </row>
    <row r="480" spans="1:34" s="4" customFormat="1" x14ac:dyDescent="0.25">
      <c r="A480" s="16">
        <v>891780450</v>
      </c>
      <c r="B480" s="16" t="s">
        <v>54</v>
      </c>
      <c r="C480" s="14" t="s">
        <v>2627</v>
      </c>
      <c r="D480" s="16" t="s">
        <v>60</v>
      </c>
      <c r="E480" s="1" t="s">
        <v>3721</v>
      </c>
      <c r="F480" s="16" t="s">
        <v>61</v>
      </c>
      <c r="G480" s="1" t="s">
        <v>69</v>
      </c>
      <c r="H480" s="1" t="s">
        <v>2629</v>
      </c>
      <c r="I480" s="9">
        <v>19425415</v>
      </c>
      <c r="J480" s="94"/>
      <c r="K480" s="2"/>
      <c r="L480" s="2"/>
      <c r="M480" s="40">
        <f t="shared" si="20"/>
        <v>19425415</v>
      </c>
      <c r="N480" s="1">
        <v>12556872</v>
      </c>
      <c r="O480" s="1" t="s">
        <v>3722</v>
      </c>
      <c r="P480" s="1" t="s">
        <v>2651</v>
      </c>
      <c r="Q480" s="3">
        <v>44964</v>
      </c>
      <c r="R480" s="3">
        <v>44964</v>
      </c>
      <c r="S480" s="3">
        <v>45275</v>
      </c>
      <c r="T480" s="35"/>
      <c r="U480" s="3"/>
      <c r="V480" s="3"/>
      <c r="W480" s="50"/>
      <c r="X480" s="9">
        <v>9250200</v>
      </c>
      <c r="Y480" s="9">
        <v>10175215</v>
      </c>
      <c r="Z480" s="34">
        <f t="shared" si="19"/>
        <v>0.47619059875940872</v>
      </c>
      <c r="AA480" s="1">
        <v>12545859</v>
      </c>
      <c r="AB480" s="1" t="s">
        <v>2632</v>
      </c>
      <c r="AC480" s="1"/>
      <c r="AD480" s="1"/>
      <c r="AE480" s="3"/>
      <c r="AF480" s="194" t="s">
        <v>3723</v>
      </c>
      <c r="AG480" s="15" t="s">
        <v>192</v>
      </c>
      <c r="AH480" s="15" t="s">
        <v>192</v>
      </c>
    </row>
    <row r="481" spans="1:34" s="4" customFormat="1" x14ac:dyDescent="0.25">
      <c r="A481" s="16">
        <v>891780451</v>
      </c>
      <c r="B481" s="16" t="s">
        <v>54</v>
      </c>
      <c r="C481" s="14" t="s">
        <v>2627</v>
      </c>
      <c r="D481" s="16" t="s">
        <v>60</v>
      </c>
      <c r="E481" s="1" t="s">
        <v>3724</v>
      </c>
      <c r="F481" s="16" t="s">
        <v>61</v>
      </c>
      <c r="G481" s="1" t="s">
        <v>69</v>
      </c>
      <c r="H481" s="1" t="s">
        <v>2629</v>
      </c>
      <c r="I481" s="9">
        <v>26094593</v>
      </c>
      <c r="J481" s="94"/>
      <c r="K481" s="2"/>
      <c r="L481" s="2"/>
      <c r="M481" s="40">
        <f t="shared" si="20"/>
        <v>26094593</v>
      </c>
      <c r="N481" s="1">
        <v>50979312</v>
      </c>
      <c r="O481" s="1" t="s">
        <v>3725</v>
      </c>
      <c r="P481" s="1" t="s">
        <v>3726</v>
      </c>
      <c r="Q481" s="3">
        <v>44964</v>
      </c>
      <c r="R481" s="3">
        <v>44964</v>
      </c>
      <c r="S481" s="3">
        <v>45275</v>
      </c>
      <c r="T481" s="35"/>
      <c r="U481" s="3"/>
      <c r="V481" s="3"/>
      <c r="W481" s="50"/>
      <c r="X481" s="9">
        <v>12425995</v>
      </c>
      <c r="Y481" s="9">
        <v>13668598</v>
      </c>
      <c r="Z481" s="34">
        <f t="shared" si="19"/>
        <v>0.47619041232028414</v>
      </c>
      <c r="AA481" s="1">
        <v>12545859</v>
      </c>
      <c r="AB481" s="1" t="s">
        <v>2632</v>
      </c>
      <c r="AC481" s="1"/>
      <c r="AD481" s="1"/>
      <c r="AE481" s="3"/>
      <c r="AF481" s="194" t="s">
        <v>3727</v>
      </c>
      <c r="AG481" s="15" t="s">
        <v>192</v>
      </c>
      <c r="AH481" s="15" t="s">
        <v>192</v>
      </c>
    </row>
    <row r="482" spans="1:34" s="4" customFormat="1" x14ac:dyDescent="0.25">
      <c r="A482" s="16">
        <v>891780452</v>
      </c>
      <c r="B482" s="16" t="s">
        <v>54</v>
      </c>
      <c r="C482" s="14" t="s">
        <v>2627</v>
      </c>
      <c r="D482" s="16" t="s">
        <v>60</v>
      </c>
      <c r="E482" s="1" t="s">
        <v>3728</v>
      </c>
      <c r="F482" s="16" t="s">
        <v>61</v>
      </c>
      <c r="G482" s="1" t="s">
        <v>69</v>
      </c>
      <c r="H482" s="1" t="s">
        <v>2629</v>
      </c>
      <c r="I482" s="9">
        <v>53173648</v>
      </c>
      <c r="J482" s="94">
        <v>1</v>
      </c>
      <c r="K482" s="2"/>
      <c r="L482" s="2">
        <v>14250001</v>
      </c>
      <c r="M482" s="40">
        <f t="shared" si="20"/>
        <v>38923647</v>
      </c>
      <c r="N482" s="1">
        <v>1064982193</v>
      </c>
      <c r="O482" s="1" t="s">
        <v>3729</v>
      </c>
      <c r="P482" s="1" t="s">
        <v>3730</v>
      </c>
      <c r="Q482" s="3">
        <v>44964</v>
      </c>
      <c r="R482" s="3">
        <v>44964</v>
      </c>
      <c r="S482" s="3">
        <v>45275</v>
      </c>
      <c r="T482" s="35"/>
      <c r="U482" s="3"/>
      <c r="V482" s="3"/>
      <c r="W482" s="50"/>
      <c r="X482" s="9">
        <v>18535070</v>
      </c>
      <c r="Y482" s="9">
        <v>20388577</v>
      </c>
      <c r="Z482" s="34">
        <f t="shared" si="19"/>
        <v>0.47619047619047616</v>
      </c>
      <c r="AA482" s="1">
        <v>12545859</v>
      </c>
      <c r="AB482" s="1" t="s">
        <v>2632</v>
      </c>
      <c r="AC482" s="1"/>
      <c r="AD482" s="1"/>
      <c r="AE482" s="3"/>
      <c r="AF482" s="194" t="s">
        <v>3731</v>
      </c>
      <c r="AG482" s="15" t="s">
        <v>192</v>
      </c>
      <c r="AH482" s="15" t="s">
        <v>192</v>
      </c>
    </row>
    <row r="483" spans="1:34" s="4" customFormat="1" x14ac:dyDescent="0.25">
      <c r="A483" s="16">
        <v>891780453</v>
      </c>
      <c r="B483" s="16" t="s">
        <v>54</v>
      </c>
      <c r="C483" s="14" t="s">
        <v>2627</v>
      </c>
      <c r="D483" s="16" t="s">
        <v>60</v>
      </c>
      <c r="E483" s="1" t="s">
        <v>3732</v>
      </c>
      <c r="F483" s="16" t="s">
        <v>61</v>
      </c>
      <c r="G483" s="1" t="s">
        <v>69</v>
      </c>
      <c r="H483" s="1" t="s">
        <v>2629</v>
      </c>
      <c r="I483" s="9">
        <v>20821033</v>
      </c>
      <c r="J483" s="94"/>
      <c r="K483" s="2"/>
      <c r="L483" s="2"/>
      <c r="M483" s="40">
        <f t="shared" si="20"/>
        <v>20821033</v>
      </c>
      <c r="N483" s="1">
        <v>1003034022</v>
      </c>
      <c r="O483" s="1" t="s">
        <v>3733</v>
      </c>
      <c r="P483" s="1" t="s">
        <v>2651</v>
      </c>
      <c r="Q483" s="3">
        <v>44964</v>
      </c>
      <c r="R483" s="3">
        <v>44964</v>
      </c>
      <c r="S483" s="3">
        <v>45275</v>
      </c>
      <c r="T483" s="35"/>
      <c r="U483" s="3"/>
      <c r="V483" s="3"/>
      <c r="W483" s="50"/>
      <c r="X483" s="9">
        <v>9914780</v>
      </c>
      <c r="Y483" s="9">
        <v>10906253</v>
      </c>
      <c r="Z483" s="34">
        <f t="shared" si="19"/>
        <v>0.47619059054370644</v>
      </c>
      <c r="AA483" s="1">
        <v>12545859</v>
      </c>
      <c r="AB483" s="1" t="s">
        <v>2632</v>
      </c>
      <c r="AC483" s="1"/>
      <c r="AD483" s="1"/>
      <c r="AE483" s="3"/>
      <c r="AF483" s="194" t="s">
        <v>3734</v>
      </c>
      <c r="AG483" s="15" t="s">
        <v>192</v>
      </c>
      <c r="AH483" s="15" t="s">
        <v>192</v>
      </c>
    </row>
    <row r="484" spans="1:34" s="4" customFormat="1" x14ac:dyDescent="0.25">
      <c r="A484" s="16">
        <v>891780454</v>
      </c>
      <c r="B484" s="16" t="s">
        <v>54</v>
      </c>
      <c r="C484" s="14" t="s">
        <v>2627</v>
      </c>
      <c r="D484" s="16" t="s">
        <v>60</v>
      </c>
      <c r="E484" s="1" t="s">
        <v>3735</v>
      </c>
      <c r="F484" s="16" t="s">
        <v>61</v>
      </c>
      <c r="G484" s="1" t="s">
        <v>69</v>
      </c>
      <c r="H484" s="1" t="s">
        <v>2629</v>
      </c>
      <c r="I484" s="9">
        <v>20821033</v>
      </c>
      <c r="J484" s="94"/>
      <c r="K484" s="2"/>
      <c r="L484" s="2"/>
      <c r="M484" s="40">
        <f t="shared" si="20"/>
        <v>20821033</v>
      </c>
      <c r="N484" s="1">
        <v>1064999111</v>
      </c>
      <c r="O484" s="1" t="s">
        <v>3736</v>
      </c>
      <c r="P484" s="1" t="s">
        <v>2651</v>
      </c>
      <c r="Q484" s="3">
        <v>44964</v>
      </c>
      <c r="R484" s="3">
        <v>44964</v>
      </c>
      <c r="S484" s="3">
        <v>45275</v>
      </c>
      <c r="T484" s="35"/>
      <c r="U484" s="3"/>
      <c r="V484" s="3"/>
      <c r="W484" s="50"/>
      <c r="X484" s="9">
        <v>9914780</v>
      </c>
      <c r="Y484" s="9">
        <v>10906253</v>
      </c>
      <c r="Z484" s="34">
        <f t="shared" si="19"/>
        <v>0.47619059054370644</v>
      </c>
      <c r="AA484" s="1">
        <v>12545859</v>
      </c>
      <c r="AB484" s="1" t="s">
        <v>2632</v>
      </c>
      <c r="AC484" s="1"/>
      <c r="AD484" s="1"/>
      <c r="AE484" s="3"/>
      <c r="AF484" s="194" t="s">
        <v>3737</v>
      </c>
      <c r="AG484" s="15" t="s">
        <v>192</v>
      </c>
      <c r="AH484" s="15" t="s">
        <v>192</v>
      </c>
    </row>
    <row r="485" spans="1:34" s="4" customFormat="1" x14ac:dyDescent="0.25">
      <c r="A485" s="16">
        <v>891780455</v>
      </c>
      <c r="B485" s="16" t="s">
        <v>54</v>
      </c>
      <c r="C485" s="14" t="s">
        <v>2627</v>
      </c>
      <c r="D485" s="16" t="s">
        <v>60</v>
      </c>
      <c r="E485" s="1" t="s">
        <v>3738</v>
      </c>
      <c r="F485" s="16" t="s">
        <v>61</v>
      </c>
      <c r="G485" s="1" t="s">
        <v>69</v>
      </c>
      <c r="H485" s="1" t="s">
        <v>2629</v>
      </c>
      <c r="I485" s="9">
        <v>70474584</v>
      </c>
      <c r="J485" s="94">
        <v>1</v>
      </c>
      <c r="K485" s="2">
        <v>1600000</v>
      </c>
      <c r="L485" s="2">
        <v>14250002</v>
      </c>
      <c r="M485" s="40">
        <f t="shared" si="20"/>
        <v>57824582</v>
      </c>
      <c r="N485" s="1">
        <v>7382848</v>
      </c>
      <c r="O485" s="1" t="s">
        <v>3739</v>
      </c>
      <c r="P485" s="1" t="s">
        <v>3740</v>
      </c>
      <c r="Q485" s="3">
        <v>44964</v>
      </c>
      <c r="R485" s="3">
        <v>44964</v>
      </c>
      <c r="S485" s="3">
        <v>45275</v>
      </c>
      <c r="T485" s="35"/>
      <c r="U485" s="3"/>
      <c r="V485" s="3"/>
      <c r="W485" s="50"/>
      <c r="X485" s="9">
        <v>26773610</v>
      </c>
      <c r="Y485" s="9">
        <v>31050972</v>
      </c>
      <c r="Z485" s="34">
        <f t="shared" si="19"/>
        <v>0.46301432840448375</v>
      </c>
      <c r="AA485" s="1">
        <v>12545859</v>
      </c>
      <c r="AB485" s="1" t="s">
        <v>2632</v>
      </c>
      <c r="AC485" s="1"/>
      <c r="AD485" s="1"/>
      <c r="AE485" s="3"/>
      <c r="AF485" s="194" t="s">
        <v>3741</v>
      </c>
      <c r="AG485" s="15" t="s">
        <v>192</v>
      </c>
      <c r="AH485" s="15" t="s">
        <v>192</v>
      </c>
    </row>
    <row r="486" spans="1:34" s="4" customFormat="1" x14ac:dyDescent="0.25">
      <c r="A486" s="16">
        <v>891780456</v>
      </c>
      <c r="B486" s="16" t="s">
        <v>54</v>
      </c>
      <c r="C486" s="14" t="s">
        <v>2627</v>
      </c>
      <c r="D486" s="16" t="s">
        <v>60</v>
      </c>
      <c r="E486" s="1" t="s">
        <v>3742</v>
      </c>
      <c r="F486" s="16" t="s">
        <v>61</v>
      </c>
      <c r="G486" s="1" t="s">
        <v>69</v>
      </c>
      <c r="H486" s="1" t="s">
        <v>2629</v>
      </c>
      <c r="I486" s="9">
        <v>19048225</v>
      </c>
      <c r="J486" s="94"/>
      <c r="K486" s="2"/>
      <c r="L486" s="2"/>
      <c r="M486" s="40">
        <f t="shared" si="20"/>
        <v>19048225</v>
      </c>
      <c r="N486" s="1">
        <v>26203230</v>
      </c>
      <c r="O486" s="1" t="s">
        <v>3743</v>
      </c>
      <c r="P486" s="1" t="s">
        <v>2636</v>
      </c>
      <c r="Q486" s="3">
        <v>44964</v>
      </c>
      <c r="R486" s="3">
        <v>44964</v>
      </c>
      <c r="S486" s="3">
        <v>45275</v>
      </c>
      <c r="T486" s="35"/>
      <c r="U486" s="3"/>
      <c r="V486" s="3"/>
      <c r="W486" s="50"/>
      <c r="X486" s="9">
        <v>9070585</v>
      </c>
      <c r="Y486" s="9">
        <v>9977640</v>
      </c>
      <c r="Z486" s="34">
        <f t="shared" si="19"/>
        <v>0.47619056368769269</v>
      </c>
      <c r="AA486" s="1">
        <v>12545859</v>
      </c>
      <c r="AB486" s="1" t="s">
        <v>2632</v>
      </c>
      <c r="AC486" s="1"/>
      <c r="AD486" s="1"/>
      <c r="AE486" s="3"/>
      <c r="AF486" s="194" t="s">
        <v>3744</v>
      </c>
      <c r="AG486" s="15" t="s">
        <v>192</v>
      </c>
      <c r="AH486" s="15" t="s">
        <v>192</v>
      </c>
    </row>
    <row r="487" spans="1:34" s="4" customFormat="1" x14ac:dyDescent="0.25">
      <c r="A487" s="16">
        <v>891780457</v>
      </c>
      <c r="B487" s="16" t="s">
        <v>54</v>
      </c>
      <c r="C487" s="14" t="s">
        <v>2627</v>
      </c>
      <c r="D487" s="16" t="s">
        <v>60</v>
      </c>
      <c r="E487" s="1" t="s">
        <v>3745</v>
      </c>
      <c r="F487" s="16" t="s">
        <v>61</v>
      </c>
      <c r="G487" s="1" t="s">
        <v>69</v>
      </c>
      <c r="H487" s="1" t="s">
        <v>2629</v>
      </c>
      <c r="I487" s="9">
        <v>30584820.000000004</v>
      </c>
      <c r="J487" s="94"/>
      <c r="K487" s="2"/>
      <c r="L487" s="2"/>
      <c r="M487" s="40">
        <f t="shared" si="20"/>
        <v>30584820.000000004</v>
      </c>
      <c r="N487" s="1">
        <v>1085270248</v>
      </c>
      <c r="O487" s="1" t="s">
        <v>3746</v>
      </c>
      <c r="P487" s="1" t="s">
        <v>3747</v>
      </c>
      <c r="Q487" s="3">
        <v>44964</v>
      </c>
      <c r="R487" s="3">
        <v>44964</v>
      </c>
      <c r="S487" s="3">
        <v>45275</v>
      </c>
      <c r="T487" s="35"/>
      <c r="U487" s="3"/>
      <c r="V487" s="3"/>
      <c r="W487" s="50"/>
      <c r="X487" s="9">
        <v>14564200.000000004</v>
      </c>
      <c r="Y487" s="9">
        <v>16020620</v>
      </c>
      <c r="Z487" s="34">
        <f t="shared" si="19"/>
        <v>0.47619047619047628</v>
      </c>
      <c r="AA487" s="1">
        <v>12545859</v>
      </c>
      <c r="AB487" s="1" t="s">
        <v>2632</v>
      </c>
      <c r="AC487" s="1"/>
      <c r="AD487" s="1"/>
      <c r="AE487" s="3"/>
      <c r="AF487" s="194" t="s">
        <v>3748</v>
      </c>
      <c r="AG487" s="15" t="s">
        <v>192</v>
      </c>
      <c r="AH487" s="15" t="s">
        <v>192</v>
      </c>
    </row>
    <row r="488" spans="1:34" s="4" customFormat="1" x14ac:dyDescent="0.25">
      <c r="A488" s="16">
        <v>891780458</v>
      </c>
      <c r="B488" s="16" t="s">
        <v>54</v>
      </c>
      <c r="C488" s="14" t="s">
        <v>2627</v>
      </c>
      <c r="D488" s="16" t="s">
        <v>60</v>
      </c>
      <c r="E488" s="1" t="s">
        <v>3749</v>
      </c>
      <c r="F488" s="16" t="s">
        <v>61</v>
      </c>
      <c r="G488" s="1" t="s">
        <v>69</v>
      </c>
      <c r="H488" s="1" t="s">
        <v>2629</v>
      </c>
      <c r="I488" s="9">
        <v>31190460.000000004</v>
      </c>
      <c r="J488" s="94"/>
      <c r="K488" s="2"/>
      <c r="L488" s="2"/>
      <c r="M488" s="40">
        <f t="shared" si="20"/>
        <v>31190460.000000004</v>
      </c>
      <c r="N488" s="1">
        <v>5695870</v>
      </c>
      <c r="O488" s="1" t="s">
        <v>3750</v>
      </c>
      <c r="P488" s="1" t="s">
        <v>3747</v>
      </c>
      <c r="Q488" s="3">
        <v>44964</v>
      </c>
      <c r="R488" s="3">
        <v>44964</v>
      </c>
      <c r="S488" s="3">
        <v>45275</v>
      </c>
      <c r="T488" s="35"/>
      <c r="U488" s="3"/>
      <c r="V488" s="3"/>
      <c r="W488" s="50"/>
      <c r="X488" s="9">
        <v>14852600.000000004</v>
      </c>
      <c r="Y488" s="9">
        <v>16337860</v>
      </c>
      <c r="Z488" s="34">
        <f t="shared" si="19"/>
        <v>0.47619047619047628</v>
      </c>
      <c r="AA488" s="1">
        <v>12545859</v>
      </c>
      <c r="AB488" s="1" t="s">
        <v>2632</v>
      </c>
      <c r="AC488" s="1"/>
      <c r="AD488" s="1"/>
      <c r="AE488" s="3"/>
      <c r="AF488" s="194" t="s">
        <v>3751</v>
      </c>
      <c r="AG488" s="15" t="s">
        <v>192</v>
      </c>
      <c r="AH488" s="15"/>
    </row>
    <row r="489" spans="1:34" s="4" customFormat="1" x14ac:dyDescent="0.25">
      <c r="A489" s="16">
        <v>891780459</v>
      </c>
      <c r="B489" s="16" t="s">
        <v>54</v>
      </c>
      <c r="C489" s="14" t="s">
        <v>2627</v>
      </c>
      <c r="D489" s="16" t="s">
        <v>60</v>
      </c>
      <c r="E489" s="1" t="s">
        <v>3752</v>
      </c>
      <c r="F489" s="16" t="s">
        <v>61</v>
      </c>
      <c r="G489" s="1" t="s">
        <v>69</v>
      </c>
      <c r="H489" s="1" t="s">
        <v>2629</v>
      </c>
      <c r="I489" s="9">
        <v>19048225</v>
      </c>
      <c r="J489" s="94"/>
      <c r="K489" s="2"/>
      <c r="L489" s="2"/>
      <c r="M489" s="40">
        <f t="shared" si="20"/>
        <v>19048225</v>
      </c>
      <c r="N489" s="1">
        <v>1003721980</v>
      </c>
      <c r="O489" s="1" t="s">
        <v>3753</v>
      </c>
      <c r="P489" s="1" t="s">
        <v>2636</v>
      </c>
      <c r="Q489" s="3">
        <v>44964</v>
      </c>
      <c r="R489" s="3">
        <v>44964</v>
      </c>
      <c r="S489" s="3">
        <v>45275</v>
      </c>
      <c r="T489" s="35"/>
      <c r="U489" s="3"/>
      <c r="V489" s="3"/>
      <c r="W489" s="50"/>
      <c r="X489" s="9">
        <v>9070585</v>
      </c>
      <c r="Y489" s="9">
        <v>9977640</v>
      </c>
      <c r="Z489" s="34">
        <f t="shared" si="19"/>
        <v>0.47619056368769269</v>
      </c>
      <c r="AA489" s="1">
        <v>12545859</v>
      </c>
      <c r="AB489" s="1" t="s">
        <v>2632</v>
      </c>
      <c r="AC489" s="1"/>
      <c r="AD489" s="1"/>
      <c r="AE489" s="3"/>
      <c r="AF489" s="194" t="s">
        <v>3754</v>
      </c>
      <c r="AG489" s="15" t="s">
        <v>192</v>
      </c>
      <c r="AH489" s="15" t="s">
        <v>192</v>
      </c>
    </row>
    <row r="490" spans="1:34" s="4" customFormat="1" x14ac:dyDescent="0.25">
      <c r="A490" s="16">
        <v>891780460</v>
      </c>
      <c r="B490" s="16" t="s">
        <v>54</v>
      </c>
      <c r="C490" s="14" t="s">
        <v>2627</v>
      </c>
      <c r="D490" s="16" t="s">
        <v>60</v>
      </c>
      <c r="E490" s="1" t="s">
        <v>3755</v>
      </c>
      <c r="F490" s="16" t="s">
        <v>61</v>
      </c>
      <c r="G490" s="1" t="s">
        <v>69</v>
      </c>
      <c r="H490" s="1" t="s">
        <v>2629</v>
      </c>
      <c r="I490" s="9">
        <v>20821033</v>
      </c>
      <c r="J490" s="94"/>
      <c r="K490" s="2"/>
      <c r="L490" s="2"/>
      <c r="M490" s="40">
        <f t="shared" si="20"/>
        <v>20821033</v>
      </c>
      <c r="N490" s="1">
        <v>98599167</v>
      </c>
      <c r="O490" s="1" t="s">
        <v>3756</v>
      </c>
      <c r="P490" s="1" t="s">
        <v>2651</v>
      </c>
      <c r="Q490" s="3">
        <v>44964</v>
      </c>
      <c r="R490" s="3">
        <v>44964</v>
      </c>
      <c r="S490" s="3">
        <v>45275</v>
      </c>
      <c r="T490" s="35"/>
      <c r="U490" s="3"/>
      <c r="V490" s="3"/>
      <c r="W490" s="50"/>
      <c r="X490" s="9">
        <v>9914780</v>
      </c>
      <c r="Y490" s="9">
        <v>10906253</v>
      </c>
      <c r="Z490" s="34">
        <f t="shared" si="19"/>
        <v>0.47619059054370644</v>
      </c>
      <c r="AA490" s="1">
        <v>12545859</v>
      </c>
      <c r="AB490" s="1" t="s">
        <v>2632</v>
      </c>
      <c r="AC490" s="1"/>
      <c r="AD490" s="1"/>
      <c r="AE490" s="3"/>
      <c r="AF490" s="194" t="s">
        <v>3757</v>
      </c>
      <c r="AG490" s="15" t="s">
        <v>192</v>
      </c>
      <c r="AH490" s="15" t="s">
        <v>192</v>
      </c>
    </row>
    <row r="491" spans="1:34" s="4" customFormat="1" x14ac:dyDescent="0.25">
      <c r="A491" s="16">
        <v>891780461</v>
      </c>
      <c r="B491" s="16" t="s">
        <v>54</v>
      </c>
      <c r="C491" s="14" t="s">
        <v>2627</v>
      </c>
      <c r="D491" s="16" t="s">
        <v>60</v>
      </c>
      <c r="E491" s="1" t="s">
        <v>3758</v>
      </c>
      <c r="F491" s="16" t="s">
        <v>61</v>
      </c>
      <c r="G491" s="1" t="s">
        <v>69</v>
      </c>
      <c r="H491" s="1" t="s">
        <v>2629</v>
      </c>
      <c r="I491" s="9">
        <v>19048225</v>
      </c>
      <c r="J491" s="94"/>
      <c r="K491" s="2"/>
      <c r="L491" s="2"/>
      <c r="M491" s="40">
        <f t="shared" si="20"/>
        <v>19048225</v>
      </c>
      <c r="N491" s="1">
        <v>1063148898</v>
      </c>
      <c r="O491" s="1" t="s">
        <v>3759</v>
      </c>
      <c r="P491" s="1" t="s">
        <v>2636</v>
      </c>
      <c r="Q491" s="3">
        <v>44964</v>
      </c>
      <c r="R491" s="3">
        <v>44964</v>
      </c>
      <c r="S491" s="3">
        <v>45275</v>
      </c>
      <c r="T491" s="35"/>
      <c r="U491" s="3"/>
      <c r="V491" s="3"/>
      <c r="W491" s="50"/>
      <c r="X491" s="9">
        <v>7740233</v>
      </c>
      <c r="Y491" s="9">
        <v>11307992</v>
      </c>
      <c r="Z491" s="34">
        <f t="shared" si="19"/>
        <v>0.40634930551271836</v>
      </c>
      <c r="AA491" s="1">
        <v>12545859</v>
      </c>
      <c r="AB491" s="1" t="s">
        <v>2632</v>
      </c>
      <c r="AC491" s="1"/>
      <c r="AD491" s="1"/>
      <c r="AE491" s="3"/>
      <c r="AF491" s="194" t="s">
        <v>3760</v>
      </c>
      <c r="AG491" s="15" t="s">
        <v>192</v>
      </c>
      <c r="AH491" s="15" t="s">
        <v>192</v>
      </c>
    </row>
    <row r="492" spans="1:34" s="4" customFormat="1" x14ac:dyDescent="0.25">
      <c r="A492" s="16">
        <v>891780462</v>
      </c>
      <c r="B492" s="16" t="s">
        <v>54</v>
      </c>
      <c r="C492" s="14" t="s">
        <v>2627</v>
      </c>
      <c r="D492" s="16" t="s">
        <v>60</v>
      </c>
      <c r="E492" s="1" t="s">
        <v>3761</v>
      </c>
      <c r="F492" s="16" t="s">
        <v>61</v>
      </c>
      <c r="G492" s="1" t="s">
        <v>69</v>
      </c>
      <c r="H492" s="1" t="s">
        <v>2629</v>
      </c>
      <c r="I492" s="9">
        <v>22793244</v>
      </c>
      <c r="J492" s="94"/>
      <c r="K492" s="2"/>
      <c r="L492" s="2"/>
      <c r="M492" s="40">
        <f t="shared" si="20"/>
        <v>22793244</v>
      </c>
      <c r="N492" s="1">
        <v>1067860539</v>
      </c>
      <c r="O492" s="1" t="s">
        <v>3762</v>
      </c>
      <c r="P492" s="1" t="s">
        <v>3763</v>
      </c>
      <c r="Q492" s="3">
        <v>44964</v>
      </c>
      <c r="R492" s="3">
        <v>44964</v>
      </c>
      <c r="S492" s="3">
        <v>45275</v>
      </c>
      <c r="T492" s="35"/>
      <c r="U492" s="3"/>
      <c r="V492" s="3"/>
      <c r="W492" s="50"/>
      <c r="X492" s="9">
        <v>10853925</v>
      </c>
      <c r="Y492" s="9">
        <v>11939319</v>
      </c>
      <c r="Z492" s="34">
        <f t="shared" si="19"/>
        <v>0.47619044485286954</v>
      </c>
      <c r="AA492" s="1">
        <v>12545859</v>
      </c>
      <c r="AB492" s="1" t="s">
        <v>2632</v>
      </c>
      <c r="AC492" s="1"/>
      <c r="AD492" s="1"/>
      <c r="AE492" s="3"/>
      <c r="AF492" s="194" t="s">
        <v>3764</v>
      </c>
      <c r="AG492" s="15" t="s">
        <v>192</v>
      </c>
      <c r="AH492" s="15" t="s">
        <v>192</v>
      </c>
    </row>
    <row r="493" spans="1:34" s="4" customFormat="1" x14ac:dyDescent="0.25">
      <c r="A493" s="16">
        <v>891780463</v>
      </c>
      <c r="B493" s="16" t="s">
        <v>54</v>
      </c>
      <c r="C493" s="14" t="s">
        <v>2627</v>
      </c>
      <c r="D493" s="16" t="s">
        <v>60</v>
      </c>
      <c r="E493" s="1" t="s">
        <v>3765</v>
      </c>
      <c r="F493" s="16" t="s">
        <v>61</v>
      </c>
      <c r="G493" s="1" t="s">
        <v>69</v>
      </c>
      <c r="H493" s="1" t="s">
        <v>2629</v>
      </c>
      <c r="I493" s="9">
        <v>61970751</v>
      </c>
      <c r="J493" s="94">
        <v>1</v>
      </c>
      <c r="K493" s="2"/>
      <c r="L493" s="2">
        <v>14250001</v>
      </c>
      <c r="M493" s="40">
        <f t="shared" si="20"/>
        <v>47720750</v>
      </c>
      <c r="N493" s="1">
        <v>1070809045</v>
      </c>
      <c r="O493" s="1" t="s">
        <v>3766</v>
      </c>
      <c r="P493" s="1" t="s">
        <v>3767</v>
      </c>
      <c r="Q493" s="3">
        <v>44964</v>
      </c>
      <c r="R493" s="3">
        <v>44964</v>
      </c>
      <c r="S493" s="3">
        <v>45275</v>
      </c>
      <c r="T493" s="35"/>
      <c r="U493" s="3"/>
      <c r="V493" s="3"/>
      <c r="W493" s="50"/>
      <c r="X493" s="9">
        <v>22724165</v>
      </c>
      <c r="Y493" s="9">
        <v>24996585</v>
      </c>
      <c r="Z493" s="34">
        <f t="shared" si="19"/>
        <v>0.47619044126506815</v>
      </c>
      <c r="AA493" s="1">
        <v>12545859</v>
      </c>
      <c r="AB493" s="1" t="s">
        <v>2632</v>
      </c>
      <c r="AC493" s="1"/>
      <c r="AD493" s="1"/>
      <c r="AE493" s="3"/>
      <c r="AF493" s="194" t="s">
        <v>3768</v>
      </c>
      <c r="AG493" s="15" t="s">
        <v>192</v>
      </c>
      <c r="AH493" s="15" t="s">
        <v>192</v>
      </c>
    </row>
    <row r="494" spans="1:34" s="4" customFormat="1" x14ac:dyDescent="0.25">
      <c r="A494" s="16">
        <v>891780464</v>
      </c>
      <c r="B494" s="16" t="s">
        <v>54</v>
      </c>
      <c r="C494" s="14" t="s">
        <v>2627</v>
      </c>
      <c r="D494" s="16" t="s">
        <v>60</v>
      </c>
      <c r="E494" s="1" t="s">
        <v>3769</v>
      </c>
      <c r="F494" s="16" t="s">
        <v>61</v>
      </c>
      <c r="G494" s="1" t="s">
        <v>69</v>
      </c>
      <c r="H494" s="1" t="s">
        <v>2629</v>
      </c>
      <c r="I494" s="9">
        <v>49089600</v>
      </c>
      <c r="J494" s="94">
        <v>1</v>
      </c>
      <c r="K494" s="2"/>
      <c r="L494" s="2">
        <v>14250001</v>
      </c>
      <c r="M494" s="40">
        <f t="shared" si="20"/>
        <v>34839599</v>
      </c>
      <c r="N494" s="1">
        <v>1077446235</v>
      </c>
      <c r="O494" s="1" t="s">
        <v>3770</v>
      </c>
      <c r="P494" s="1" t="s">
        <v>3771</v>
      </c>
      <c r="Q494" s="3">
        <v>44964</v>
      </c>
      <c r="R494" s="3">
        <v>44964</v>
      </c>
      <c r="S494" s="3">
        <v>45275</v>
      </c>
      <c r="T494" s="35"/>
      <c r="U494" s="3"/>
      <c r="V494" s="3"/>
      <c r="W494" s="50"/>
      <c r="X494" s="9">
        <v>16590285</v>
      </c>
      <c r="Y494" s="9">
        <v>18249314</v>
      </c>
      <c r="Z494" s="34">
        <f t="shared" si="19"/>
        <v>0.4761904693564355</v>
      </c>
      <c r="AA494" s="1">
        <v>12545859</v>
      </c>
      <c r="AB494" s="1" t="s">
        <v>2632</v>
      </c>
      <c r="AC494" s="1"/>
      <c r="AD494" s="1"/>
      <c r="AE494" s="3"/>
      <c r="AF494" s="194" t="s">
        <v>3772</v>
      </c>
      <c r="AG494" s="15" t="s">
        <v>192</v>
      </c>
      <c r="AH494" s="15" t="s">
        <v>192</v>
      </c>
    </row>
    <row r="495" spans="1:34" s="4" customFormat="1" x14ac:dyDescent="0.25">
      <c r="A495" s="16">
        <v>891780465</v>
      </c>
      <c r="B495" s="16" t="s">
        <v>54</v>
      </c>
      <c r="C495" s="14" t="s">
        <v>2627</v>
      </c>
      <c r="D495" s="16" t="s">
        <v>60</v>
      </c>
      <c r="E495" s="1" t="s">
        <v>3773</v>
      </c>
      <c r="F495" s="16" t="s">
        <v>61</v>
      </c>
      <c r="G495" s="1" t="s">
        <v>69</v>
      </c>
      <c r="H495" s="1" t="s">
        <v>2629</v>
      </c>
      <c r="I495" s="9">
        <v>21029244</v>
      </c>
      <c r="J495" s="94"/>
      <c r="K495" s="2"/>
      <c r="L495" s="2"/>
      <c r="M495" s="40">
        <f t="shared" si="20"/>
        <v>21029244</v>
      </c>
      <c r="N495" s="1">
        <v>15618407</v>
      </c>
      <c r="O495" s="1" t="s">
        <v>3774</v>
      </c>
      <c r="P495" s="1" t="s">
        <v>2651</v>
      </c>
      <c r="Q495" s="3">
        <v>44964</v>
      </c>
      <c r="R495" s="3">
        <v>44964</v>
      </c>
      <c r="S495" s="3">
        <v>45275</v>
      </c>
      <c r="T495" s="35" t="s">
        <v>192</v>
      </c>
      <c r="U495" s="3">
        <v>45107</v>
      </c>
      <c r="V495" s="3">
        <v>45169</v>
      </c>
      <c r="W495" s="50"/>
      <c r="X495" s="9">
        <v>8011140</v>
      </c>
      <c r="Y495" s="9">
        <v>13018104</v>
      </c>
      <c r="Z495" s="34">
        <f t="shared" si="19"/>
        <v>0.38095235377933701</v>
      </c>
      <c r="AA495" s="1">
        <v>12545859</v>
      </c>
      <c r="AB495" s="1" t="s">
        <v>2632</v>
      </c>
      <c r="AC495" s="1"/>
      <c r="AD495" s="1"/>
      <c r="AE495" s="3"/>
      <c r="AF495" s="194" t="s">
        <v>3775</v>
      </c>
      <c r="AG495" s="15" t="s">
        <v>192</v>
      </c>
      <c r="AH495" s="15" t="s">
        <v>192</v>
      </c>
    </row>
    <row r="496" spans="1:34" s="4" customFormat="1" x14ac:dyDescent="0.25">
      <c r="A496" s="16">
        <v>891780466</v>
      </c>
      <c r="B496" s="16" t="s">
        <v>54</v>
      </c>
      <c r="C496" s="14" t="s">
        <v>2627</v>
      </c>
      <c r="D496" s="16" t="s">
        <v>60</v>
      </c>
      <c r="E496" s="1" t="s">
        <v>3776</v>
      </c>
      <c r="F496" s="16" t="s">
        <v>61</v>
      </c>
      <c r="G496" s="1" t="s">
        <v>69</v>
      </c>
      <c r="H496" s="1" t="s">
        <v>2629</v>
      </c>
      <c r="I496" s="9">
        <v>53762824</v>
      </c>
      <c r="J496" s="94">
        <v>1</v>
      </c>
      <c r="K496" s="2"/>
      <c r="L496" s="2">
        <v>14250001</v>
      </c>
      <c r="M496" s="40">
        <f t="shared" si="20"/>
        <v>39512823</v>
      </c>
      <c r="N496" s="1">
        <v>30665173</v>
      </c>
      <c r="O496" s="1" t="s">
        <v>3777</v>
      </c>
      <c r="P496" s="1" t="s">
        <v>3778</v>
      </c>
      <c r="Q496" s="3">
        <v>44964</v>
      </c>
      <c r="R496" s="3">
        <v>44964</v>
      </c>
      <c r="S496" s="3">
        <v>45275</v>
      </c>
      <c r="T496" s="35"/>
      <c r="U496" s="3"/>
      <c r="V496" s="3"/>
      <c r="W496" s="50"/>
      <c r="X496" s="9">
        <v>18815630</v>
      </c>
      <c r="Y496" s="9">
        <v>20697193</v>
      </c>
      <c r="Z496" s="34">
        <f t="shared" si="19"/>
        <v>0.47619047619047616</v>
      </c>
      <c r="AA496" s="1">
        <v>12545859</v>
      </c>
      <c r="AB496" s="1" t="s">
        <v>2632</v>
      </c>
      <c r="AC496" s="1"/>
      <c r="AD496" s="1"/>
      <c r="AE496" s="3"/>
      <c r="AF496" s="194" t="s">
        <v>3779</v>
      </c>
      <c r="AG496" s="15" t="s">
        <v>192</v>
      </c>
      <c r="AH496" s="15" t="s">
        <v>192</v>
      </c>
    </row>
    <row r="497" spans="1:34" s="4" customFormat="1" x14ac:dyDescent="0.25">
      <c r="A497" s="16">
        <v>891780467</v>
      </c>
      <c r="B497" s="16" t="s">
        <v>54</v>
      </c>
      <c r="C497" s="14" t="s">
        <v>2627</v>
      </c>
      <c r="D497" s="16" t="s">
        <v>60</v>
      </c>
      <c r="E497" s="1" t="s">
        <v>3780</v>
      </c>
      <c r="F497" s="16" t="s">
        <v>61</v>
      </c>
      <c r="G497" s="1" t="s">
        <v>69</v>
      </c>
      <c r="H497" s="1" t="s">
        <v>2629</v>
      </c>
      <c r="I497" s="9">
        <v>20821033</v>
      </c>
      <c r="J497" s="94"/>
      <c r="K497" s="2"/>
      <c r="L497" s="2"/>
      <c r="M497" s="40">
        <f t="shared" si="20"/>
        <v>20821033</v>
      </c>
      <c r="N497" s="1">
        <v>1063147301</v>
      </c>
      <c r="O497" s="1" t="s">
        <v>3781</v>
      </c>
      <c r="P497" s="1" t="s">
        <v>2651</v>
      </c>
      <c r="Q497" s="3">
        <v>44967</v>
      </c>
      <c r="R497" s="3">
        <v>44967</v>
      </c>
      <c r="S497" s="3">
        <v>45275</v>
      </c>
      <c r="T497" s="35"/>
      <c r="U497" s="3"/>
      <c r="V497" s="3"/>
      <c r="W497" s="50"/>
      <c r="X497" s="9">
        <v>9914780</v>
      </c>
      <c r="Y497" s="9">
        <v>10906253</v>
      </c>
      <c r="Z497" s="34">
        <f t="shared" si="19"/>
        <v>0.47619059054370644</v>
      </c>
      <c r="AA497" s="1">
        <v>12545859</v>
      </c>
      <c r="AB497" s="1" t="s">
        <v>2632</v>
      </c>
      <c r="AC497" s="1"/>
      <c r="AD497" s="1"/>
      <c r="AE497" s="3"/>
      <c r="AF497" s="194" t="s">
        <v>3782</v>
      </c>
      <c r="AG497" s="15" t="s">
        <v>192</v>
      </c>
      <c r="AH497" s="15" t="s">
        <v>192</v>
      </c>
    </row>
    <row r="498" spans="1:34" s="4" customFormat="1" x14ac:dyDescent="0.25">
      <c r="A498" s="16">
        <v>891780468</v>
      </c>
      <c r="B498" s="16" t="s">
        <v>54</v>
      </c>
      <c r="C498" s="14" t="s">
        <v>2627</v>
      </c>
      <c r="D498" s="16" t="s">
        <v>60</v>
      </c>
      <c r="E498" s="1" t="s">
        <v>3783</v>
      </c>
      <c r="F498" s="16" t="s">
        <v>61</v>
      </c>
      <c r="G498" s="1" t="s">
        <v>69</v>
      </c>
      <c r="H498" s="1" t="s">
        <v>2629</v>
      </c>
      <c r="I498" s="9">
        <v>20821033</v>
      </c>
      <c r="J498" s="94"/>
      <c r="K498" s="2"/>
      <c r="L498" s="2"/>
      <c r="M498" s="40">
        <f t="shared" si="20"/>
        <v>20821033</v>
      </c>
      <c r="N498" s="1">
        <v>1065375537</v>
      </c>
      <c r="O498" s="1" t="s">
        <v>3784</v>
      </c>
      <c r="P498" s="1" t="s">
        <v>2651</v>
      </c>
      <c r="Q498" s="3">
        <v>44967</v>
      </c>
      <c r="R498" s="3">
        <v>44967</v>
      </c>
      <c r="S498" s="3">
        <v>45275</v>
      </c>
      <c r="T498" s="35"/>
      <c r="U498" s="3"/>
      <c r="V498" s="3"/>
      <c r="W498" s="50"/>
      <c r="X498" s="9">
        <v>9914780</v>
      </c>
      <c r="Y498" s="9">
        <v>10906253</v>
      </c>
      <c r="Z498" s="34">
        <f t="shared" si="19"/>
        <v>0.47619059054370644</v>
      </c>
      <c r="AA498" s="1">
        <v>12545859</v>
      </c>
      <c r="AB498" s="1" t="s">
        <v>2632</v>
      </c>
      <c r="AC498" s="1"/>
      <c r="AD498" s="1"/>
      <c r="AE498" s="3"/>
      <c r="AF498" s="194" t="s">
        <v>3785</v>
      </c>
      <c r="AG498" s="15" t="s">
        <v>192</v>
      </c>
      <c r="AH498" s="15" t="s">
        <v>192</v>
      </c>
    </row>
    <row r="499" spans="1:34" s="4" customFormat="1" x14ac:dyDescent="0.25">
      <c r="A499" s="16">
        <v>891780469</v>
      </c>
      <c r="B499" s="16" t="s">
        <v>54</v>
      </c>
      <c r="C499" s="14" t="s">
        <v>2627</v>
      </c>
      <c r="D499" s="16" t="s">
        <v>60</v>
      </c>
      <c r="E499" s="1" t="s">
        <v>3786</v>
      </c>
      <c r="F499" s="16" t="s">
        <v>61</v>
      </c>
      <c r="G499" s="1" t="s">
        <v>69</v>
      </c>
      <c r="H499" s="1" t="s">
        <v>2629</v>
      </c>
      <c r="I499" s="9">
        <v>21029244</v>
      </c>
      <c r="J499" s="94"/>
      <c r="K499" s="2"/>
      <c r="L499" s="2"/>
      <c r="M499" s="40">
        <f t="shared" si="20"/>
        <v>21029244</v>
      </c>
      <c r="N499" s="1">
        <v>78079726</v>
      </c>
      <c r="O499" s="1" t="s">
        <v>3787</v>
      </c>
      <c r="P499" s="1" t="s">
        <v>2651</v>
      </c>
      <c r="Q499" s="3">
        <v>44967</v>
      </c>
      <c r="R499" s="3">
        <v>44967</v>
      </c>
      <c r="S499" s="3">
        <v>45275</v>
      </c>
      <c r="T499" s="35"/>
      <c r="U499" s="3"/>
      <c r="V499" s="3"/>
      <c r="W499" s="50"/>
      <c r="X499" s="9">
        <v>10013925</v>
      </c>
      <c r="Y499" s="9">
        <v>11015319</v>
      </c>
      <c r="Z499" s="34">
        <f t="shared" si="19"/>
        <v>0.47619044222417123</v>
      </c>
      <c r="AA499" s="1">
        <v>12545859</v>
      </c>
      <c r="AB499" s="1" t="s">
        <v>2632</v>
      </c>
      <c r="AC499" s="1"/>
      <c r="AD499" s="1"/>
      <c r="AE499" s="3"/>
      <c r="AF499" s="194" t="s">
        <v>3788</v>
      </c>
      <c r="AG499" s="15" t="s">
        <v>192</v>
      </c>
      <c r="AH499" s="15"/>
    </row>
    <row r="500" spans="1:34" s="4" customFormat="1" x14ac:dyDescent="0.25">
      <c r="A500" s="16">
        <v>891780470</v>
      </c>
      <c r="B500" s="16" t="s">
        <v>54</v>
      </c>
      <c r="C500" s="14" t="s">
        <v>2627</v>
      </c>
      <c r="D500" s="16" t="s">
        <v>60</v>
      </c>
      <c r="E500" s="1" t="s">
        <v>3789</v>
      </c>
      <c r="F500" s="16" t="s">
        <v>61</v>
      </c>
      <c r="G500" s="1" t="s">
        <v>69</v>
      </c>
      <c r="H500" s="1" t="s">
        <v>2629</v>
      </c>
      <c r="I500" s="9">
        <v>20821033</v>
      </c>
      <c r="J500" s="94"/>
      <c r="K500" s="2"/>
      <c r="L500" s="2"/>
      <c r="M500" s="40">
        <f t="shared" si="20"/>
        <v>20821033</v>
      </c>
      <c r="N500" s="1">
        <v>50570411</v>
      </c>
      <c r="O500" s="1" t="s">
        <v>3790</v>
      </c>
      <c r="P500" s="1" t="s">
        <v>2651</v>
      </c>
      <c r="Q500" s="3">
        <v>44967</v>
      </c>
      <c r="R500" s="3">
        <v>44967</v>
      </c>
      <c r="S500" s="3">
        <v>45275</v>
      </c>
      <c r="T500" s="35"/>
      <c r="U500" s="3"/>
      <c r="V500" s="3"/>
      <c r="W500" s="50"/>
      <c r="X500" s="9">
        <v>9914780</v>
      </c>
      <c r="Y500" s="9">
        <v>10906253</v>
      </c>
      <c r="Z500" s="34">
        <f t="shared" si="19"/>
        <v>0.47619059054370644</v>
      </c>
      <c r="AA500" s="1">
        <v>12545859</v>
      </c>
      <c r="AB500" s="1" t="s">
        <v>2632</v>
      </c>
      <c r="AC500" s="1"/>
      <c r="AD500" s="1"/>
      <c r="AE500" s="3"/>
      <c r="AF500" s="194" t="s">
        <v>3791</v>
      </c>
      <c r="AG500" s="15" t="s">
        <v>192</v>
      </c>
      <c r="AH500" s="15" t="s">
        <v>192</v>
      </c>
    </row>
    <row r="501" spans="1:34" s="4" customFormat="1" x14ac:dyDescent="0.25">
      <c r="A501" s="16">
        <v>891780471</v>
      </c>
      <c r="B501" s="16" t="s">
        <v>54</v>
      </c>
      <c r="C501" s="14" t="s">
        <v>2627</v>
      </c>
      <c r="D501" s="16" t="s">
        <v>60</v>
      </c>
      <c r="E501" s="1" t="s">
        <v>3792</v>
      </c>
      <c r="F501" s="16" t="s">
        <v>61</v>
      </c>
      <c r="G501" s="1" t="s">
        <v>69</v>
      </c>
      <c r="H501" s="1" t="s">
        <v>2629</v>
      </c>
      <c r="I501" s="9">
        <v>21029244</v>
      </c>
      <c r="J501" s="94"/>
      <c r="K501" s="2"/>
      <c r="L501" s="2"/>
      <c r="M501" s="40">
        <f t="shared" si="20"/>
        <v>21029244</v>
      </c>
      <c r="N501" s="1">
        <v>35115955</v>
      </c>
      <c r="O501" s="1" t="s">
        <v>3793</v>
      </c>
      <c r="P501" s="1" t="s">
        <v>2651</v>
      </c>
      <c r="Q501" s="3">
        <v>44967</v>
      </c>
      <c r="R501" s="3">
        <v>44967</v>
      </c>
      <c r="S501" s="3">
        <v>45275</v>
      </c>
      <c r="T501" s="35"/>
      <c r="U501" s="3"/>
      <c r="V501" s="3"/>
      <c r="W501" s="50"/>
      <c r="X501" s="9">
        <v>10013925</v>
      </c>
      <c r="Y501" s="9">
        <v>11015319</v>
      </c>
      <c r="Z501" s="34">
        <f t="shared" si="19"/>
        <v>0.47619044222417123</v>
      </c>
      <c r="AA501" s="1">
        <v>12545859</v>
      </c>
      <c r="AB501" s="1" t="s">
        <v>2632</v>
      </c>
      <c r="AC501" s="1"/>
      <c r="AD501" s="1"/>
      <c r="AE501" s="3"/>
      <c r="AF501" s="194" t="s">
        <v>3794</v>
      </c>
      <c r="AG501" s="15" t="s">
        <v>192</v>
      </c>
      <c r="AH501" s="15" t="s">
        <v>192</v>
      </c>
    </row>
    <row r="502" spans="1:34" s="4" customFormat="1" x14ac:dyDescent="0.25">
      <c r="A502" s="16">
        <v>891780472</v>
      </c>
      <c r="B502" s="16" t="s">
        <v>54</v>
      </c>
      <c r="C502" s="14" t="s">
        <v>2627</v>
      </c>
      <c r="D502" s="16" t="s">
        <v>60</v>
      </c>
      <c r="E502" s="1" t="s">
        <v>3795</v>
      </c>
      <c r="F502" s="16" t="s">
        <v>61</v>
      </c>
      <c r="G502" s="1" t="s">
        <v>69</v>
      </c>
      <c r="H502" s="1" t="s">
        <v>2629</v>
      </c>
      <c r="I502" s="9">
        <v>10959200</v>
      </c>
      <c r="J502" s="94">
        <v>1</v>
      </c>
      <c r="K502" s="2">
        <v>6250000</v>
      </c>
      <c r="L502" s="2"/>
      <c r="M502" s="40">
        <f t="shared" si="20"/>
        <v>17209200</v>
      </c>
      <c r="N502" s="1" t="s">
        <v>3796</v>
      </c>
      <c r="O502" s="1" t="s">
        <v>3797</v>
      </c>
      <c r="P502" s="1" t="s">
        <v>3798</v>
      </c>
      <c r="Q502" s="3">
        <v>44967</v>
      </c>
      <c r="R502" s="3">
        <v>44967</v>
      </c>
      <c r="S502" s="3">
        <v>45107</v>
      </c>
      <c r="T502" s="35"/>
      <c r="U502" s="3"/>
      <c r="V502" s="3"/>
      <c r="W502" s="50">
        <v>45184</v>
      </c>
      <c r="X502" s="9">
        <v>10959200</v>
      </c>
      <c r="Y502" s="9">
        <v>6250000</v>
      </c>
      <c r="Z502" s="34">
        <f t="shared" si="19"/>
        <v>0.63682216488854804</v>
      </c>
      <c r="AA502" s="1">
        <v>12545859</v>
      </c>
      <c r="AB502" s="1" t="s">
        <v>2632</v>
      </c>
      <c r="AC502" s="1"/>
      <c r="AD502" s="1"/>
      <c r="AE502" s="3"/>
      <c r="AF502" s="194" t="s">
        <v>3799</v>
      </c>
      <c r="AG502" s="15" t="s">
        <v>192</v>
      </c>
      <c r="AH502" s="15" t="s">
        <v>192</v>
      </c>
    </row>
    <row r="503" spans="1:34" s="4" customFormat="1" x14ac:dyDescent="0.25">
      <c r="A503" s="16">
        <v>891780473</v>
      </c>
      <c r="B503" s="16" t="s">
        <v>54</v>
      </c>
      <c r="C503" s="14" t="s">
        <v>2627</v>
      </c>
      <c r="D503" s="16" t="s">
        <v>60</v>
      </c>
      <c r="E503" s="1" t="s">
        <v>3800</v>
      </c>
      <c r="F503" s="16" t="s">
        <v>61</v>
      </c>
      <c r="G503" s="1" t="s">
        <v>69</v>
      </c>
      <c r="H503" s="1" t="s">
        <v>2629</v>
      </c>
      <c r="I503" s="9">
        <v>22960000</v>
      </c>
      <c r="J503" s="94">
        <v>1</v>
      </c>
      <c r="K503" s="2">
        <v>11480000</v>
      </c>
      <c r="L503" s="2"/>
      <c r="M503" s="40">
        <f t="shared" si="20"/>
        <v>34440000</v>
      </c>
      <c r="N503" s="1">
        <v>1082914133</v>
      </c>
      <c r="O503" s="1" t="s">
        <v>3801</v>
      </c>
      <c r="P503" s="1" t="s">
        <v>3802</v>
      </c>
      <c r="Q503" s="3">
        <v>44967</v>
      </c>
      <c r="R503" s="3">
        <v>44967</v>
      </c>
      <c r="S503" s="3">
        <v>45107</v>
      </c>
      <c r="T503" s="35"/>
      <c r="U503" s="3"/>
      <c r="V503" s="3"/>
      <c r="W503" s="50">
        <v>45184</v>
      </c>
      <c r="X503" s="9">
        <v>22960000</v>
      </c>
      <c r="Y503" s="9">
        <v>11480000</v>
      </c>
      <c r="Z503" s="34">
        <f t="shared" si="19"/>
        <v>0.66666666666666663</v>
      </c>
      <c r="AA503" s="1">
        <v>12545859</v>
      </c>
      <c r="AB503" s="1" t="s">
        <v>2632</v>
      </c>
      <c r="AC503" s="1"/>
      <c r="AD503" s="1"/>
      <c r="AE503" s="3"/>
      <c r="AF503" s="194" t="s">
        <v>3803</v>
      </c>
      <c r="AG503" s="15" t="s">
        <v>192</v>
      </c>
      <c r="AH503" s="15" t="s">
        <v>192</v>
      </c>
    </row>
    <row r="504" spans="1:34" s="4" customFormat="1" x14ac:dyDescent="0.25">
      <c r="A504" s="16">
        <v>891780474</v>
      </c>
      <c r="B504" s="16" t="s">
        <v>54</v>
      </c>
      <c r="C504" s="14" t="s">
        <v>2627</v>
      </c>
      <c r="D504" s="16" t="s">
        <v>60</v>
      </c>
      <c r="E504" s="1" t="s">
        <v>3804</v>
      </c>
      <c r="F504" s="16" t="s">
        <v>61</v>
      </c>
      <c r="G504" s="1" t="s">
        <v>69</v>
      </c>
      <c r="H504" s="1" t="s">
        <v>2629</v>
      </c>
      <c r="I504" s="9">
        <v>19577600</v>
      </c>
      <c r="J504" s="94">
        <v>1</v>
      </c>
      <c r="K504" s="2">
        <v>9788800</v>
      </c>
      <c r="L504" s="2"/>
      <c r="M504" s="40">
        <f t="shared" si="20"/>
        <v>29366400</v>
      </c>
      <c r="N504" s="1">
        <v>1082921309</v>
      </c>
      <c r="O504" s="1" t="s">
        <v>3805</v>
      </c>
      <c r="P504" s="1" t="s">
        <v>3806</v>
      </c>
      <c r="Q504" s="3">
        <v>44967</v>
      </c>
      <c r="R504" s="3">
        <v>44967</v>
      </c>
      <c r="S504" s="3">
        <v>45107</v>
      </c>
      <c r="T504" s="35"/>
      <c r="U504" s="3"/>
      <c r="V504" s="3"/>
      <c r="W504" s="50">
        <v>45184</v>
      </c>
      <c r="X504" s="9">
        <v>19577600</v>
      </c>
      <c r="Y504" s="9">
        <v>9788800</v>
      </c>
      <c r="Z504" s="34">
        <f t="shared" si="19"/>
        <v>0.66666666666666663</v>
      </c>
      <c r="AA504" s="1">
        <v>12545859</v>
      </c>
      <c r="AB504" s="1" t="s">
        <v>2632</v>
      </c>
      <c r="AC504" s="1"/>
      <c r="AD504" s="1"/>
      <c r="AE504" s="3"/>
      <c r="AF504" s="194" t="s">
        <v>3807</v>
      </c>
      <c r="AG504" s="15" t="s">
        <v>192</v>
      </c>
      <c r="AH504" s="15" t="s">
        <v>192</v>
      </c>
    </row>
    <row r="505" spans="1:34" s="4" customFormat="1" x14ac:dyDescent="0.25">
      <c r="A505" s="16">
        <v>891780475</v>
      </c>
      <c r="B505" s="16" t="s">
        <v>54</v>
      </c>
      <c r="C505" s="14" t="s">
        <v>2627</v>
      </c>
      <c r="D505" s="16" t="s">
        <v>60</v>
      </c>
      <c r="E505" s="1" t="s">
        <v>3808</v>
      </c>
      <c r="F505" s="16" t="s">
        <v>61</v>
      </c>
      <c r="G505" s="1" t="s">
        <v>69</v>
      </c>
      <c r="H505" s="1" t="s">
        <v>2629</v>
      </c>
      <c r="I505" s="9">
        <v>15725336</v>
      </c>
      <c r="J505" s="94"/>
      <c r="K505" s="2"/>
      <c r="L505" s="2"/>
      <c r="M505" s="40">
        <f t="shared" si="20"/>
        <v>15725336</v>
      </c>
      <c r="N505" s="1">
        <v>22565443</v>
      </c>
      <c r="O505" s="1" t="s">
        <v>3809</v>
      </c>
      <c r="P505" s="1" t="s">
        <v>3128</v>
      </c>
      <c r="Q505" s="3">
        <v>44967</v>
      </c>
      <c r="R505" s="3">
        <v>44967</v>
      </c>
      <c r="S505" s="3">
        <v>45214</v>
      </c>
      <c r="T505" s="35"/>
      <c r="U505" s="3"/>
      <c r="V505" s="3"/>
      <c r="W505" s="50"/>
      <c r="X505" s="9">
        <v>9250200</v>
      </c>
      <c r="Y505" s="9">
        <v>6475136</v>
      </c>
      <c r="Z505" s="34">
        <f t="shared" si="19"/>
        <v>0.58823544374504944</v>
      </c>
      <c r="AA505" s="1">
        <v>12545859</v>
      </c>
      <c r="AB505" s="1" t="s">
        <v>2632</v>
      </c>
      <c r="AC505" s="1"/>
      <c r="AD505" s="1"/>
      <c r="AE505" s="3"/>
      <c r="AF505" s="194" t="s">
        <v>3810</v>
      </c>
      <c r="AG505" s="15" t="s">
        <v>192</v>
      </c>
      <c r="AH505" s="15" t="s">
        <v>192</v>
      </c>
    </row>
    <row r="506" spans="1:34" s="4" customFormat="1" x14ac:dyDescent="0.25">
      <c r="A506" s="16">
        <v>891780476</v>
      </c>
      <c r="B506" s="16" t="s">
        <v>54</v>
      </c>
      <c r="C506" s="14" t="s">
        <v>2627</v>
      </c>
      <c r="D506" s="16" t="s">
        <v>60</v>
      </c>
      <c r="E506" s="1" t="s">
        <v>3811</v>
      </c>
      <c r="F506" s="16" t="s">
        <v>61</v>
      </c>
      <c r="G506" s="1" t="s">
        <v>69</v>
      </c>
      <c r="H506" s="1" t="s">
        <v>2629</v>
      </c>
      <c r="I506" s="9">
        <v>15725336</v>
      </c>
      <c r="J506" s="94"/>
      <c r="K506" s="2"/>
      <c r="L506" s="2"/>
      <c r="M506" s="40">
        <f t="shared" si="20"/>
        <v>15725336</v>
      </c>
      <c r="N506" s="1">
        <v>9737087</v>
      </c>
      <c r="O506" s="1" t="s">
        <v>3812</v>
      </c>
      <c r="P506" s="1" t="s">
        <v>3128</v>
      </c>
      <c r="Q506" s="3">
        <v>44967</v>
      </c>
      <c r="R506" s="3">
        <v>44967</v>
      </c>
      <c r="S506" s="3">
        <v>45214</v>
      </c>
      <c r="T506" s="35"/>
      <c r="U506" s="3"/>
      <c r="V506" s="3"/>
      <c r="W506" s="50"/>
      <c r="X506" s="9">
        <v>9250200</v>
      </c>
      <c r="Y506" s="9">
        <v>6475136</v>
      </c>
      <c r="Z506" s="34">
        <f t="shared" si="19"/>
        <v>0.58823544374504944</v>
      </c>
      <c r="AA506" s="1">
        <v>12545859</v>
      </c>
      <c r="AB506" s="1" t="s">
        <v>2632</v>
      </c>
      <c r="AC506" s="1"/>
      <c r="AD506" s="1"/>
      <c r="AE506" s="3"/>
      <c r="AF506" s="194" t="s">
        <v>3813</v>
      </c>
      <c r="AG506" s="15" t="s">
        <v>192</v>
      </c>
      <c r="AH506" s="15" t="s">
        <v>192</v>
      </c>
    </row>
    <row r="507" spans="1:34" s="4" customFormat="1" x14ac:dyDescent="0.25">
      <c r="A507" s="16">
        <v>891780477</v>
      </c>
      <c r="B507" s="16" t="s">
        <v>54</v>
      </c>
      <c r="C507" s="14" t="s">
        <v>2627</v>
      </c>
      <c r="D507" s="16" t="s">
        <v>60</v>
      </c>
      <c r="E507" s="1" t="s">
        <v>3814</v>
      </c>
      <c r="F507" s="16" t="s">
        <v>61</v>
      </c>
      <c r="G507" s="1" t="s">
        <v>69</v>
      </c>
      <c r="H507" s="1" t="s">
        <v>2629</v>
      </c>
      <c r="I507" s="9">
        <v>15725336</v>
      </c>
      <c r="J507" s="94"/>
      <c r="K507" s="2"/>
      <c r="L507" s="2"/>
      <c r="M507" s="40">
        <f t="shared" si="20"/>
        <v>15725336</v>
      </c>
      <c r="N507" s="1">
        <v>1085263803</v>
      </c>
      <c r="O507" s="1" t="s">
        <v>3815</v>
      </c>
      <c r="P507" s="1" t="s">
        <v>3128</v>
      </c>
      <c r="Q507" s="3">
        <v>44967</v>
      </c>
      <c r="R507" s="3">
        <v>44967</v>
      </c>
      <c r="S507" s="3">
        <v>45214</v>
      </c>
      <c r="T507" s="35"/>
      <c r="U507" s="3"/>
      <c r="V507" s="3"/>
      <c r="W507" s="50"/>
      <c r="X507" s="9">
        <v>9250200</v>
      </c>
      <c r="Y507" s="9">
        <v>6475136</v>
      </c>
      <c r="Z507" s="34">
        <f t="shared" si="19"/>
        <v>0.58823544374504944</v>
      </c>
      <c r="AA507" s="1">
        <v>12545859</v>
      </c>
      <c r="AB507" s="1" t="s">
        <v>2632</v>
      </c>
      <c r="AC507" s="1"/>
      <c r="AD507" s="1"/>
      <c r="AE507" s="3"/>
      <c r="AF507" s="194" t="s">
        <v>3816</v>
      </c>
      <c r="AG507" s="15" t="s">
        <v>192</v>
      </c>
      <c r="AH507" s="15" t="s">
        <v>192</v>
      </c>
    </row>
    <row r="508" spans="1:34" s="4" customFormat="1" x14ac:dyDescent="0.25">
      <c r="A508" s="16">
        <v>891780478</v>
      </c>
      <c r="B508" s="16" t="s">
        <v>54</v>
      </c>
      <c r="C508" s="14" t="s">
        <v>2627</v>
      </c>
      <c r="D508" s="16" t="s">
        <v>60</v>
      </c>
      <c r="E508" s="1" t="s">
        <v>3817</v>
      </c>
      <c r="F508" s="16" t="s">
        <v>61</v>
      </c>
      <c r="G508" s="1" t="s">
        <v>69</v>
      </c>
      <c r="H508" s="1" t="s">
        <v>2629</v>
      </c>
      <c r="I508" s="9">
        <v>15725336</v>
      </c>
      <c r="J508" s="94"/>
      <c r="K508" s="2"/>
      <c r="L508" s="2"/>
      <c r="M508" s="40">
        <f t="shared" si="20"/>
        <v>15725336</v>
      </c>
      <c r="N508" s="1">
        <v>60323839</v>
      </c>
      <c r="O508" s="1" t="s">
        <v>3818</v>
      </c>
      <c r="P508" s="1" t="s">
        <v>3128</v>
      </c>
      <c r="Q508" s="3">
        <v>44967</v>
      </c>
      <c r="R508" s="3">
        <v>44967</v>
      </c>
      <c r="S508" s="3">
        <v>45214</v>
      </c>
      <c r="T508" s="35"/>
      <c r="U508" s="3"/>
      <c r="V508" s="3"/>
      <c r="W508" s="50"/>
      <c r="X508" s="9">
        <v>9250200</v>
      </c>
      <c r="Y508" s="9">
        <v>6475136</v>
      </c>
      <c r="Z508" s="34">
        <f t="shared" si="19"/>
        <v>0.58823544374504944</v>
      </c>
      <c r="AA508" s="1">
        <v>12545859</v>
      </c>
      <c r="AB508" s="1" t="s">
        <v>2632</v>
      </c>
      <c r="AC508" s="1"/>
      <c r="AD508" s="1"/>
      <c r="AE508" s="3"/>
      <c r="AF508" s="194" t="s">
        <v>3819</v>
      </c>
      <c r="AG508" s="15" t="s">
        <v>192</v>
      </c>
      <c r="AH508" s="15" t="s">
        <v>192</v>
      </c>
    </row>
    <row r="509" spans="1:34" s="4" customFormat="1" x14ac:dyDescent="0.25">
      <c r="A509" s="16">
        <v>891780479</v>
      </c>
      <c r="B509" s="16" t="s">
        <v>54</v>
      </c>
      <c r="C509" s="14" t="s">
        <v>2627</v>
      </c>
      <c r="D509" s="16" t="s">
        <v>60</v>
      </c>
      <c r="E509" s="1" t="s">
        <v>3820</v>
      </c>
      <c r="F509" s="16" t="s">
        <v>61</v>
      </c>
      <c r="G509" s="1" t="s">
        <v>69</v>
      </c>
      <c r="H509" s="1" t="s">
        <v>2629</v>
      </c>
      <c r="I509" s="9">
        <v>22848000.000000004</v>
      </c>
      <c r="J509" s="94"/>
      <c r="K509" s="2"/>
      <c r="L509" s="2"/>
      <c r="M509" s="40">
        <f t="shared" si="20"/>
        <v>22848000.000000004</v>
      </c>
      <c r="N509" s="1">
        <v>1087047043</v>
      </c>
      <c r="O509" s="1" t="s">
        <v>3821</v>
      </c>
      <c r="P509" s="1" t="s">
        <v>3822</v>
      </c>
      <c r="Q509" s="3">
        <v>44967</v>
      </c>
      <c r="R509" s="3">
        <v>44967</v>
      </c>
      <c r="S509" s="3">
        <v>45214</v>
      </c>
      <c r="T509" s="35"/>
      <c r="U509" s="3"/>
      <c r="V509" s="3"/>
      <c r="W509" s="50"/>
      <c r="X509" s="9">
        <v>13440000.000000004</v>
      </c>
      <c r="Y509" s="9">
        <v>9408000</v>
      </c>
      <c r="Z509" s="34">
        <f t="shared" si="19"/>
        <v>0.58823529411764708</v>
      </c>
      <c r="AA509" s="1">
        <v>12545859</v>
      </c>
      <c r="AB509" s="1" t="s">
        <v>2632</v>
      </c>
      <c r="AC509" s="1"/>
      <c r="AD509" s="1"/>
      <c r="AE509" s="3"/>
      <c r="AF509" s="194" t="s">
        <v>3823</v>
      </c>
      <c r="AG509" s="15" t="s">
        <v>192</v>
      </c>
      <c r="AH509" s="15" t="s">
        <v>192</v>
      </c>
    </row>
    <row r="510" spans="1:34" s="4" customFormat="1" x14ac:dyDescent="0.25">
      <c r="A510" s="16">
        <v>891780480</v>
      </c>
      <c r="B510" s="16" t="s">
        <v>54</v>
      </c>
      <c r="C510" s="14" t="s">
        <v>2627</v>
      </c>
      <c r="D510" s="16" t="s">
        <v>60</v>
      </c>
      <c r="E510" s="1" t="s">
        <v>3824</v>
      </c>
      <c r="F510" s="16" t="s">
        <v>61</v>
      </c>
      <c r="G510" s="1" t="s">
        <v>69</v>
      </c>
      <c r="H510" s="1" t="s">
        <v>2629</v>
      </c>
      <c r="I510" s="9">
        <v>19656668</v>
      </c>
      <c r="J510" s="94"/>
      <c r="K510" s="2"/>
      <c r="L510" s="2"/>
      <c r="M510" s="40">
        <f t="shared" si="20"/>
        <v>19656668</v>
      </c>
      <c r="N510" s="1">
        <v>52506924</v>
      </c>
      <c r="O510" s="1" t="s">
        <v>3825</v>
      </c>
      <c r="P510" s="1" t="s">
        <v>3826</v>
      </c>
      <c r="Q510" s="3">
        <v>44967</v>
      </c>
      <c r="R510" s="3">
        <v>44967</v>
      </c>
      <c r="S510" s="3">
        <v>45214</v>
      </c>
      <c r="T510" s="35"/>
      <c r="U510" s="3"/>
      <c r="V510" s="3"/>
      <c r="W510" s="50"/>
      <c r="X510" s="9">
        <v>11562745</v>
      </c>
      <c r="Y510" s="9">
        <v>8093923</v>
      </c>
      <c r="Z510" s="34">
        <f t="shared" si="19"/>
        <v>0.58823524922942183</v>
      </c>
      <c r="AA510" s="1">
        <v>12545859</v>
      </c>
      <c r="AB510" s="1" t="s">
        <v>2632</v>
      </c>
      <c r="AC510" s="1"/>
      <c r="AD510" s="1"/>
      <c r="AE510" s="3"/>
      <c r="AF510" s="194" t="s">
        <v>3827</v>
      </c>
      <c r="AG510" s="15" t="s">
        <v>192</v>
      </c>
      <c r="AH510" s="15" t="s">
        <v>192</v>
      </c>
    </row>
    <row r="511" spans="1:34" s="4" customFormat="1" x14ac:dyDescent="0.25">
      <c r="A511" s="16">
        <v>891780481</v>
      </c>
      <c r="B511" s="16" t="s">
        <v>54</v>
      </c>
      <c r="C511" s="14" t="s">
        <v>2627</v>
      </c>
      <c r="D511" s="16" t="s">
        <v>60</v>
      </c>
      <c r="E511" s="1" t="s">
        <v>3828</v>
      </c>
      <c r="F511" s="16" t="s">
        <v>61</v>
      </c>
      <c r="G511" s="1" t="s">
        <v>69</v>
      </c>
      <c r="H511" s="1" t="s">
        <v>2629</v>
      </c>
      <c r="I511" s="9">
        <v>19425415</v>
      </c>
      <c r="J511" s="94"/>
      <c r="K511" s="2"/>
      <c r="L511" s="2"/>
      <c r="M511" s="40">
        <f t="shared" si="20"/>
        <v>19425415</v>
      </c>
      <c r="N511" s="1">
        <v>39573680</v>
      </c>
      <c r="O511" s="1" t="s">
        <v>3829</v>
      </c>
      <c r="P511" s="1" t="s">
        <v>2651</v>
      </c>
      <c r="Q511" s="3">
        <v>44967</v>
      </c>
      <c r="R511" s="3">
        <v>44967</v>
      </c>
      <c r="S511" s="3">
        <v>45275</v>
      </c>
      <c r="T511" s="35"/>
      <c r="U511" s="3"/>
      <c r="V511" s="3"/>
      <c r="W511" s="50"/>
      <c r="X511" s="9">
        <v>9250200</v>
      </c>
      <c r="Y511" s="9">
        <v>10175215</v>
      </c>
      <c r="Z511" s="34">
        <f t="shared" si="19"/>
        <v>0.47619059875940872</v>
      </c>
      <c r="AA511" s="1">
        <v>12545859</v>
      </c>
      <c r="AB511" s="1" t="s">
        <v>2632</v>
      </c>
      <c r="AC511" s="1"/>
      <c r="AD511" s="1"/>
      <c r="AE511" s="3"/>
      <c r="AF511" s="194" t="s">
        <v>3830</v>
      </c>
      <c r="AG511" s="15" t="s">
        <v>192</v>
      </c>
      <c r="AH511" s="15" t="s">
        <v>192</v>
      </c>
    </row>
    <row r="512" spans="1:34" s="4" customFormat="1" x14ac:dyDescent="0.25">
      <c r="A512" s="16">
        <v>891780482</v>
      </c>
      <c r="B512" s="16" t="s">
        <v>54</v>
      </c>
      <c r="C512" s="14" t="s">
        <v>2627</v>
      </c>
      <c r="D512" s="16" t="s">
        <v>60</v>
      </c>
      <c r="E512" s="1" t="s">
        <v>3831</v>
      </c>
      <c r="F512" s="16" t="s">
        <v>61</v>
      </c>
      <c r="G512" s="1" t="s">
        <v>69</v>
      </c>
      <c r="H512" s="1" t="s">
        <v>2629</v>
      </c>
      <c r="I512" s="9">
        <v>21029244</v>
      </c>
      <c r="J512" s="94"/>
      <c r="K512" s="2"/>
      <c r="L512" s="2"/>
      <c r="M512" s="40">
        <f t="shared" si="20"/>
        <v>21029244</v>
      </c>
      <c r="N512" s="1">
        <v>83237964</v>
      </c>
      <c r="O512" s="1" t="s">
        <v>3832</v>
      </c>
      <c r="P512" s="1" t="s">
        <v>2651</v>
      </c>
      <c r="Q512" s="3">
        <v>44967</v>
      </c>
      <c r="R512" s="3">
        <v>44967</v>
      </c>
      <c r="S512" s="3">
        <v>45275</v>
      </c>
      <c r="T512" s="35"/>
      <c r="U512" s="3"/>
      <c r="V512" s="3"/>
      <c r="W512" s="50"/>
      <c r="X512" s="9">
        <v>4005570</v>
      </c>
      <c r="Y512" s="9">
        <v>17023674</v>
      </c>
      <c r="Z512" s="34">
        <f t="shared" si="19"/>
        <v>0.1904761768896685</v>
      </c>
      <c r="AA512" s="1">
        <v>12545859</v>
      </c>
      <c r="AB512" s="1" t="s">
        <v>2632</v>
      </c>
      <c r="AC512" s="1"/>
      <c r="AD512" s="1"/>
      <c r="AE512" s="3"/>
      <c r="AF512" s="194" t="s">
        <v>3833</v>
      </c>
      <c r="AG512" s="15" t="s">
        <v>192</v>
      </c>
      <c r="AH512" s="15" t="s">
        <v>192</v>
      </c>
    </row>
    <row r="513" spans="1:34" s="4" customFormat="1" x14ac:dyDescent="0.25">
      <c r="A513" s="16">
        <v>891780483</v>
      </c>
      <c r="B513" s="16" t="s">
        <v>54</v>
      </c>
      <c r="C513" s="14" t="s">
        <v>2627</v>
      </c>
      <c r="D513" s="16" t="s">
        <v>60</v>
      </c>
      <c r="E513" s="1" t="s">
        <v>3834</v>
      </c>
      <c r="F513" s="16" t="s">
        <v>61</v>
      </c>
      <c r="G513" s="1" t="s">
        <v>69</v>
      </c>
      <c r="H513" s="1" t="s">
        <v>2629</v>
      </c>
      <c r="I513" s="9">
        <v>53762824</v>
      </c>
      <c r="J513" s="94">
        <v>2</v>
      </c>
      <c r="K513" s="2">
        <v>10203176</v>
      </c>
      <c r="L513" s="2">
        <v>14250001</v>
      </c>
      <c r="M513" s="40">
        <f t="shared" si="20"/>
        <v>49715999</v>
      </c>
      <c r="N513" s="1">
        <v>1111769345</v>
      </c>
      <c r="O513" s="1" t="s">
        <v>3835</v>
      </c>
      <c r="P513" s="1" t="s">
        <v>3836</v>
      </c>
      <c r="Q513" s="3">
        <v>44967</v>
      </c>
      <c r="R513" s="3">
        <v>44967</v>
      </c>
      <c r="S513" s="3">
        <v>45275</v>
      </c>
      <c r="T513" s="35"/>
      <c r="U513" s="3"/>
      <c r="V513" s="3"/>
      <c r="W513" s="50"/>
      <c r="X513" s="9">
        <v>13471109</v>
      </c>
      <c r="Y513" s="9">
        <f>M513-X513</f>
        <v>36244890</v>
      </c>
      <c r="Z513" s="34">
        <f t="shared" si="19"/>
        <v>0.27096124529248622</v>
      </c>
      <c r="AA513" s="1">
        <v>12545859</v>
      </c>
      <c r="AB513" s="1" t="s">
        <v>2632</v>
      </c>
      <c r="AC513" s="1"/>
      <c r="AD513" s="1"/>
      <c r="AE513" s="3"/>
      <c r="AF513" s="194" t="s">
        <v>3837</v>
      </c>
      <c r="AG513" s="15" t="s">
        <v>192</v>
      </c>
      <c r="AH513" s="15" t="s">
        <v>192</v>
      </c>
    </row>
    <row r="514" spans="1:34" s="4" customFormat="1" x14ac:dyDescent="0.25">
      <c r="A514" s="16">
        <v>891780484</v>
      </c>
      <c r="B514" s="16" t="s">
        <v>54</v>
      </c>
      <c r="C514" s="14" t="s">
        <v>2627</v>
      </c>
      <c r="D514" s="16" t="s">
        <v>60</v>
      </c>
      <c r="E514" s="1" t="s">
        <v>3838</v>
      </c>
      <c r="F514" s="16" t="s">
        <v>61</v>
      </c>
      <c r="G514" s="1" t="s">
        <v>69</v>
      </c>
      <c r="H514" s="1" t="s">
        <v>2629</v>
      </c>
      <c r="I514" s="9">
        <v>15725336</v>
      </c>
      <c r="J514" s="94"/>
      <c r="K514" s="2"/>
      <c r="L514" s="2"/>
      <c r="M514" s="40">
        <f t="shared" si="20"/>
        <v>15725336</v>
      </c>
      <c r="N514" s="1">
        <v>78757699</v>
      </c>
      <c r="O514" s="1" t="s">
        <v>3839</v>
      </c>
      <c r="P514" s="1" t="s">
        <v>3128</v>
      </c>
      <c r="Q514" s="3">
        <v>44967</v>
      </c>
      <c r="R514" s="3">
        <v>44967</v>
      </c>
      <c r="S514" s="3">
        <v>45214</v>
      </c>
      <c r="T514" s="35"/>
      <c r="U514" s="3"/>
      <c r="V514" s="3"/>
      <c r="W514" s="50"/>
      <c r="X514" s="9">
        <v>9250200</v>
      </c>
      <c r="Y514" s="9">
        <v>6475136</v>
      </c>
      <c r="Z514" s="34">
        <f t="shared" si="19"/>
        <v>0.58823544374504944</v>
      </c>
      <c r="AA514" s="1">
        <v>12545859</v>
      </c>
      <c r="AB514" s="1" t="s">
        <v>2632</v>
      </c>
      <c r="AC514" s="1"/>
      <c r="AD514" s="1"/>
      <c r="AE514" s="3"/>
      <c r="AF514" s="194" t="s">
        <v>3840</v>
      </c>
      <c r="AG514" s="15" t="s">
        <v>192</v>
      </c>
      <c r="AH514" s="15" t="s">
        <v>192</v>
      </c>
    </row>
    <row r="515" spans="1:34" s="4" customFormat="1" x14ac:dyDescent="0.25">
      <c r="A515" s="16">
        <v>891780485</v>
      </c>
      <c r="B515" s="16" t="s">
        <v>54</v>
      </c>
      <c r="C515" s="14" t="s">
        <v>2627</v>
      </c>
      <c r="D515" s="16" t="s">
        <v>60</v>
      </c>
      <c r="E515" s="1" t="s">
        <v>3841</v>
      </c>
      <c r="F515" s="16" t="s">
        <v>61</v>
      </c>
      <c r="G515" s="1" t="s">
        <v>69</v>
      </c>
      <c r="H515" s="1" t="s">
        <v>2629</v>
      </c>
      <c r="I515" s="9">
        <v>15725336</v>
      </c>
      <c r="J515" s="94"/>
      <c r="K515" s="2"/>
      <c r="L515" s="2"/>
      <c r="M515" s="40">
        <f t="shared" si="20"/>
        <v>15725336</v>
      </c>
      <c r="N515" s="1">
        <v>1085170561</v>
      </c>
      <c r="O515" s="1" t="s">
        <v>3842</v>
      </c>
      <c r="P515" s="1" t="s">
        <v>3128</v>
      </c>
      <c r="Q515" s="3">
        <v>44967</v>
      </c>
      <c r="R515" s="3">
        <v>44967</v>
      </c>
      <c r="S515" s="3">
        <v>45214</v>
      </c>
      <c r="T515" s="35"/>
      <c r="U515" s="3"/>
      <c r="V515" s="3"/>
      <c r="W515" s="50"/>
      <c r="X515" s="9">
        <v>9250200</v>
      </c>
      <c r="Y515" s="9">
        <v>6475136</v>
      </c>
      <c r="Z515" s="34">
        <f t="shared" si="19"/>
        <v>0.58823544374504944</v>
      </c>
      <c r="AA515" s="1">
        <v>12545859</v>
      </c>
      <c r="AB515" s="1" t="s">
        <v>2632</v>
      </c>
      <c r="AC515" s="1"/>
      <c r="AD515" s="1"/>
      <c r="AE515" s="3"/>
      <c r="AF515" s="194" t="s">
        <v>3843</v>
      </c>
      <c r="AG515" s="15" t="s">
        <v>192</v>
      </c>
      <c r="AH515" s="15" t="s">
        <v>192</v>
      </c>
    </row>
    <row r="516" spans="1:34" s="4" customFormat="1" x14ac:dyDescent="0.25">
      <c r="A516" s="16">
        <v>891780486</v>
      </c>
      <c r="B516" s="16" t="s">
        <v>54</v>
      </c>
      <c r="C516" s="14" t="s">
        <v>2627</v>
      </c>
      <c r="D516" s="16" t="s">
        <v>60</v>
      </c>
      <c r="E516" s="1" t="s">
        <v>3844</v>
      </c>
      <c r="F516" s="16" t="s">
        <v>61</v>
      </c>
      <c r="G516" s="1" t="s">
        <v>69</v>
      </c>
      <c r="H516" s="1" t="s">
        <v>2629</v>
      </c>
      <c r="I516" s="9">
        <v>37292362</v>
      </c>
      <c r="J516" s="94"/>
      <c r="K516" s="2"/>
      <c r="L516" s="2"/>
      <c r="M516" s="40">
        <f t="shared" si="20"/>
        <v>37292362</v>
      </c>
      <c r="N516" s="1">
        <v>36559849</v>
      </c>
      <c r="O516" s="1" t="s">
        <v>3845</v>
      </c>
      <c r="P516" s="1" t="s">
        <v>3846</v>
      </c>
      <c r="Q516" s="3">
        <v>44967</v>
      </c>
      <c r="R516" s="3">
        <v>44967</v>
      </c>
      <c r="S516" s="3">
        <v>45275</v>
      </c>
      <c r="T516" s="35"/>
      <c r="U516" s="3"/>
      <c r="V516" s="3"/>
      <c r="W516" s="50"/>
      <c r="X516" s="9">
        <v>17758270</v>
      </c>
      <c r="Y516" s="9">
        <v>19534092</v>
      </c>
      <c r="Z516" s="34">
        <f t="shared" si="19"/>
        <v>0.47619054003605349</v>
      </c>
      <c r="AA516" s="1">
        <v>12545859</v>
      </c>
      <c r="AB516" s="1" t="s">
        <v>2632</v>
      </c>
      <c r="AC516" s="1"/>
      <c r="AD516" s="1"/>
      <c r="AE516" s="3"/>
      <c r="AF516" s="194" t="s">
        <v>3847</v>
      </c>
      <c r="AG516" s="15" t="s">
        <v>192</v>
      </c>
      <c r="AH516" s="15" t="s">
        <v>192</v>
      </c>
    </row>
    <row r="517" spans="1:34" s="4" customFormat="1" x14ac:dyDescent="0.25">
      <c r="A517" s="16">
        <v>891780487</v>
      </c>
      <c r="B517" s="16" t="s">
        <v>54</v>
      </c>
      <c r="C517" s="14" t="s">
        <v>2627</v>
      </c>
      <c r="D517" s="16" t="s">
        <v>60</v>
      </c>
      <c r="E517" s="1" t="s">
        <v>3848</v>
      </c>
      <c r="F517" s="16" t="s">
        <v>61</v>
      </c>
      <c r="G517" s="1" t="s">
        <v>69</v>
      </c>
      <c r="H517" s="1" t="s">
        <v>2629</v>
      </c>
      <c r="I517" s="9">
        <v>31616929</v>
      </c>
      <c r="J517" s="94"/>
      <c r="K517" s="2"/>
      <c r="L517" s="2"/>
      <c r="M517" s="40">
        <f t="shared" si="20"/>
        <v>31616929</v>
      </c>
      <c r="N517" s="1">
        <v>39048264</v>
      </c>
      <c r="O517" s="1" t="s">
        <v>3849</v>
      </c>
      <c r="P517" s="1" t="s">
        <v>3850</v>
      </c>
      <c r="Q517" s="3">
        <v>44967</v>
      </c>
      <c r="R517" s="3">
        <v>44967</v>
      </c>
      <c r="S517" s="3">
        <v>45214</v>
      </c>
      <c r="T517" s="35"/>
      <c r="U517" s="3"/>
      <c r="V517" s="3"/>
      <c r="W517" s="50"/>
      <c r="X517" s="9">
        <v>18598195</v>
      </c>
      <c r="Y517" s="9">
        <v>13018734</v>
      </c>
      <c r="Z517" s="34">
        <f t="shared" ref="Z517:Z580" si="21">+(X517/M517)</f>
        <v>0.58823534063033134</v>
      </c>
      <c r="AA517" s="1">
        <v>12545859</v>
      </c>
      <c r="AB517" s="1" t="s">
        <v>2632</v>
      </c>
      <c r="AC517" s="1"/>
      <c r="AD517" s="1"/>
      <c r="AE517" s="3"/>
      <c r="AF517" s="194" t="s">
        <v>3851</v>
      </c>
      <c r="AG517" s="15" t="s">
        <v>192</v>
      </c>
      <c r="AH517" s="15" t="s">
        <v>192</v>
      </c>
    </row>
    <row r="518" spans="1:34" s="4" customFormat="1" x14ac:dyDescent="0.25">
      <c r="A518" s="16">
        <v>891780488</v>
      </c>
      <c r="B518" s="16" t="s">
        <v>54</v>
      </c>
      <c r="C518" s="14" t="s">
        <v>2627</v>
      </c>
      <c r="D518" s="16" t="s">
        <v>60</v>
      </c>
      <c r="E518" s="1" t="s">
        <v>3852</v>
      </c>
      <c r="F518" s="16" t="s">
        <v>61</v>
      </c>
      <c r="G518" s="1" t="s">
        <v>69</v>
      </c>
      <c r="H518" s="1" t="s">
        <v>2629</v>
      </c>
      <c r="I518" s="9">
        <v>15725336</v>
      </c>
      <c r="J518" s="94"/>
      <c r="K518" s="2"/>
      <c r="L518" s="2"/>
      <c r="M518" s="40">
        <f t="shared" ref="M518:M581" si="22">I518+K518-L518</f>
        <v>15725336</v>
      </c>
      <c r="N518" s="1">
        <v>1121879687</v>
      </c>
      <c r="O518" s="1" t="s">
        <v>3853</v>
      </c>
      <c r="P518" s="1" t="s">
        <v>3128</v>
      </c>
      <c r="Q518" s="3">
        <v>44967</v>
      </c>
      <c r="R518" s="3">
        <v>44967</v>
      </c>
      <c r="S518" s="3">
        <v>45214</v>
      </c>
      <c r="T518" s="35"/>
      <c r="U518" s="3"/>
      <c r="V518" s="3"/>
      <c r="W518" s="50"/>
      <c r="X518" s="9">
        <v>9250200</v>
      </c>
      <c r="Y518" s="9">
        <v>6475136</v>
      </c>
      <c r="Z518" s="34">
        <f t="shared" si="21"/>
        <v>0.58823544374504944</v>
      </c>
      <c r="AA518" s="1">
        <v>12545859</v>
      </c>
      <c r="AB518" s="1" t="s">
        <v>2632</v>
      </c>
      <c r="AC518" s="1"/>
      <c r="AD518" s="1"/>
      <c r="AE518" s="3"/>
      <c r="AF518" s="194" t="s">
        <v>3854</v>
      </c>
      <c r="AG518" s="15" t="s">
        <v>192</v>
      </c>
      <c r="AH518" s="15" t="s">
        <v>192</v>
      </c>
    </row>
    <row r="519" spans="1:34" s="4" customFormat="1" x14ac:dyDescent="0.25">
      <c r="A519" s="16">
        <v>891780489</v>
      </c>
      <c r="B519" s="16" t="s">
        <v>54</v>
      </c>
      <c r="C519" s="14" t="s">
        <v>2627</v>
      </c>
      <c r="D519" s="16" t="s">
        <v>60</v>
      </c>
      <c r="E519" s="1" t="s">
        <v>3855</v>
      </c>
      <c r="F519" s="16" t="s">
        <v>61</v>
      </c>
      <c r="G519" s="1" t="s">
        <v>69</v>
      </c>
      <c r="H519" s="1" t="s">
        <v>2629</v>
      </c>
      <c r="I519" s="9">
        <v>53762824</v>
      </c>
      <c r="J519" s="94"/>
      <c r="K519" s="2"/>
      <c r="L519" s="2"/>
      <c r="M519" s="40">
        <f t="shared" si="22"/>
        <v>53762824</v>
      </c>
      <c r="N519" s="1">
        <v>1053851308</v>
      </c>
      <c r="O519" s="1" t="s">
        <v>3856</v>
      </c>
      <c r="P519" s="1" t="s">
        <v>3836</v>
      </c>
      <c r="Q519" s="3">
        <v>44967</v>
      </c>
      <c r="R519" s="3">
        <v>44967</v>
      </c>
      <c r="S519" s="3">
        <v>45275</v>
      </c>
      <c r="T519" s="35"/>
      <c r="U519" s="3"/>
      <c r="V519" s="3"/>
      <c r="W519" s="50"/>
      <c r="X519" s="9">
        <v>18815630</v>
      </c>
      <c r="Y519" s="9">
        <v>34947194</v>
      </c>
      <c r="Z519" s="34">
        <f t="shared" si="21"/>
        <v>0.34997473347010194</v>
      </c>
      <c r="AA519" s="1">
        <v>12545859</v>
      </c>
      <c r="AB519" s="1" t="s">
        <v>2632</v>
      </c>
      <c r="AC519" s="1"/>
      <c r="AD519" s="1"/>
      <c r="AE519" s="3"/>
      <c r="AF519" s="194" t="s">
        <v>3857</v>
      </c>
      <c r="AG519" s="15" t="s">
        <v>192</v>
      </c>
      <c r="AH519" s="15"/>
    </row>
    <row r="520" spans="1:34" s="4" customFormat="1" x14ac:dyDescent="0.25">
      <c r="A520" s="16">
        <v>891780490</v>
      </c>
      <c r="B520" s="16" t="s">
        <v>54</v>
      </c>
      <c r="C520" s="14" t="s">
        <v>2627</v>
      </c>
      <c r="D520" s="16" t="s">
        <v>60</v>
      </c>
      <c r="E520" s="1" t="s">
        <v>3858</v>
      </c>
      <c r="F520" s="16" t="s">
        <v>61</v>
      </c>
      <c r="G520" s="1" t="s">
        <v>69</v>
      </c>
      <c r="H520" s="1" t="s">
        <v>2629</v>
      </c>
      <c r="I520" s="9">
        <v>64313108</v>
      </c>
      <c r="J520" s="94">
        <v>1</v>
      </c>
      <c r="K520" s="2"/>
      <c r="L520" s="2">
        <v>14250001</v>
      </c>
      <c r="M520" s="40">
        <f t="shared" si="22"/>
        <v>50063107</v>
      </c>
      <c r="N520" s="1">
        <v>91437155</v>
      </c>
      <c r="O520" s="1" t="s">
        <v>3859</v>
      </c>
      <c r="P520" s="1" t="s">
        <v>3860</v>
      </c>
      <c r="Q520" s="3">
        <v>44967</v>
      </c>
      <c r="R520" s="3">
        <v>44967</v>
      </c>
      <c r="S520" s="3">
        <v>45275</v>
      </c>
      <c r="T520" s="35"/>
      <c r="U520" s="3"/>
      <c r="V520" s="3"/>
      <c r="W520" s="50"/>
      <c r="X520" s="9">
        <v>23839575</v>
      </c>
      <c r="Y520" s="9">
        <v>26223532</v>
      </c>
      <c r="Z520" s="34">
        <f t="shared" si="21"/>
        <v>0.47619048094637834</v>
      </c>
      <c r="AA520" s="1">
        <v>12545859</v>
      </c>
      <c r="AB520" s="1" t="s">
        <v>2632</v>
      </c>
      <c r="AC520" s="1"/>
      <c r="AD520" s="1"/>
      <c r="AE520" s="3"/>
      <c r="AF520" s="194" t="s">
        <v>3861</v>
      </c>
      <c r="AG520" s="15" t="s">
        <v>192</v>
      </c>
      <c r="AH520" s="15" t="s">
        <v>192</v>
      </c>
    </row>
    <row r="521" spans="1:34" s="4" customFormat="1" x14ac:dyDescent="0.25">
      <c r="A521" s="16">
        <v>891780491</v>
      </c>
      <c r="B521" s="16" t="s">
        <v>54</v>
      </c>
      <c r="C521" s="14" t="s">
        <v>2627</v>
      </c>
      <c r="D521" s="16" t="s">
        <v>60</v>
      </c>
      <c r="E521" s="1" t="s">
        <v>3862</v>
      </c>
      <c r="F521" s="16" t="s">
        <v>61</v>
      </c>
      <c r="G521" s="1" t="s">
        <v>69</v>
      </c>
      <c r="H521" s="1" t="s">
        <v>2629</v>
      </c>
      <c r="I521" s="9">
        <v>67034816</v>
      </c>
      <c r="J521" s="94"/>
      <c r="K521" s="2"/>
      <c r="L521" s="2"/>
      <c r="M521" s="40">
        <f t="shared" si="22"/>
        <v>67034816</v>
      </c>
      <c r="N521" s="1">
        <v>79541443</v>
      </c>
      <c r="O521" s="1" t="s">
        <v>3863</v>
      </c>
      <c r="P521" s="1" t="s">
        <v>3864</v>
      </c>
      <c r="Q521" s="3">
        <v>44967</v>
      </c>
      <c r="R521" s="3">
        <v>44967</v>
      </c>
      <c r="S521" s="3">
        <v>45275</v>
      </c>
      <c r="T521" s="35"/>
      <c r="U521" s="3"/>
      <c r="V521" s="3"/>
      <c r="W521" s="50"/>
      <c r="X521" s="9">
        <v>31921340</v>
      </c>
      <c r="Y521" s="9">
        <v>35113476</v>
      </c>
      <c r="Z521" s="34">
        <f t="shared" si="21"/>
        <v>0.47619046198321779</v>
      </c>
      <c r="AA521" s="1">
        <v>12545859</v>
      </c>
      <c r="AB521" s="1" t="s">
        <v>2632</v>
      </c>
      <c r="AC521" s="1"/>
      <c r="AD521" s="1"/>
      <c r="AE521" s="3"/>
      <c r="AF521" s="194" t="s">
        <v>3865</v>
      </c>
      <c r="AG521" s="15" t="s">
        <v>192</v>
      </c>
      <c r="AH521" s="15" t="s">
        <v>192</v>
      </c>
    </row>
    <row r="522" spans="1:34" s="4" customFormat="1" x14ac:dyDescent="0.25">
      <c r="A522" s="16">
        <v>891780492</v>
      </c>
      <c r="B522" s="16" t="s">
        <v>54</v>
      </c>
      <c r="C522" s="14" t="s">
        <v>2627</v>
      </c>
      <c r="D522" s="16" t="s">
        <v>60</v>
      </c>
      <c r="E522" s="1" t="s">
        <v>3866</v>
      </c>
      <c r="F522" s="16" t="s">
        <v>61</v>
      </c>
      <c r="G522" s="1" t="s">
        <v>69</v>
      </c>
      <c r="H522" s="1" t="s">
        <v>2629</v>
      </c>
      <c r="I522" s="9">
        <v>32375697</v>
      </c>
      <c r="J522" s="94"/>
      <c r="K522" s="2"/>
      <c r="L522" s="2"/>
      <c r="M522" s="40">
        <f t="shared" si="22"/>
        <v>32375697</v>
      </c>
      <c r="N522" s="1">
        <v>1082907260</v>
      </c>
      <c r="O522" s="1" t="s">
        <v>3867</v>
      </c>
      <c r="P522" s="1" t="s">
        <v>3868</v>
      </c>
      <c r="Q522" s="3">
        <v>44967</v>
      </c>
      <c r="R522" s="3">
        <v>44967</v>
      </c>
      <c r="S522" s="3">
        <v>45275</v>
      </c>
      <c r="T522" s="35"/>
      <c r="U522" s="3"/>
      <c r="V522" s="3"/>
      <c r="W522" s="50"/>
      <c r="X522" s="9">
        <v>15417000</v>
      </c>
      <c r="Y522" s="9">
        <v>16958697</v>
      </c>
      <c r="Z522" s="34">
        <f t="shared" si="21"/>
        <v>0.47619052031528464</v>
      </c>
      <c r="AA522" s="1">
        <v>12545859</v>
      </c>
      <c r="AB522" s="1" t="s">
        <v>2632</v>
      </c>
      <c r="AC522" s="1"/>
      <c r="AD522" s="1"/>
      <c r="AE522" s="3"/>
      <c r="AF522" s="194" t="s">
        <v>3869</v>
      </c>
      <c r="AG522" s="15" t="s">
        <v>192</v>
      </c>
      <c r="AH522" s="15" t="s">
        <v>192</v>
      </c>
    </row>
    <row r="523" spans="1:34" s="4" customFormat="1" x14ac:dyDescent="0.25">
      <c r="A523" s="16">
        <v>891780493</v>
      </c>
      <c r="B523" s="16" t="s">
        <v>54</v>
      </c>
      <c r="C523" s="14" t="s">
        <v>2627</v>
      </c>
      <c r="D523" s="16" t="s">
        <v>60</v>
      </c>
      <c r="E523" s="1" t="s">
        <v>3870</v>
      </c>
      <c r="F523" s="16" t="s">
        <v>61</v>
      </c>
      <c r="G523" s="1" t="s">
        <v>69</v>
      </c>
      <c r="H523" s="1" t="s">
        <v>2629</v>
      </c>
      <c r="I523" s="9">
        <v>34965761</v>
      </c>
      <c r="J523" s="94"/>
      <c r="K523" s="2"/>
      <c r="L523" s="2"/>
      <c r="M523" s="40">
        <f t="shared" si="22"/>
        <v>34965761</v>
      </c>
      <c r="N523" s="1">
        <v>1079911413</v>
      </c>
      <c r="O523" s="1" t="s">
        <v>3871</v>
      </c>
      <c r="P523" s="1" t="s">
        <v>3872</v>
      </c>
      <c r="Q523" s="3">
        <v>44967</v>
      </c>
      <c r="R523" s="3">
        <v>44967</v>
      </c>
      <c r="S523" s="3">
        <v>45275</v>
      </c>
      <c r="T523" s="35"/>
      <c r="U523" s="3"/>
      <c r="V523" s="3"/>
      <c r="W523" s="50"/>
      <c r="X523" s="9">
        <v>16650360</v>
      </c>
      <c r="Y523" s="9">
        <v>18315401</v>
      </c>
      <c r="Z523" s="34">
        <f t="shared" si="21"/>
        <v>0.47619040809665203</v>
      </c>
      <c r="AA523" s="1">
        <v>12545859</v>
      </c>
      <c r="AB523" s="1" t="s">
        <v>2632</v>
      </c>
      <c r="AC523" s="1"/>
      <c r="AD523" s="1"/>
      <c r="AE523" s="3"/>
      <c r="AF523" s="194" t="s">
        <v>3873</v>
      </c>
      <c r="AG523" s="15" t="s">
        <v>192</v>
      </c>
      <c r="AH523" s="15" t="s">
        <v>192</v>
      </c>
    </row>
    <row r="524" spans="1:34" s="4" customFormat="1" x14ac:dyDescent="0.25">
      <c r="A524" s="16">
        <v>891780494</v>
      </c>
      <c r="B524" s="16" t="s">
        <v>54</v>
      </c>
      <c r="C524" s="14" t="s">
        <v>2627</v>
      </c>
      <c r="D524" s="16" t="s">
        <v>60</v>
      </c>
      <c r="E524" s="1" t="s">
        <v>3874</v>
      </c>
      <c r="F524" s="16" t="s">
        <v>61</v>
      </c>
      <c r="G524" s="1" t="s">
        <v>69</v>
      </c>
      <c r="H524" s="1" t="s">
        <v>2629</v>
      </c>
      <c r="I524" s="9">
        <v>30576000</v>
      </c>
      <c r="J524" s="94"/>
      <c r="K524" s="2"/>
      <c r="L524" s="2"/>
      <c r="M524" s="40">
        <f t="shared" si="22"/>
        <v>30576000</v>
      </c>
      <c r="N524" s="1" t="s">
        <v>3875</v>
      </c>
      <c r="O524" s="1" t="s">
        <v>3876</v>
      </c>
      <c r="P524" s="1" t="s">
        <v>3877</v>
      </c>
      <c r="Q524" s="3">
        <v>44967</v>
      </c>
      <c r="R524" s="3">
        <v>44967</v>
      </c>
      <c r="S524" s="3">
        <v>45275</v>
      </c>
      <c r="T524" s="35"/>
      <c r="U524" s="3"/>
      <c r="V524" s="3"/>
      <c r="W524" s="50"/>
      <c r="X524" s="9">
        <v>14560000</v>
      </c>
      <c r="Y524" s="9">
        <v>16016000</v>
      </c>
      <c r="Z524" s="34">
        <f t="shared" si="21"/>
        <v>0.47619047619047616</v>
      </c>
      <c r="AA524" s="1">
        <v>12545859</v>
      </c>
      <c r="AB524" s="1" t="s">
        <v>2632</v>
      </c>
      <c r="AC524" s="1"/>
      <c r="AD524" s="1"/>
      <c r="AE524" s="3"/>
      <c r="AF524" s="194" t="s">
        <v>3878</v>
      </c>
      <c r="AG524" s="15" t="s">
        <v>192</v>
      </c>
      <c r="AH524" s="15" t="s">
        <v>192</v>
      </c>
    </row>
    <row r="525" spans="1:34" s="4" customFormat="1" x14ac:dyDescent="0.25">
      <c r="A525" s="16">
        <v>891780495</v>
      </c>
      <c r="B525" s="16" t="s">
        <v>54</v>
      </c>
      <c r="C525" s="14" t="s">
        <v>2627</v>
      </c>
      <c r="D525" s="16" t="s">
        <v>60</v>
      </c>
      <c r="E525" s="1" t="s">
        <v>3879</v>
      </c>
      <c r="F525" s="16" t="s">
        <v>61</v>
      </c>
      <c r="G525" s="1" t="s">
        <v>69</v>
      </c>
      <c r="H525" s="1" t="s">
        <v>2629</v>
      </c>
      <c r="I525" s="9">
        <v>69713840</v>
      </c>
      <c r="J525" s="94"/>
      <c r="K525" s="2"/>
      <c r="L525" s="2"/>
      <c r="M525" s="40">
        <f t="shared" si="22"/>
        <v>69713840</v>
      </c>
      <c r="N525" s="1">
        <v>85465209</v>
      </c>
      <c r="O525" s="1" t="s">
        <v>3880</v>
      </c>
      <c r="P525" s="1" t="s">
        <v>3881</v>
      </c>
      <c r="Q525" s="3">
        <v>44967</v>
      </c>
      <c r="R525" s="3">
        <v>44967</v>
      </c>
      <c r="S525" s="3">
        <v>45275</v>
      </c>
      <c r="T525" s="35"/>
      <c r="U525" s="3"/>
      <c r="V525" s="3"/>
      <c r="W525" s="50"/>
      <c r="X525" s="9">
        <v>33197065</v>
      </c>
      <c r="Y525" s="9">
        <v>36516775</v>
      </c>
      <c r="Z525" s="34">
        <f t="shared" si="21"/>
        <v>0.47619045228321949</v>
      </c>
      <c r="AA525" s="1">
        <v>12545859</v>
      </c>
      <c r="AB525" s="1" t="s">
        <v>2632</v>
      </c>
      <c r="AC525" s="1"/>
      <c r="AD525" s="1"/>
      <c r="AE525" s="3"/>
      <c r="AF525" s="194" t="s">
        <v>3882</v>
      </c>
      <c r="AG525" s="15" t="s">
        <v>192</v>
      </c>
      <c r="AH525" s="15" t="s">
        <v>192</v>
      </c>
    </row>
    <row r="526" spans="1:34" s="4" customFormat="1" x14ac:dyDescent="0.25">
      <c r="A526" s="16">
        <v>891780496</v>
      </c>
      <c r="B526" s="16" t="s">
        <v>54</v>
      </c>
      <c r="C526" s="14" t="s">
        <v>2627</v>
      </c>
      <c r="D526" s="16" t="s">
        <v>60</v>
      </c>
      <c r="E526" s="1" t="s">
        <v>3883</v>
      </c>
      <c r="F526" s="16" t="s">
        <v>61</v>
      </c>
      <c r="G526" s="1" t="s">
        <v>69</v>
      </c>
      <c r="H526" s="1" t="s">
        <v>2629</v>
      </c>
      <c r="I526" s="9">
        <v>17650080</v>
      </c>
      <c r="J526" s="94"/>
      <c r="K526" s="2"/>
      <c r="L526" s="2"/>
      <c r="M526" s="40">
        <f t="shared" si="22"/>
        <v>17650080</v>
      </c>
      <c r="N526" s="1">
        <v>1083000989</v>
      </c>
      <c r="O526" s="1" t="s">
        <v>3884</v>
      </c>
      <c r="P526" s="1" t="s">
        <v>3885</v>
      </c>
      <c r="Q526" s="3">
        <v>44967</v>
      </c>
      <c r="R526" s="3">
        <v>44967</v>
      </c>
      <c r="S526" s="3">
        <v>45199</v>
      </c>
      <c r="T526" s="35"/>
      <c r="U526" s="3"/>
      <c r="V526" s="3"/>
      <c r="W526" s="50"/>
      <c r="X526" s="9">
        <v>11031300</v>
      </c>
      <c r="Y526" s="9">
        <v>6618780</v>
      </c>
      <c r="Z526" s="34">
        <f t="shared" si="21"/>
        <v>0.625</v>
      </c>
      <c r="AA526" s="1">
        <v>12545859</v>
      </c>
      <c r="AB526" s="1" t="s">
        <v>2632</v>
      </c>
      <c r="AC526" s="1"/>
      <c r="AD526" s="1"/>
      <c r="AE526" s="3"/>
      <c r="AF526" s="194" t="s">
        <v>3886</v>
      </c>
      <c r="AG526" s="15" t="s">
        <v>192</v>
      </c>
      <c r="AH526" s="15" t="s">
        <v>192</v>
      </c>
    </row>
    <row r="527" spans="1:34" s="4" customFormat="1" x14ac:dyDescent="0.25">
      <c r="A527" s="16">
        <v>891780497</v>
      </c>
      <c r="B527" s="16" t="s">
        <v>54</v>
      </c>
      <c r="C527" s="14" t="s">
        <v>2627</v>
      </c>
      <c r="D527" s="16" t="s">
        <v>60</v>
      </c>
      <c r="E527" s="1" t="s">
        <v>3887</v>
      </c>
      <c r="F527" s="16" t="s">
        <v>61</v>
      </c>
      <c r="G527" s="1" t="s">
        <v>69</v>
      </c>
      <c r="H527" s="1" t="s">
        <v>2629</v>
      </c>
      <c r="I527" s="9">
        <v>22848000.000000004</v>
      </c>
      <c r="J527" s="94"/>
      <c r="K527" s="2"/>
      <c r="L527" s="2"/>
      <c r="M527" s="40">
        <f t="shared" si="22"/>
        <v>22848000.000000004</v>
      </c>
      <c r="N527" s="1">
        <v>1083014806</v>
      </c>
      <c r="O527" s="1" t="s">
        <v>3888</v>
      </c>
      <c r="P527" s="1" t="s">
        <v>3889</v>
      </c>
      <c r="Q527" s="3">
        <v>44967</v>
      </c>
      <c r="R527" s="3">
        <v>44967</v>
      </c>
      <c r="S527" s="3">
        <v>45214</v>
      </c>
      <c r="T527" s="35"/>
      <c r="U527" s="3"/>
      <c r="V527" s="3"/>
      <c r="W527" s="50"/>
      <c r="X527" s="9">
        <v>13440000.000000004</v>
      </c>
      <c r="Y527" s="9">
        <v>9408000</v>
      </c>
      <c r="Z527" s="34">
        <f t="shared" si="21"/>
        <v>0.58823529411764708</v>
      </c>
      <c r="AA527" s="1">
        <v>12545859</v>
      </c>
      <c r="AB527" s="1" t="s">
        <v>2632</v>
      </c>
      <c r="AC527" s="1"/>
      <c r="AD527" s="1"/>
      <c r="AE527" s="3"/>
      <c r="AF527" s="194" t="s">
        <v>3890</v>
      </c>
      <c r="AG527" s="15" t="s">
        <v>192</v>
      </c>
      <c r="AH527" s="15" t="s">
        <v>192</v>
      </c>
    </row>
    <row r="528" spans="1:34" s="4" customFormat="1" x14ac:dyDescent="0.25">
      <c r="A528" s="16">
        <v>891780498</v>
      </c>
      <c r="B528" s="16" t="s">
        <v>54</v>
      </c>
      <c r="C528" s="14" t="s">
        <v>2627</v>
      </c>
      <c r="D528" s="16" t="s">
        <v>60</v>
      </c>
      <c r="E528" s="1" t="s">
        <v>3891</v>
      </c>
      <c r="F528" s="16" t="s">
        <v>61</v>
      </c>
      <c r="G528" s="1" t="s">
        <v>69</v>
      </c>
      <c r="H528" s="1" t="s">
        <v>2629</v>
      </c>
      <c r="I528" s="9">
        <v>28436240</v>
      </c>
      <c r="J528" s="94"/>
      <c r="K528" s="2"/>
      <c r="L528" s="2"/>
      <c r="M528" s="40">
        <f t="shared" si="22"/>
        <v>28436240</v>
      </c>
      <c r="N528" s="1">
        <v>36695203</v>
      </c>
      <c r="O528" s="1" t="s">
        <v>3892</v>
      </c>
      <c r="P528" s="1" t="s">
        <v>3893</v>
      </c>
      <c r="Q528" s="3">
        <v>44967</v>
      </c>
      <c r="R528" s="3">
        <v>44967</v>
      </c>
      <c r="S528" s="3">
        <v>45199</v>
      </c>
      <c r="T528" s="35"/>
      <c r="U528" s="3"/>
      <c r="V528" s="3"/>
      <c r="W528" s="50"/>
      <c r="X528" s="9">
        <v>17772650</v>
      </c>
      <c r="Y528" s="9">
        <v>10663590</v>
      </c>
      <c r="Z528" s="34">
        <f t="shared" si="21"/>
        <v>0.625</v>
      </c>
      <c r="AA528" s="1">
        <v>12545859</v>
      </c>
      <c r="AB528" s="1" t="s">
        <v>2632</v>
      </c>
      <c r="AC528" s="1"/>
      <c r="AD528" s="1"/>
      <c r="AE528" s="3"/>
      <c r="AF528" s="194" t="s">
        <v>3894</v>
      </c>
      <c r="AG528" s="15" t="s">
        <v>192</v>
      </c>
      <c r="AH528" s="15" t="s">
        <v>192</v>
      </c>
    </row>
    <row r="529" spans="1:34" s="4" customFormat="1" x14ac:dyDescent="0.25">
      <c r="A529" s="16">
        <v>891780499</v>
      </c>
      <c r="B529" s="16" t="s">
        <v>54</v>
      </c>
      <c r="C529" s="14" t="s">
        <v>2627</v>
      </c>
      <c r="D529" s="16" t="s">
        <v>60</v>
      </c>
      <c r="E529" s="1" t="s">
        <v>3895</v>
      </c>
      <c r="F529" s="16" t="s">
        <v>61</v>
      </c>
      <c r="G529" s="1" t="s">
        <v>69</v>
      </c>
      <c r="H529" s="1" t="s">
        <v>2629</v>
      </c>
      <c r="I529" s="9">
        <v>20469885</v>
      </c>
      <c r="J529" s="94"/>
      <c r="K529" s="2"/>
      <c r="L529" s="2"/>
      <c r="M529" s="40">
        <f t="shared" si="22"/>
        <v>20469885</v>
      </c>
      <c r="N529" s="1">
        <v>1110490275</v>
      </c>
      <c r="O529" s="1" t="s">
        <v>3896</v>
      </c>
      <c r="P529" s="1" t="s">
        <v>3897</v>
      </c>
      <c r="Q529" s="3">
        <v>44967</v>
      </c>
      <c r="R529" s="3">
        <v>44967</v>
      </c>
      <c r="S529" s="3">
        <v>45199</v>
      </c>
      <c r="T529" s="35"/>
      <c r="U529" s="3"/>
      <c r="V529" s="3"/>
      <c r="W529" s="50"/>
      <c r="X529" s="9">
        <v>12793680</v>
      </c>
      <c r="Y529" s="9">
        <v>7676205</v>
      </c>
      <c r="Z529" s="34">
        <f t="shared" si="21"/>
        <v>0.62500009159797432</v>
      </c>
      <c r="AA529" s="1">
        <v>12545859</v>
      </c>
      <c r="AB529" s="1" t="s">
        <v>2632</v>
      </c>
      <c r="AC529" s="1"/>
      <c r="AD529" s="1"/>
      <c r="AE529" s="3"/>
      <c r="AF529" s="194" t="s">
        <v>3898</v>
      </c>
      <c r="AG529" s="15" t="s">
        <v>192</v>
      </c>
      <c r="AH529" s="15" t="s">
        <v>192</v>
      </c>
    </row>
    <row r="530" spans="1:34" s="4" customFormat="1" x14ac:dyDescent="0.25">
      <c r="A530" s="16">
        <v>891780500</v>
      </c>
      <c r="B530" s="16" t="s">
        <v>54</v>
      </c>
      <c r="C530" s="14" t="s">
        <v>2627</v>
      </c>
      <c r="D530" s="16" t="s">
        <v>60</v>
      </c>
      <c r="E530" s="1" t="s">
        <v>3899</v>
      </c>
      <c r="F530" s="16" t="s">
        <v>61</v>
      </c>
      <c r="G530" s="1" t="s">
        <v>69</v>
      </c>
      <c r="H530" s="1" t="s">
        <v>2629</v>
      </c>
      <c r="I530" s="9">
        <v>20967115</v>
      </c>
      <c r="J530" s="94"/>
      <c r="K530" s="2"/>
      <c r="L530" s="2"/>
      <c r="M530" s="40">
        <f t="shared" si="22"/>
        <v>20967115</v>
      </c>
      <c r="N530" s="1">
        <v>19431312</v>
      </c>
      <c r="O530" s="1" t="s">
        <v>3900</v>
      </c>
      <c r="P530" s="1" t="s">
        <v>3901</v>
      </c>
      <c r="Q530" s="3">
        <v>44967</v>
      </c>
      <c r="R530" s="3">
        <v>44967</v>
      </c>
      <c r="S530" s="3">
        <v>45199</v>
      </c>
      <c r="T530" s="35"/>
      <c r="U530" s="3"/>
      <c r="V530" s="3"/>
      <c r="W530" s="50"/>
      <c r="X530" s="9">
        <v>13104445</v>
      </c>
      <c r="Y530" s="9">
        <v>7862670</v>
      </c>
      <c r="Z530" s="34">
        <f t="shared" si="21"/>
        <v>0.6249999105742492</v>
      </c>
      <c r="AA530" s="1">
        <v>12545859</v>
      </c>
      <c r="AB530" s="1" t="s">
        <v>2632</v>
      </c>
      <c r="AC530" s="1"/>
      <c r="AD530" s="1"/>
      <c r="AE530" s="3"/>
      <c r="AF530" s="194" t="s">
        <v>3902</v>
      </c>
      <c r="AG530" s="15" t="s">
        <v>192</v>
      </c>
      <c r="AH530" s="15" t="s">
        <v>192</v>
      </c>
    </row>
    <row r="531" spans="1:34" s="4" customFormat="1" x14ac:dyDescent="0.25">
      <c r="A531" s="16">
        <v>891780501</v>
      </c>
      <c r="B531" s="16" t="s">
        <v>54</v>
      </c>
      <c r="C531" s="14" t="s">
        <v>2627</v>
      </c>
      <c r="D531" s="16" t="s">
        <v>60</v>
      </c>
      <c r="E531" s="1" t="s">
        <v>3903</v>
      </c>
      <c r="F531" s="16" t="s">
        <v>61</v>
      </c>
      <c r="G531" s="1" t="s">
        <v>69</v>
      </c>
      <c r="H531" s="1" t="s">
        <v>2629</v>
      </c>
      <c r="I531" s="9">
        <v>28360080</v>
      </c>
      <c r="J531" s="94"/>
      <c r="K531" s="2"/>
      <c r="L531" s="2"/>
      <c r="M531" s="40">
        <f t="shared" si="22"/>
        <v>28360080</v>
      </c>
      <c r="N531" s="1">
        <v>1082961548</v>
      </c>
      <c r="O531" s="1" t="s">
        <v>3904</v>
      </c>
      <c r="P531" s="1" t="s">
        <v>3905</v>
      </c>
      <c r="Q531" s="3">
        <v>44967</v>
      </c>
      <c r="R531" s="3">
        <v>44967</v>
      </c>
      <c r="S531" s="3">
        <v>45199</v>
      </c>
      <c r="T531" s="35"/>
      <c r="U531" s="3"/>
      <c r="V531" s="3"/>
      <c r="W531" s="50"/>
      <c r="X531" s="9">
        <v>27296550</v>
      </c>
      <c r="Y531" s="9">
        <v>1063530</v>
      </c>
      <c r="Z531" s="34">
        <f t="shared" si="21"/>
        <v>0.96249904795755159</v>
      </c>
      <c r="AA531" s="1">
        <v>12545859</v>
      </c>
      <c r="AB531" s="1" t="s">
        <v>2632</v>
      </c>
      <c r="AC531" s="1"/>
      <c r="AD531" s="1"/>
      <c r="AE531" s="3"/>
      <c r="AF531" s="194" t="s">
        <v>3906</v>
      </c>
      <c r="AG531" s="15" t="s">
        <v>192</v>
      </c>
      <c r="AH531" s="15" t="s">
        <v>192</v>
      </c>
    </row>
    <row r="532" spans="1:34" s="4" customFormat="1" x14ac:dyDescent="0.25">
      <c r="A532" s="16">
        <v>891780502</v>
      </c>
      <c r="B532" s="16" t="s">
        <v>54</v>
      </c>
      <c r="C532" s="14" t="s">
        <v>2627</v>
      </c>
      <c r="D532" s="16" t="s">
        <v>60</v>
      </c>
      <c r="E532" s="1" t="s">
        <v>3907</v>
      </c>
      <c r="F532" s="16" t="s">
        <v>61</v>
      </c>
      <c r="G532" s="1" t="s">
        <v>69</v>
      </c>
      <c r="H532" s="1" t="s">
        <v>2629</v>
      </c>
      <c r="I532" s="9">
        <v>17316381</v>
      </c>
      <c r="J532" s="94"/>
      <c r="K532" s="2"/>
      <c r="L532" s="2"/>
      <c r="M532" s="40">
        <f t="shared" si="22"/>
        <v>17316381</v>
      </c>
      <c r="N532" s="1">
        <v>16702067</v>
      </c>
      <c r="O532" s="1" t="s">
        <v>3908</v>
      </c>
      <c r="P532" s="1" t="s">
        <v>3375</v>
      </c>
      <c r="Q532" s="3">
        <v>44967</v>
      </c>
      <c r="R532" s="3">
        <v>44967</v>
      </c>
      <c r="S532" s="3">
        <v>45199</v>
      </c>
      <c r="T532" s="35"/>
      <c r="U532" s="3"/>
      <c r="V532" s="3"/>
      <c r="W532" s="50"/>
      <c r="X532" s="9">
        <v>11437054</v>
      </c>
      <c r="Y532" s="9">
        <v>5879327</v>
      </c>
      <c r="Z532" s="34">
        <f t="shared" si="21"/>
        <v>0.66047599668776058</v>
      </c>
      <c r="AA532" s="1">
        <v>12545859</v>
      </c>
      <c r="AB532" s="1" t="s">
        <v>2632</v>
      </c>
      <c r="AC532" s="1"/>
      <c r="AD532" s="1"/>
      <c r="AE532" s="3"/>
      <c r="AF532" s="194" t="s">
        <v>3909</v>
      </c>
      <c r="AG532" s="15" t="s">
        <v>192</v>
      </c>
      <c r="AH532" s="15" t="s">
        <v>192</v>
      </c>
    </row>
    <row r="533" spans="1:34" s="4" customFormat="1" x14ac:dyDescent="0.25">
      <c r="A533" s="16">
        <v>891780503</v>
      </c>
      <c r="B533" s="16" t="s">
        <v>54</v>
      </c>
      <c r="C533" s="14" t="s">
        <v>2627</v>
      </c>
      <c r="D533" s="16" t="s">
        <v>60</v>
      </c>
      <c r="E533" s="1" t="s">
        <v>3910</v>
      </c>
      <c r="F533" s="16" t="s">
        <v>61</v>
      </c>
      <c r="G533" s="1" t="s">
        <v>69</v>
      </c>
      <c r="H533" s="1" t="s">
        <v>2629</v>
      </c>
      <c r="I533" s="9">
        <v>19425415</v>
      </c>
      <c r="J533" s="94"/>
      <c r="K533" s="2"/>
      <c r="L533" s="2"/>
      <c r="M533" s="40">
        <f t="shared" si="22"/>
        <v>19425415</v>
      </c>
      <c r="N533" s="1">
        <v>1085266323</v>
      </c>
      <c r="O533" s="1" t="s">
        <v>3911</v>
      </c>
      <c r="P533" s="1" t="s">
        <v>2651</v>
      </c>
      <c r="Q533" s="3">
        <v>44967</v>
      </c>
      <c r="R533" s="3">
        <v>44967</v>
      </c>
      <c r="S533" s="3">
        <v>45275</v>
      </c>
      <c r="T533" s="35"/>
      <c r="U533" s="3"/>
      <c r="V533" s="3"/>
      <c r="W533" s="50"/>
      <c r="X533" s="9">
        <v>9250200</v>
      </c>
      <c r="Y533" s="9">
        <v>10175215</v>
      </c>
      <c r="Z533" s="34">
        <f t="shared" si="21"/>
        <v>0.47619059875940872</v>
      </c>
      <c r="AA533" s="1">
        <v>12545859</v>
      </c>
      <c r="AB533" s="1" t="s">
        <v>2632</v>
      </c>
      <c r="AC533" s="1"/>
      <c r="AD533" s="1"/>
      <c r="AE533" s="3"/>
      <c r="AF533" s="194" t="s">
        <v>3912</v>
      </c>
      <c r="AG533" s="15" t="s">
        <v>192</v>
      </c>
      <c r="AH533" s="15" t="s">
        <v>192</v>
      </c>
    </row>
    <row r="534" spans="1:34" s="4" customFormat="1" x14ac:dyDescent="0.25">
      <c r="A534" s="16">
        <v>891780504</v>
      </c>
      <c r="B534" s="16" t="s">
        <v>54</v>
      </c>
      <c r="C534" s="14" t="s">
        <v>2627</v>
      </c>
      <c r="D534" s="16" t="s">
        <v>60</v>
      </c>
      <c r="E534" s="1" t="s">
        <v>3913</v>
      </c>
      <c r="F534" s="16" t="s">
        <v>61</v>
      </c>
      <c r="G534" s="1" t="s">
        <v>69</v>
      </c>
      <c r="H534" s="1" t="s">
        <v>2629</v>
      </c>
      <c r="I534" s="9">
        <v>26107200.000000004</v>
      </c>
      <c r="J534" s="94"/>
      <c r="K534" s="2"/>
      <c r="L534" s="2"/>
      <c r="M534" s="40">
        <f t="shared" si="22"/>
        <v>26107200.000000004</v>
      </c>
      <c r="N534" s="1">
        <v>84459825</v>
      </c>
      <c r="O534" s="1" t="s">
        <v>3914</v>
      </c>
      <c r="P534" s="1" t="s">
        <v>3915</v>
      </c>
      <c r="Q534" s="3">
        <v>44971</v>
      </c>
      <c r="R534" s="3">
        <v>44971</v>
      </c>
      <c r="S534" s="3">
        <v>45275</v>
      </c>
      <c r="T534" s="35"/>
      <c r="U534" s="3"/>
      <c r="V534" s="3"/>
      <c r="W534" s="50"/>
      <c r="X534" s="9">
        <v>12432000.000000004</v>
      </c>
      <c r="Y534" s="9">
        <v>13675200</v>
      </c>
      <c r="Z534" s="34">
        <f t="shared" si="21"/>
        <v>0.47619047619047628</v>
      </c>
      <c r="AA534" s="1">
        <v>12545859</v>
      </c>
      <c r="AB534" s="1" t="s">
        <v>2632</v>
      </c>
      <c r="AC534" s="1"/>
      <c r="AD534" s="1"/>
      <c r="AE534" s="3"/>
      <c r="AF534" s="194" t="s">
        <v>3916</v>
      </c>
      <c r="AG534" s="15" t="s">
        <v>192</v>
      </c>
      <c r="AH534" s="15" t="s">
        <v>192</v>
      </c>
    </row>
    <row r="535" spans="1:34" s="4" customFormat="1" x14ac:dyDescent="0.25">
      <c r="A535" s="16">
        <v>891780505</v>
      </c>
      <c r="B535" s="16" t="s">
        <v>54</v>
      </c>
      <c r="C535" s="14" t="s">
        <v>2627</v>
      </c>
      <c r="D535" s="16" t="s">
        <v>60</v>
      </c>
      <c r="E535" s="1" t="s">
        <v>3917</v>
      </c>
      <c r="F535" s="16" t="s">
        <v>61</v>
      </c>
      <c r="G535" s="1" t="s">
        <v>69</v>
      </c>
      <c r="H535" s="1" t="s">
        <v>2629</v>
      </c>
      <c r="I535" s="9">
        <v>32375703</v>
      </c>
      <c r="J535" s="94"/>
      <c r="K535" s="2"/>
      <c r="L535" s="2"/>
      <c r="M535" s="40">
        <f t="shared" si="22"/>
        <v>32375703</v>
      </c>
      <c r="N535" s="1">
        <v>52991831</v>
      </c>
      <c r="O535" s="1" t="s">
        <v>3918</v>
      </c>
      <c r="P535" s="1" t="s">
        <v>3919</v>
      </c>
      <c r="Q535" s="3">
        <v>44971</v>
      </c>
      <c r="R535" s="3">
        <v>44971</v>
      </c>
      <c r="S535" s="3">
        <v>45275</v>
      </c>
      <c r="T535" s="35"/>
      <c r="U535" s="3"/>
      <c r="V535" s="3"/>
      <c r="W535" s="50"/>
      <c r="X535" s="9">
        <v>15417000</v>
      </c>
      <c r="Y535" s="9">
        <v>16958703</v>
      </c>
      <c r="Z535" s="34">
        <f t="shared" si="21"/>
        <v>0.47619043206567591</v>
      </c>
      <c r="AA535" s="1">
        <v>12545859</v>
      </c>
      <c r="AB535" s="1" t="s">
        <v>2632</v>
      </c>
      <c r="AC535" s="1"/>
      <c r="AD535" s="1"/>
      <c r="AE535" s="3"/>
      <c r="AF535" s="194" t="s">
        <v>3920</v>
      </c>
      <c r="AG535" s="15" t="s">
        <v>192</v>
      </c>
      <c r="AH535" s="15" t="s">
        <v>192</v>
      </c>
    </row>
    <row r="536" spans="1:34" s="4" customFormat="1" x14ac:dyDescent="0.25">
      <c r="A536" s="16">
        <v>891780506</v>
      </c>
      <c r="B536" s="16" t="s">
        <v>54</v>
      </c>
      <c r="C536" s="14" t="s">
        <v>2627</v>
      </c>
      <c r="D536" s="16" t="s">
        <v>60</v>
      </c>
      <c r="E536" s="1" t="s">
        <v>3921</v>
      </c>
      <c r="F536" s="16" t="s">
        <v>61</v>
      </c>
      <c r="G536" s="1" t="s">
        <v>69</v>
      </c>
      <c r="H536" s="1" t="s">
        <v>2629</v>
      </c>
      <c r="I536" s="9">
        <v>24000000</v>
      </c>
      <c r="J536" s="94"/>
      <c r="K536" s="2"/>
      <c r="L536" s="2"/>
      <c r="M536" s="40">
        <f t="shared" si="22"/>
        <v>24000000</v>
      </c>
      <c r="N536" s="1" t="s">
        <v>3922</v>
      </c>
      <c r="O536" s="1" t="s">
        <v>3923</v>
      </c>
      <c r="P536" s="1" t="s">
        <v>3924</v>
      </c>
      <c r="Q536" s="3">
        <v>44971</v>
      </c>
      <c r="R536" s="3">
        <v>44971</v>
      </c>
      <c r="S536" s="3">
        <v>45138</v>
      </c>
      <c r="T536" s="35"/>
      <c r="U536" s="3"/>
      <c r="V536" s="3"/>
      <c r="W536" s="50"/>
      <c r="X536" s="9">
        <v>20000000</v>
      </c>
      <c r="Y536" s="9">
        <v>4000000</v>
      </c>
      <c r="Z536" s="34">
        <f t="shared" si="21"/>
        <v>0.83333333333333337</v>
      </c>
      <c r="AA536" s="1">
        <v>12545859</v>
      </c>
      <c r="AB536" s="1" t="s">
        <v>2632</v>
      </c>
      <c r="AC536" s="1"/>
      <c r="AD536" s="1"/>
      <c r="AE536" s="3"/>
      <c r="AF536" s="194" t="s">
        <v>3925</v>
      </c>
      <c r="AG536" s="15" t="s">
        <v>192</v>
      </c>
      <c r="AH536" s="15" t="s">
        <v>192</v>
      </c>
    </row>
    <row r="537" spans="1:34" s="4" customFormat="1" x14ac:dyDescent="0.25">
      <c r="A537" s="16">
        <v>891780507</v>
      </c>
      <c r="B537" s="16" t="s">
        <v>54</v>
      </c>
      <c r="C537" s="14" t="s">
        <v>2627</v>
      </c>
      <c r="D537" s="16" t="s">
        <v>60</v>
      </c>
      <c r="E537" s="1" t="s">
        <v>3926</v>
      </c>
      <c r="F537" s="16" t="s">
        <v>61</v>
      </c>
      <c r="G537" s="1" t="s">
        <v>69</v>
      </c>
      <c r="H537" s="1" t="s">
        <v>2629</v>
      </c>
      <c r="I537" s="9">
        <v>30140320</v>
      </c>
      <c r="J537" s="94"/>
      <c r="K537" s="2"/>
      <c r="L537" s="2"/>
      <c r="M537" s="40">
        <f t="shared" si="22"/>
        <v>30140320</v>
      </c>
      <c r="N537" s="1">
        <v>1082998091</v>
      </c>
      <c r="O537" s="1" t="s">
        <v>3927</v>
      </c>
      <c r="P537" s="1" t="s">
        <v>3928</v>
      </c>
      <c r="Q537" s="3">
        <v>44971</v>
      </c>
      <c r="R537" s="3">
        <v>44971</v>
      </c>
      <c r="S537" s="3">
        <v>45199</v>
      </c>
      <c r="T537" s="35"/>
      <c r="U537" s="3"/>
      <c r="V537" s="3"/>
      <c r="W537" s="50"/>
      <c r="X537" s="9">
        <v>18837700</v>
      </c>
      <c r="Y537" s="9">
        <v>11302620</v>
      </c>
      <c r="Z537" s="34">
        <f t="shared" si="21"/>
        <v>0.625</v>
      </c>
      <c r="AA537" s="1">
        <v>12545859</v>
      </c>
      <c r="AB537" s="1" t="s">
        <v>2632</v>
      </c>
      <c r="AC537" s="1"/>
      <c r="AD537" s="1"/>
      <c r="AE537" s="3"/>
      <c r="AF537" s="194" t="s">
        <v>3929</v>
      </c>
      <c r="AG537" s="15" t="s">
        <v>192</v>
      </c>
      <c r="AH537" s="15" t="s">
        <v>192</v>
      </c>
    </row>
    <row r="538" spans="1:34" s="4" customFormat="1" x14ac:dyDescent="0.25">
      <c r="A538" s="16">
        <v>891780508</v>
      </c>
      <c r="B538" s="16" t="s">
        <v>54</v>
      </c>
      <c r="C538" s="14" t="s">
        <v>2627</v>
      </c>
      <c r="D538" s="16" t="s">
        <v>60</v>
      </c>
      <c r="E538" s="1" t="s">
        <v>3930</v>
      </c>
      <c r="F538" s="16" t="s">
        <v>61</v>
      </c>
      <c r="G538" s="1" t="s">
        <v>69</v>
      </c>
      <c r="H538" s="1" t="s">
        <v>2629</v>
      </c>
      <c r="I538" s="9">
        <v>19048225</v>
      </c>
      <c r="J538" s="94"/>
      <c r="K538" s="2"/>
      <c r="L538" s="2"/>
      <c r="M538" s="40">
        <f t="shared" si="22"/>
        <v>19048225</v>
      </c>
      <c r="N538" s="1">
        <v>1066741065</v>
      </c>
      <c r="O538" s="1" t="s">
        <v>3931</v>
      </c>
      <c r="P538" s="1" t="s">
        <v>2857</v>
      </c>
      <c r="Q538" s="3">
        <v>44971</v>
      </c>
      <c r="R538" s="3">
        <v>44971</v>
      </c>
      <c r="S538" s="3">
        <v>45275</v>
      </c>
      <c r="T538" s="35"/>
      <c r="U538" s="3"/>
      <c r="V538" s="3"/>
      <c r="W538" s="50"/>
      <c r="X538" s="9">
        <v>9070585</v>
      </c>
      <c r="Y538" s="9">
        <v>9977640</v>
      </c>
      <c r="Z538" s="34">
        <f t="shared" si="21"/>
        <v>0.47619056368769269</v>
      </c>
      <c r="AA538" s="1">
        <v>12545859</v>
      </c>
      <c r="AB538" s="1" t="s">
        <v>2632</v>
      </c>
      <c r="AC538" s="1"/>
      <c r="AD538" s="1"/>
      <c r="AE538" s="3"/>
      <c r="AF538" s="194" t="s">
        <v>3932</v>
      </c>
      <c r="AG538" s="15" t="s">
        <v>192</v>
      </c>
      <c r="AH538" s="15" t="s">
        <v>192</v>
      </c>
    </row>
    <row r="539" spans="1:34" s="4" customFormat="1" x14ac:dyDescent="0.25">
      <c r="A539" s="16">
        <v>891780509</v>
      </c>
      <c r="B539" s="16" t="s">
        <v>54</v>
      </c>
      <c r="C539" s="14" t="s">
        <v>2627</v>
      </c>
      <c r="D539" s="16" t="s">
        <v>60</v>
      </c>
      <c r="E539" s="1" t="s">
        <v>3933</v>
      </c>
      <c r="F539" s="16" t="s">
        <v>61</v>
      </c>
      <c r="G539" s="1" t="s">
        <v>69</v>
      </c>
      <c r="H539" s="1" t="s">
        <v>2629</v>
      </c>
      <c r="I539" s="9">
        <v>50639998.5</v>
      </c>
      <c r="J539" s="94"/>
      <c r="K539" s="2"/>
      <c r="L539" s="2"/>
      <c r="M539" s="40">
        <f t="shared" si="22"/>
        <v>50639998.5</v>
      </c>
      <c r="N539" s="1">
        <v>1082978022</v>
      </c>
      <c r="O539" s="1" t="s">
        <v>3934</v>
      </c>
      <c r="P539" s="1" t="s">
        <v>3935</v>
      </c>
      <c r="Q539" s="3">
        <v>44971</v>
      </c>
      <c r="R539" s="3">
        <v>44971</v>
      </c>
      <c r="S539" s="3">
        <v>45275</v>
      </c>
      <c r="T539" s="35"/>
      <c r="U539" s="3"/>
      <c r="V539" s="3"/>
      <c r="W539" s="50"/>
      <c r="X539" s="9">
        <v>24114285.5</v>
      </c>
      <c r="Y539" s="9">
        <v>26525713</v>
      </c>
      <c r="Z539" s="34">
        <f t="shared" si="21"/>
        <v>0.4761904860640942</v>
      </c>
      <c r="AA539" s="1">
        <v>12545859</v>
      </c>
      <c r="AB539" s="1" t="s">
        <v>2632</v>
      </c>
      <c r="AC539" s="1"/>
      <c r="AD539" s="1"/>
      <c r="AE539" s="3"/>
      <c r="AF539" s="194" t="s">
        <v>3936</v>
      </c>
      <c r="AG539" s="15" t="s">
        <v>192</v>
      </c>
      <c r="AH539" s="15" t="s">
        <v>192</v>
      </c>
    </row>
    <row r="540" spans="1:34" s="4" customFormat="1" x14ac:dyDescent="0.25">
      <c r="A540" s="16">
        <v>891780510</v>
      </c>
      <c r="B540" s="16" t="s">
        <v>54</v>
      </c>
      <c r="C540" s="14" t="s">
        <v>2627</v>
      </c>
      <c r="D540" s="16" t="s">
        <v>60</v>
      </c>
      <c r="E540" s="1" t="s">
        <v>3937</v>
      </c>
      <c r="F540" s="16" t="s">
        <v>61</v>
      </c>
      <c r="G540" s="1" t="s">
        <v>69</v>
      </c>
      <c r="H540" s="1" t="s">
        <v>2629</v>
      </c>
      <c r="I540" s="9">
        <v>26271000</v>
      </c>
      <c r="J540" s="94"/>
      <c r="K540" s="2"/>
      <c r="L540" s="2"/>
      <c r="M540" s="40">
        <f t="shared" si="22"/>
        <v>26271000</v>
      </c>
      <c r="N540" s="1">
        <v>1105788867</v>
      </c>
      <c r="O540" s="1" t="s">
        <v>3938</v>
      </c>
      <c r="P540" s="1" t="s">
        <v>3939</v>
      </c>
      <c r="Q540" s="3">
        <v>44971</v>
      </c>
      <c r="R540" s="3">
        <v>44971</v>
      </c>
      <c r="S540" s="3">
        <v>45275</v>
      </c>
      <c r="T540" s="35"/>
      <c r="U540" s="3"/>
      <c r="V540" s="3"/>
      <c r="W540" s="50"/>
      <c r="X540" s="9">
        <v>12510000</v>
      </c>
      <c r="Y540" s="9">
        <v>13761000</v>
      </c>
      <c r="Z540" s="34">
        <f t="shared" si="21"/>
        <v>0.47619047619047616</v>
      </c>
      <c r="AA540" s="1">
        <v>12545859</v>
      </c>
      <c r="AB540" s="1" t="s">
        <v>2632</v>
      </c>
      <c r="AC540" s="1"/>
      <c r="AD540" s="1"/>
      <c r="AE540" s="3"/>
      <c r="AF540" s="194" t="s">
        <v>3940</v>
      </c>
      <c r="AG540" s="15" t="s">
        <v>192</v>
      </c>
      <c r="AH540" s="15" t="s">
        <v>192</v>
      </c>
    </row>
    <row r="541" spans="1:34" s="4" customFormat="1" x14ac:dyDescent="0.25">
      <c r="A541" s="16">
        <v>891780511</v>
      </c>
      <c r="B541" s="16" t="s">
        <v>54</v>
      </c>
      <c r="C541" s="14" t="s">
        <v>2627</v>
      </c>
      <c r="D541" s="16" t="s">
        <v>60</v>
      </c>
      <c r="E541" s="1" t="s">
        <v>3941</v>
      </c>
      <c r="F541" s="16" t="s">
        <v>61</v>
      </c>
      <c r="G541" s="1" t="s">
        <v>69</v>
      </c>
      <c r="H541" s="1" t="s">
        <v>2629</v>
      </c>
      <c r="I541" s="9">
        <v>16650356</v>
      </c>
      <c r="J541" s="94"/>
      <c r="K541" s="2"/>
      <c r="L541" s="2"/>
      <c r="M541" s="40">
        <f t="shared" si="22"/>
        <v>16650356</v>
      </c>
      <c r="N541" s="1">
        <v>41061383</v>
      </c>
      <c r="O541" s="1" t="s">
        <v>3942</v>
      </c>
      <c r="P541" s="1" t="s">
        <v>3361</v>
      </c>
      <c r="Q541" s="3">
        <v>44971</v>
      </c>
      <c r="R541" s="3">
        <v>44971</v>
      </c>
      <c r="S541" s="3">
        <v>45199</v>
      </c>
      <c r="T541" s="35"/>
      <c r="U541" s="3"/>
      <c r="V541" s="3"/>
      <c r="W541" s="50"/>
      <c r="X541" s="9">
        <v>10406470</v>
      </c>
      <c r="Y541" s="9">
        <v>6243886</v>
      </c>
      <c r="Z541" s="34">
        <f t="shared" si="21"/>
        <v>0.62499984985306023</v>
      </c>
      <c r="AA541" s="1">
        <v>12545859</v>
      </c>
      <c r="AB541" s="1" t="s">
        <v>2632</v>
      </c>
      <c r="AC541" s="1"/>
      <c r="AD541" s="1"/>
      <c r="AE541" s="3"/>
      <c r="AF541" s="194" t="s">
        <v>3943</v>
      </c>
      <c r="AG541" s="15" t="s">
        <v>192</v>
      </c>
      <c r="AH541" s="15" t="s">
        <v>192</v>
      </c>
    </row>
    <row r="542" spans="1:34" s="4" customFormat="1" x14ac:dyDescent="0.25">
      <c r="A542" s="16">
        <v>891780512</v>
      </c>
      <c r="B542" s="16" t="s">
        <v>54</v>
      </c>
      <c r="C542" s="14" t="s">
        <v>2627</v>
      </c>
      <c r="D542" s="16" t="s">
        <v>60</v>
      </c>
      <c r="E542" s="1" t="s">
        <v>3944</v>
      </c>
      <c r="F542" s="16" t="s">
        <v>61</v>
      </c>
      <c r="G542" s="1" t="s">
        <v>69</v>
      </c>
      <c r="H542" s="1" t="s">
        <v>2629</v>
      </c>
      <c r="I542" s="9">
        <v>38500000</v>
      </c>
      <c r="J542" s="94">
        <v>1</v>
      </c>
      <c r="K542" s="2">
        <v>2660000</v>
      </c>
      <c r="L542" s="2"/>
      <c r="M542" s="40">
        <f t="shared" si="22"/>
        <v>41160000</v>
      </c>
      <c r="N542" s="1">
        <v>38643917</v>
      </c>
      <c r="O542" s="1" t="s">
        <v>3945</v>
      </c>
      <c r="P542" s="1" t="s">
        <v>3946</v>
      </c>
      <c r="Q542" s="3">
        <v>44980</v>
      </c>
      <c r="R542" s="3">
        <v>44980</v>
      </c>
      <c r="S542" s="3">
        <v>45275</v>
      </c>
      <c r="T542" s="35"/>
      <c r="U542" s="3"/>
      <c r="V542" s="3"/>
      <c r="W542" s="50"/>
      <c r="X542" s="9">
        <v>19600000</v>
      </c>
      <c r="Y542" s="9">
        <v>21560000</v>
      </c>
      <c r="Z542" s="34">
        <f t="shared" si="21"/>
        <v>0.47619047619047616</v>
      </c>
      <c r="AA542" s="1">
        <v>12545859</v>
      </c>
      <c r="AB542" s="1" t="s">
        <v>2632</v>
      </c>
      <c r="AC542" s="1"/>
      <c r="AD542" s="1"/>
      <c r="AE542" s="3"/>
      <c r="AF542" s="194" t="s">
        <v>3947</v>
      </c>
      <c r="AG542" s="15" t="s">
        <v>192</v>
      </c>
      <c r="AH542" s="15" t="s">
        <v>192</v>
      </c>
    </row>
    <row r="543" spans="1:34" s="4" customFormat="1" x14ac:dyDescent="0.25">
      <c r="A543" s="16">
        <v>891780513</v>
      </c>
      <c r="B543" s="16" t="s">
        <v>54</v>
      </c>
      <c r="C543" s="14" t="s">
        <v>2627</v>
      </c>
      <c r="D543" s="16" t="s">
        <v>60</v>
      </c>
      <c r="E543" s="1" t="s">
        <v>3948</v>
      </c>
      <c r="F543" s="16" t="s">
        <v>61</v>
      </c>
      <c r="G543" s="1" t="s">
        <v>69</v>
      </c>
      <c r="H543" s="1" t="s">
        <v>2629</v>
      </c>
      <c r="I543" s="9">
        <v>38613789</v>
      </c>
      <c r="J543" s="94"/>
      <c r="K543" s="2"/>
      <c r="L543" s="2"/>
      <c r="M543" s="40">
        <f t="shared" si="22"/>
        <v>38613789</v>
      </c>
      <c r="N543" s="1">
        <v>76313289</v>
      </c>
      <c r="O543" s="1" t="s">
        <v>3949</v>
      </c>
      <c r="P543" s="1" t="s">
        <v>3950</v>
      </c>
      <c r="Q543" s="3">
        <v>44980</v>
      </c>
      <c r="R543" s="3">
        <v>44980</v>
      </c>
      <c r="S543" s="3">
        <v>45275</v>
      </c>
      <c r="T543" s="35"/>
      <c r="U543" s="3"/>
      <c r="V543" s="3"/>
      <c r="W543" s="50"/>
      <c r="X543" s="9">
        <v>18387520</v>
      </c>
      <c r="Y543" s="9">
        <v>20226269</v>
      </c>
      <c r="Z543" s="34">
        <f t="shared" si="21"/>
        <v>0.47619051318688255</v>
      </c>
      <c r="AA543" s="1">
        <v>12545859</v>
      </c>
      <c r="AB543" s="1" t="s">
        <v>2632</v>
      </c>
      <c r="AC543" s="1"/>
      <c r="AD543" s="1"/>
      <c r="AE543" s="3"/>
      <c r="AF543" s="194" t="s">
        <v>3951</v>
      </c>
      <c r="AG543" s="15" t="s">
        <v>192</v>
      </c>
      <c r="AH543" s="15" t="s">
        <v>192</v>
      </c>
    </row>
    <row r="544" spans="1:34" s="4" customFormat="1" x14ac:dyDescent="0.25">
      <c r="A544" s="16">
        <v>891780514</v>
      </c>
      <c r="B544" s="16" t="s">
        <v>54</v>
      </c>
      <c r="C544" s="14" t="s">
        <v>2627</v>
      </c>
      <c r="D544" s="16" t="s">
        <v>60</v>
      </c>
      <c r="E544" s="1" t="s">
        <v>3952</v>
      </c>
      <c r="F544" s="16" t="s">
        <v>61</v>
      </c>
      <c r="G544" s="1" t="s">
        <v>69</v>
      </c>
      <c r="H544" s="1" t="s">
        <v>2629</v>
      </c>
      <c r="I544" s="9">
        <v>31000000</v>
      </c>
      <c r="J544" s="94"/>
      <c r="K544" s="2"/>
      <c r="L544" s="2"/>
      <c r="M544" s="40">
        <f t="shared" si="22"/>
        <v>31000000</v>
      </c>
      <c r="N544" s="1">
        <v>36724425</v>
      </c>
      <c r="O544" s="1" t="s">
        <v>3953</v>
      </c>
      <c r="P544" s="1" t="s">
        <v>3954</v>
      </c>
      <c r="Q544" s="3">
        <v>44980</v>
      </c>
      <c r="R544" s="3">
        <v>44980</v>
      </c>
      <c r="S544" s="3">
        <v>45275</v>
      </c>
      <c r="T544" s="35"/>
      <c r="U544" s="3"/>
      <c r="V544" s="3"/>
      <c r="W544" s="50"/>
      <c r="X544" s="9">
        <v>12400000</v>
      </c>
      <c r="Y544" s="9">
        <v>18600000</v>
      </c>
      <c r="Z544" s="34">
        <f t="shared" si="21"/>
        <v>0.4</v>
      </c>
      <c r="AA544" s="1">
        <v>12545859</v>
      </c>
      <c r="AB544" s="1" t="s">
        <v>2632</v>
      </c>
      <c r="AC544" s="1"/>
      <c r="AD544" s="1"/>
      <c r="AE544" s="3"/>
      <c r="AF544" s="194" t="s">
        <v>3955</v>
      </c>
      <c r="AG544" s="15" t="s">
        <v>192</v>
      </c>
      <c r="AH544" s="15"/>
    </row>
    <row r="545" spans="1:34" s="4" customFormat="1" x14ac:dyDescent="0.25">
      <c r="A545" s="16">
        <v>891780515</v>
      </c>
      <c r="B545" s="16" t="s">
        <v>54</v>
      </c>
      <c r="C545" s="14" t="s">
        <v>2627</v>
      </c>
      <c r="D545" s="16" t="s">
        <v>60</v>
      </c>
      <c r="E545" s="1" t="s">
        <v>3956</v>
      </c>
      <c r="F545" s="16" t="s">
        <v>61</v>
      </c>
      <c r="G545" s="1" t="s">
        <v>69</v>
      </c>
      <c r="H545" s="1" t="s">
        <v>2629</v>
      </c>
      <c r="I545" s="9">
        <v>11709040</v>
      </c>
      <c r="J545" s="94"/>
      <c r="K545" s="2"/>
      <c r="L545" s="2"/>
      <c r="M545" s="40">
        <f t="shared" si="22"/>
        <v>11709040</v>
      </c>
      <c r="N545" s="1">
        <v>1114826773</v>
      </c>
      <c r="O545" s="1" t="s">
        <v>3957</v>
      </c>
      <c r="P545" s="1" t="s">
        <v>3958</v>
      </c>
      <c r="Q545" s="3">
        <v>45008</v>
      </c>
      <c r="R545" s="3">
        <v>45008</v>
      </c>
      <c r="S545" s="3">
        <v>45107</v>
      </c>
      <c r="T545" s="35"/>
      <c r="U545" s="3"/>
      <c r="V545" s="3"/>
      <c r="W545" s="50">
        <v>45138</v>
      </c>
      <c r="X545" s="9">
        <v>8640464</v>
      </c>
      <c r="Y545" s="9">
        <v>3068576</v>
      </c>
      <c r="Z545" s="34">
        <f t="shared" si="21"/>
        <v>0.73793103448275865</v>
      </c>
      <c r="AA545" s="1">
        <v>12545859</v>
      </c>
      <c r="AB545" s="1" t="s">
        <v>2632</v>
      </c>
      <c r="AC545" s="1"/>
      <c r="AD545" s="1"/>
      <c r="AE545" s="3"/>
      <c r="AF545" s="194" t="s">
        <v>3959</v>
      </c>
      <c r="AG545" s="15" t="s">
        <v>192</v>
      </c>
      <c r="AH545" s="15" t="s">
        <v>192</v>
      </c>
    </row>
    <row r="546" spans="1:34" s="4" customFormat="1" x14ac:dyDescent="0.25">
      <c r="A546" s="16">
        <v>891780516</v>
      </c>
      <c r="B546" s="16" t="s">
        <v>54</v>
      </c>
      <c r="C546" s="14" t="s">
        <v>2627</v>
      </c>
      <c r="D546" s="16" t="s">
        <v>60</v>
      </c>
      <c r="E546" s="1" t="s">
        <v>3960</v>
      </c>
      <c r="F546" s="16" t="s">
        <v>61</v>
      </c>
      <c r="G546" s="1" t="s">
        <v>69</v>
      </c>
      <c r="H546" s="1" t="s">
        <v>2629</v>
      </c>
      <c r="I546" s="9">
        <v>14131600</v>
      </c>
      <c r="J546" s="94"/>
      <c r="K546" s="2"/>
      <c r="L546" s="2"/>
      <c r="M546" s="40">
        <f t="shared" si="22"/>
        <v>14131600</v>
      </c>
      <c r="N546" s="1">
        <v>1022409330</v>
      </c>
      <c r="O546" s="1" t="s">
        <v>3961</v>
      </c>
      <c r="P546" s="1" t="s">
        <v>3962</v>
      </c>
      <c r="Q546" s="3">
        <v>45008</v>
      </c>
      <c r="R546" s="3">
        <v>45008</v>
      </c>
      <c r="S546" s="3">
        <v>45107</v>
      </c>
      <c r="T546" s="35"/>
      <c r="U546" s="3"/>
      <c r="V546" s="3"/>
      <c r="W546" s="50"/>
      <c r="X546" s="9">
        <v>8317456</v>
      </c>
      <c r="Y546" s="9">
        <v>5814144</v>
      </c>
      <c r="Z546" s="34">
        <f t="shared" si="21"/>
        <v>0.58857142857142852</v>
      </c>
      <c r="AA546" s="1">
        <v>12545859</v>
      </c>
      <c r="AB546" s="1" t="s">
        <v>2632</v>
      </c>
      <c r="AC546" s="1"/>
      <c r="AD546" s="1"/>
      <c r="AE546" s="3"/>
      <c r="AF546" s="194" t="s">
        <v>3963</v>
      </c>
      <c r="AG546" s="15" t="s">
        <v>192</v>
      </c>
      <c r="AH546" s="15" t="s">
        <v>192</v>
      </c>
    </row>
    <row r="547" spans="1:34" s="4" customFormat="1" x14ac:dyDescent="0.25">
      <c r="A547" s="16">
        <v>891780517</v>
      </c>
      <c r="B547" s="16" t="s">
        <v>54</v>
      </c>
      <c r="C547" s="14" t="s">
        <v>2627</v>
      </c>
      <c r="D547" s="16" t="s">
        <v>60</v>
      </c>
      <c r="E547" s="1" t="s">
        <v>3964</v>
      </c>
      <c r="F547" s="16" t="s">
        <v>61</v>
      </c>
      <c r="G547" s="1" t="s">
        <v>69</v>
      </c>
      <c r="H547" s="1" t="s">
        <v>2629</v>
      </c>
      <c r="I547" s="9">
        <v>12544000</v>
      </c>
      <c r="J547" s="94">
        <v>1</v>
      </c>
      <c r="K547" s="2">
        <v>6272000</v>
      </c>
      <c r="L547" s="2"/>
      <c r="M547" s="40">
        <f t="shared" si="22"/>
        <v>18816000</v>
      </c>
      <c r="N547" s="1">
        <v>17343238</v>
      </c>
      <c r="O547" s="1" t="s">
        <v>3965</v>
      </c>
      <c r="P547" s="1" t="s">
        <v>3966</v>
      </c>
      <c r="Q547" s="3">
        <v>45008</v>
      </c>
      <c r="R547" s="3">
        <v>45008</v>
      </c>
      <c r="S547" s="3">
        <v>45107</v>
      </c>
      <c r="T547" s="35"/>
      <c r="U547" s="3"/>
      <c r="V547" s="3"/>
      <c r="W547" s="50">
        <v>45169</v>
      </c>
      <c r="X547" s="9">
        <v>12544000</v>
      </c>
      <c r="Y547" s="9">
        <v>6272000</v>
      </c>
      <c r="Z547" s="34">
        <f t="shared" si="21"/>
        <v>0.66666666666666663</v>
      </c>
      <c r="AA547" s="1">
        <v>12545859</v>
      </c>
      <c r="AB547" s="1" t="s">
        <v>2632</v>
      </c>
      <c r="AC547" s="1"/>
      <c r="AD547" s="1"/>
      <c r="AE547" s="3"/>
      <c r="AF547" s="194" t="s">
        <v>3967</v>
      </c>
      <c r="AG547" s="15" t="s">
        <v>192</v>
      </c>
      <c r="AH547" s="15"/>
    </row>
    <row r="548" spans="1:34" s="4" customFormat="1" x14ac:dyDescent="0.25">
      <c r="A548" s="16">
        <v>891780518</v>
      </c>
      <c r="B548" s="16" t="s">
        <v>54</v>
      </c>
      <c r="C548" s="14" t="s">
        <v>2627</v>
      </c>
      <c r="D548" s="16" t="s">
        <v>60</v>
      </c>
      <c r="E548" s="1" t="s">
        <v>3968</v>
      </c>
      <c r="F548" s="16" t="s">
        <v>61</v>
      </c>
      <c r="G548" s="1" t="s">
        <v>69</v>
      </c>
      <c r="H548" s="1" t="s">
        <v>2629</v>
      </c>
      <c r="I548" s="9">
        <v>10094000</v>
      </c>
      <c r="J548" s="94"/>
      <c r="K548" s="2"/>
      <c r="L548" s="2"/>
      <c r="M548" s="40">
        <f t="shared" si="22"/>
        <v>10094000</v>
      </c>
      <c r="N548" s="1">
        <v>1128455109</v>
      </c>
      <c r="O548" s="1" t="s">
        <v>3969</v>
      </c>
      <c r="P548" s="1" t="s">
        <v>3970</v>
      </c>
      <c r="Q548" s="3">
        <v>45008</v>
      </c>
      <c r="R548" s="3">
        <v>45008</v>
      </c>
      <c r="S548" s="3">
        <v>45107</v>
      </c>
      <c r="T548" s="35"/>
      <c r="U548" s="3"/>
      <c r="V548" s="3"/>
      <c r="W548" s="50"/>
      <c r="X548" s="9">
        <v>10094000</v>
      </c>
      <c r="Y548" s="9">
        <f>M548-X548</f>
        <v>0</v>
      </c>
      <c r="Z548" s="34">
        <f t="shared" si="21"/>
        <v>1</v>
      </c>
      <c r="AA548" s="1">
        <v>12545859</v>
      </c>
      <c r="AB548" s="1" t="s">
        <v>2632</v>
      </c>
      <c r="AC548" s="1"/>
      <c r="AD548" s="1"/>
      <c r="AE548" s="3"/>
      <c r="AF548" s="194" t="s">
        <v>3971</v>
      </c>
      <c r="AG548" s="15" t="s">
        <v>192</v>
      </c>
      <c r="AH548" s="15" t="s">
        <v>192</v>
      </c>
    </row>
    <row r="549" spans="1:34" s="4" customFormat="1" x14ac:dyDescent="0.25">
      <c r="A549" s="16">
        <v>891780519</v>
      </c>
      <c r="B549" s="16" t="s">
        <v>54</v>
      </c>
      <c r="C549" s="14" t="s">
        <v>2627</v>
      </c>
      <c r="D549" s="16" t="s">
        <v>60</v>
      </c>
      <c r="E549" s="1" t="s">
        <v>3972</v>
      </c>
      <c r="F549" s="16" t="s">
        <v>61</v>
      </c>
      <c r="G549" s="1" t="s">
        <v>69</v>
      </c>
      <c r="H549" s="1" t="s">
        <v>2629</v>
      </c>
      <c r="I549" s="9">
        <v>13324080</v>
      </c>
      <c r="J549" s="94"/>
      <c r="K549" s="2"/>
      <c r="L549" s="2"/>
      <c r="M549" s="40">
        <f t="shared" si="22"/>
        <v>13324080</v>
      </c>
      <c r="N549" s="1">
        <v>21849913</v>
      </c>
      <c r="O549" s="1" t="s">
        <v>3973</v>
      </c>
      <c r="P549" s="1" t="s">
        <v>3974</v>
      </c>
      <c r="Q549" s="3">
        <v>45008</v>
      </c>
      <c r="R549" s="3">
        <v>45008</v>
      </c>
      <c r="S549" s="3">
        <v>45107</v>
      </c>
      <c r="T549" s="35"/>
      <c r="U549" s="3"/>
      <c r="V549" s="3"/>
      <c r="W549" s="50">
        <v>45153</v>
      </c>
      <c r="X549" s="9">
        <v>6944672</v>
      </c>
      <c r="Y549" s="9">
        <v>6379408</v>
      </c>
      <c r="Z549" s="34">
        <f t="shared" si="21"/>
        <v>0.52121212121212124</v>
      </c>
      <c r="AA549" s="1">
        <v>12545859</v>
      </c>
      <c r="AB549" s="1" t="s">
        <v>2632</v>
      </c>
      <c r="AC549" s="1"/>
      <c r="AD549" s="1"/>
      <c r="AE549" s="3"/>
      <c r="AF549" s="194" t="s">
        <v>3975</v>
      </c>
      <c r="AG549" s="15" t="s">
        <v>192</v>
      </c>
      <c r="AH549" s="15"/>
    </row>
    <row r="550" spans="1:34" s="4" customFormat="1" x14ac:dyDescent="0.25">
      <c r="A550" s="16">
        <v>891780520</v>
      </c>
      <c r="B550" s="16" t="s">
        <v>54</v>
      </c>
      <c r="C550" s="14" t="s">
        <v>2627</v>
      </c>
      <c r="D550" s="16" t="s">
        <v>60</v>
      </c>
      <c r="E550" s="1" t="s">
        <v>3976</v>
      </c>
      <c r="F550" s="16" t="s">
        <v>61</v>
      </c>
      <c r="G550" s="1" t="s">
        <v>69</v>
      </c>
      <c r="H550" s="1" t="s">
        <v>2629</v>
      </c>
      <c r="I550" s="9">
        <v>9690240</v>
      </c>
      <c r="J550" s="94"/>
      <c r="K550" s="2"/>
      <c r="L550" s="2"/>
      <c r="M550" s="40">
        <f t="shared" si="22"/>
        <v>9690240</v>
      </c>
      <c r="N550" s="1">
        <v>7382064</v>
      </c>
      <c r="O550" s="1" t="s">
        <v>3977</v>
      </c>
      <c r="P550" s="1" t="s">
        <v>3978</v>
      </c>
      <c r="Q550" s="3">
        <v>45008</v>
      </c>
      <c r="R550" s="3">
        <v>45008</v>
      </c>
      <c r="S550" s="3">
        <v>45107</v>
      </c>
      <c r="T550" s="35"/>
      <c r="U550" s="3"/>
      <c r="V550" s="3"/>
      <c r="W550" s="50"/>
      <c r="X550" s="9">
        <v>9690240</v>
      </c>
      <c r="Y550" s="9">
        <f>M550-X550</f>
        <v>0</v>
      </c>
      <c r="Z550" s="34">
        <f t="shared" si="21"/>
        <v>1</v>
      </c>
      <c r="AA550" s="1">
        <v>12545859</v>
      </c>
      <c r="AB550" s="1" t="s">
        <v>2632</v>
      </c>
      <c r="AC550" s="1"/>
      <c r="AD550" s="1"/>
      <c r="AE550" s="3"/>
      <c r="AF550" s="194" t="s">
        <v>3979</v>
      </c>
      <c r="AG550" s="15" t="s">
        <v>192</v>
      </c>
      <c r="AH550" s="15"/>
    </row>
    <row r="551" spans="1:34" s="4" customFormat="1" x14ac:dyDescent="0.25">
      <c r="A551" s="16">
        <v>891780521</v>
      </c>
      <c r="B551" s="16" t="s">
        <v>54</v>
      </c>
      <c r="C551" s="14" t="s">
        <v>2627</v>
      </c>
      <c r="D551" s="16" t="s">
        <v>60</v>
      </c>
      <c r="E551" s="1" t="s">
        <v>3980</v>
      </c>
      <c r="F551" s="16" t="s">
        <v>61</v>
      </c>
      <c r="G551" s="1" t="s">
        <v>69</v>
      </c>
      <c r="H551" s="1" t="s">
        <v>2629</v>
      </c>
      <c r="I551" s="9">
        <v>14939120</v>
      </c>
      <c r="J551" s="94"/>
      <c r="K551" s="2"/>
      <c r="L551" s="2"/>
      <c r="M551" s="40">
        <f t="shared" si="22"/>
        <v>14939120</v>
      </c>
      <c r="N551" s="1">
        <v>1144037020</v>
      </c>
      <c r="O551" s="1" t="s">
        <v>3981</v>
      </c>
      <c r="P551" s="1" t="s">
        <v>3982</v>
      </c>
      <c r="Q551" s="3">
        <v>45008</v>
      </c>
      <c r="R551" s="3">
        <v>45008</v>
      </c>
      <c r="S551" s="3">
        <v>45107</v>
      </c>
      <c r="T551" s="35"/>
      <c r="U551" s="3"/>
      <c r="V551" s="3"/>
      <c r="W551" s="50">
        <v>45138</v>
      </c>
      <c r="X551" s="9">
        <v>11789792</v>
      </c>
      <c r="Y551" s="9">
        <v>3149328</v>
      </c>
      <c r="Z551" s="34">
        <f t="shared" si="21"/>
        <v>0.78918918918918923</v>
      </c>
      <c r="AA551" s="1">
        <v>12545859</v>
      </c>
      <c r="AB551" s="1" t="s">
        <v>2632</v>
      </c>
      <c r="AC551" s="1"/>
      <c r="AD551" s="1"/>
      <c r="AE551" s="3"/>
      <c r="AF551" s="194" t="s">
        <v>3983</v>
      </c>
      <c r="AG551" s="15" t="s">
        <v>192</v>
      </c>
      <c r="AH551" s="15" t="s">
        <v>192</v>
      </c>
    </row>
    <row r="552" spans="1:34" s="4" customFormat="1" x14ac:dyDescent="0.25">
      <c r="A552" s="16">
        <v>891780522</v>
      </c>
      <c r="B552" s="16" t="s">
        <v>54</v>
      </c>
      <c r="C552" s="14" t="s">
        <v>2627</v>
      </c>
      <c r="D552" s="16" t="s">
        <v>60</v>
      </c>
      <c r="E552" s="1" t="s">
        <v>3984</v>
      </c>
      <c r="F552" s="16" t="s">
        <v>61</v>
      </c>
      <c r="G552" s="1" t="s">
        <v>69</v>
      </c>
      <c r="H552" s="1" t="s">
        <v>2629</v>
      </c>
      <c r="I552" s="9">
        <v>27716129</v>
      </c>
      <c r="J552" s="94"/>
      <c r="K552" s="2"/>
      <c r="L552" s="2"/>
      <c r="M552" s="40">
        <f t="shared" si="22"/>
        <v>27716129</v>
      </c>
      <c r="N552" s="1">
        <v>1124047943</v>
      </c>
      <c r="O552" s="1" t="s">
        <v>3985</v>
      </c>
      <c r="P552" s="1" t="s">
        <v>3986</v>
      </c>
      <c r="Q552" s="3">
        <v>45015</v>
      </c>
      <c r="R552" s="3">
        <v>45015</v>
      </c>
      <c r="S552" s="3">
        <v>45275</v>
      </c>
      <c r="T552" s="35"/>
      <c r="U552" s="3"/>
      <c r="V552" s="3"/>
      <c r="W552" s="50"/>
      <c r="X552" s="9">
        <v>10116129</v>
      </c>
      <c r="Y552" s="9">
        <v>17600000</v>
      </c>
      <c r="Z552" s="34">
        <f t="shared" si="21"/>
        <v>0.36499068827396497</v>
      </c>
      <c r="AA552" s="1">
        <v>12545859</v>
      </c>
      <c r="AB552" s="1" t="s">
        <v>2632</v>
      </c>
      <c r="AC552" s="1"/>
      <c r="AD552" s="1"/>
      <c r="AE552" s="3"/>
      <c r="AF552" s="194" t="s">
        <v>3987</v>
      </c>
      <c r="AG552" s="15" t="s">
        <v>192</v>
      </c>
      <c r="AH552" s="15"/>
    </row>
    <row r="553" spans="1:34" s="4" customFormat="1" x14ac:dyDescent="0.25">
      <c r="A553" s="16">
        <v>891780523</v>
      </c>
      <c r="B553" s="16" t="s">
        <v>54</v>
      </c>
      <c r="C553" s="14" t="s">
        <v>2627</v>
      </c>
      <c r="D553" s="16" t="s">
        <v>60</v>
      </c>
      <c r="E553" s="1" t="s">
        <v>3988</v>
      </c>
      <c r="F553" s="16" t="s">
        <v>61</v>
      </c>
      <c r="G553" s="1" t="s">
        <v>69</v>
      </c>
      <c r="H553" s="1" t="s">
        <v>2629</v>
      </c>
      <c r="I553" s="9">
        <v>13875174</v>
      </c>
      <c r="J553" s="94"/>
      <c r="K553" s="2"/>
      <c r="L553" s="2"/>
      <c r="M553" s="40">
        <f t="shared" si="22"/>
        <v>13875174</v>
      </c>
      <c r="N553" s="1">
        <v>40388066</v>
      </c>
      <c r="O553" s="1" t="s">
        <v>3989</v>
      </c>
      <c r="P553" s="1" t="s">
        <v>3990</v>
      </c>
      <c r="Q553" s="3">
        <v>45035</v>
      </c>
      <c r="R553" s="3">
        <v>45035</v>
      </c>
      <c r="S553" s="3">
        <v>45107</v>
      </c>
      <c r="T553" s="35"/>
      <c r="U553" s="3"/>
      <c r="V553" s="3"/>
      <c r="W553" s="50"/>
      <c r="X553" s="9">
        <v>13875174</v>
      </c>
      <c r="Y553" s="9">
        <f>M553-X553</f>
        <v>0</v>
      </c>
      <c r="Z553" s="34">
        <f t="shared" si="21"/>
        <v>1</v>
      </c>
      <c r="AA553" s="1">
        <v>12545859</v>
      </c>
      <c r="AB553" s="1" t="s">
        <v>2632</v>
      </c>
      <c r="AC553" s="1"/>
      <c r="AD553" s="1"/>
      <c r="AE553" s="3"/>
      <c r="AF553" s="194" t="s">
        <v>3991</v>
      </c>
      <c r="AG553" s="15" t="s">
        <v>192</v>
      </c>
      <c r="AH553" s="15" t="s">
        <v>192</v>
      </c>
    </row>
    <row r="554" spans="1:34" s="4" customFormat="1" x14ac:dyDescent="0.25">
      <c r="A554" s="16">
        <v>891780524</v>
      </c>
      <c r="B554" s="16" t="s">
        <v>54</v>
      </c>
      <c r="C554" s="14" t="s">
        <v>2627</v>
      </c>
      <c r="D554" s="16" t="s">
        <v>60</v>
      </c>
      <c r="E554" s="1" t="s">
        <v>3992</v>
      </c>
      <c r="F554" s="16" t="s">
        <v>61</v>
      </c>
      <c r="G554" s="1" t="s">
        <v>69</v>
      </c>
      <c r="H554" s="1" t="s">
        <v>2629</v>
      </c>
      <c r="I554" s="9">
        <v>17500000</v>
      </c>
      <c r="J554" s="94"/>
      <c r="K554" s="2"/>
      <c r="L554" s="2"/>
      <c r="M554" s="40">
        <f t="shared" si="22"/>
        <v>17500000</v>
      </c>
      <c r="N554" s="1">
        <v>1083024511</v>
      </c>
      <c r="O554" s="1" t="s">
        <v>3993</v>
      </c>
      <c r="P554" s="1" t="s">
        <v>3994</v>
      </c>
      <c r="Q554" s="3">
        <v>45063</v>
      </c>
      <c r="R554" s="3">
        <v>45063</v>
      </c>
      <c r="S554" s="3">
        <v>45214</v>
      </c>
      <c r="T554" s="35"/>
      <c r="U554" s="3"/>
      <c r="V554" s="3"/>
      <c r="W554" s="50"/>
      <c r="X554" s="9">
        <v>6363636</v>
      </c>
      <c r="Y554" s="9">
        <v>11136364</v>
      </c>
      <c r="Z554" s="34">
        <f t="shared" si="21"/>
        <v>0.36363634285714286</v>
      </c>
      <c r="AA554" s="1">
        <v>12545859</v>
      </c>
      <c r="AB554" s="1" t="s">
        <v>2632</v>
      </c>
      <c r="AC554" s="1"/>
      <c r="AD554" s="1"/>
      <c r="AE554" s="3"/>
      <c r="AF554" s="194" t="s">
        <v>3995</v>
      </c>
      <c r="AG554" s="15" t="s">
        <v>2836</v>
      </c>
      <c r="AH554" s="15"/>
    </row>
    <row r="555" spans="1:34" s="4" customFormat="1" x14ac:dyDescent="0.25">
      <c r="A555" s="16">
        <v>891780525</v>
      </c>
      <c r="B555" s="16" t="s">
        <v>54</v>
      </c>
      <c r="C555" s="14" t="s">
        <v>2627</v>
      </c>
      <c r="D555" s="16" t="s">
        <v>60</v>
      </c>
      <c r="E555" s="1" t="s">
        <v>3996</v>
      </c>
      <c r="F555" s="16" t="s">
        <v>61</v>
      </c>
      <c r="G555" s="1" t="s">
        <v>69</v>
      </c>
      <c r="H555" s="1" t="s">
        <v>2629</v>
      </c>
      <c r="I555" s="9">
        <v>60000000</v>
      </c>
      <c r="J555" s="94"/>
      <c r="K555" s="2"/>
      <c r="L555" s="2"/>
      <c r="M555" s="40">
        <f t="shared" si="22"/>
        <v>60000000</v>
      </c>
      <c r="N555" s="1" t="s">
        <v>3997</v>
      </c>
      <c r="O555" s="1" t="s">
        <v>3998</v>
      </c>
      <c r="P555" s="1" t="s">
        <v>3999</v>
      </c>
      <c r="Q555" s="3">
        <v>44992</v>
      </c>
      <c r="R555" s="3">
        <v>44992</v>
      </c>
      <c r="S555" s="3">
        <v>45275</v>
      </c>
      <c r="T555" s="35"/>
      <c r="U555" s="3"/>
      <c r="V555" s="3"/>
      <c r="W555" s="50"/>
      <c r="X555" s="9">
        <v>60000000</v>
      </c>
      <c r="Y555" s="9">
        <f t="shared" ref="Y555:Y558" si="23">M555-X555</f>
        <v>0</v>
      </c>
      <c r="Z555" s="34">
        <f t="shared" si="21"/>
        <v>1</v>
      </c>
      <c r="AA555" s="1">
        <v>12545859</v>
      </c>
      <c r="AB555" s="1" t="s">
        <v>2632</v>
      </c>
      <c r="AC555" s="1"/>
      <c r="AD555" s="1"/>
      <c r="AE555" s="3"/>
      <c r="AF555" s="194" t="s">
        <v>4000</v>
      </c>
      <c r="AG555" s="15" t="s">
        <v>192</v>
      </c>
      <c r="AH555" s="15" t="s">
        <v>191</v>
      </c>
    </row>
    <row r="556" spans="1:34" s="4" customFormat="1" x14ac:dyDescent="0.25">
      <c r="A556" s="16">
        <v>891780526</v>
      </c>
      <c r="B556" s="16" t="s">
        <v>54</v>
      </c>
      <c r="C556" s="14" t="s">
        <v>2627</v>
      </c>
      <c r="D556" s="16" t="s">
        <v>60</v>
      </c>
      <c r="E556" s="1" t="s">
        <v>4001</v>
      </c>
      <c r="F556" s="16" t="s">
        <v>61</v>
      </c>
      <c r="G556" s="1" t="s">
        <v>69</v>
      </c>
      <c r="H556" s="1" t="s">
        <v>2629</v>
      </c>
      <c r="I556" s="9">
        <v>29261505</v>
      </c>
      <c r="J556" s="94"/>
      <c r="K556" s="2"/>
      <c r="L556" s="2"/>
      <c r="M556" s="40">
        <f t="shared" si="22"/>
        <v>29261505</v>
      </c>
      <c r="N556" s="1">
        <v>36537204</v>
      </c>
      <c r="O556" s="1" t="s">
        <v>4002</v>
      </c>
      <c r="P556" s="1" t="s">
        <v>4003</v>
      </c>
      <c r="Q556" s="3">
        <v>45000</v>
      </c>
      <c r="R556" s="3">
        <v>45000</v>
      </c>
      <c r="S556" s="3">
        <v>45046</v>
      </c>
      <c r="T556" s="35"/>
      <c r="U556" s="3"/>
      <c r="V556" s="3"/>
      <c r="W556" s="50"/>
      <c r="X556" s="9">
        <v>29261505</v>
      </c>
      <c r="Y556" s="9">
        <f t="shared" si="23"/>
        <v>0</v>
      </c>
      <c r="Z556" s="34">
        <f t="shared" si="21"/>
        <v>1</v>
      </c>
      <c r="AA556" s="1">
        <v>12545859</v>
      </c>
      <c r="AB556" s="1" t="s">
        <v>2632</v>
      </c>
      <c r="AC556" s="1"/>
      <c r="AD556" s="1"/>
      <c r="AE556" s="3"/>
      <c r="AF556" s="194" t="s">
        <v>4004</v>
      </c>
      <c r="AG556" s="15" t="s">
        <v>192</v>
      </c>
      <c r="AH556" s="15" t="s">
        <v>191</v>
      </c>
    </row>
    <row r="557" spans="1:34" s="4" customFormat="1" x14ac:dyDescent="0.25">
      <c r="A557" s="16">
        <v>891780527</v>
      </c>
      <c r="B557" s="16" t="s">
        <v>54</v>
      </c>
      <c r="C557" s="14" t="s">
        <v>2627</v>
      </c>
      <c r="D557" s="16" t="s">
        <v>60</v>
      </c>
      <c r="E557" s="1" t="s">
        <v>4005</v>
      </c>
      <c r="F557" s="16" t="s">
        <v>61</v>
      </c>
      <c r="G557" s="1" t="s">
        <v>69</v>
      </c>
      <c r="H557" s="1" t="s">
        <v>2629</v>
      </c>
      <c r="I557" s="9">
        <v>38400000</v>
      </c>
      <c r="J557" s="94"/>
      <c r="K557" s="2"/>
      <c r="L557" s="2"/>
      <c r="M557" s="40">
        <f t="shared" si="22"/>
        <v>38400000</v>
      </c>
      <c r="N557" s="1">
        <v>85469041</v>
      </c>
      <c r="O557" s="1" t="s">
        <v>1646</v>
      </c>
      <c r="P557" s="1" t="s">
        <v>4006</v>
      </c>
      <c r="Q557" s="3">
        <v>45012</v>
      </c>
      <c r="R557" s="3">
        <v>45012</v>
      </c>
      <c r="S557" s="3">
        <v>45275</v>
      </c>
      <c r="T557" s="35"/>
      <c r="U557" s="3"/>
      <c r="V557" s="3"/>
      <c r="W557" s="50"/>
      <c r="X557" s="9">
        <v>38400000</v>
      </c>
      <c r="Y557" s="9">
        <f t="shared" si="23"/>
        <v>0</v>
      </c>
      <c r="Z557" s="34">
        <f t="shared" si="21"/>
        <v>1</v>
      </c>
      <c r="AA557" s="1">
        <v>12545859</v>
      </c>
      <c r="AB557" s="1" t="s">
        <v>2632</v>
      </c>
      <c r="AC557" s="1"/>
      <c r="AD557" s="1"/>
      <c r="AE557" s="3"/>
      <c r="AF557" s="194" t="s">
        <v>4007</v>
      </c>
      <c r="AG557" s="15" t="s">
        <v>192</v>
      </c>
      <c r="AH557" s="15" t="s">
        <v>191</v>
      </c>
    </row>
    <row r="558" spans="1:34" s="4" customFormat="1" x14ac:dyDescent="0.25">
      <c r="A558" s="16">
        <v>891780529</v>
      </c>
      <c r="B558" s="16" t="s">
        <v>54</v>
      </c>
      <c r="C558" s="14" t="s">
        <v>2627</v>
      </c>
      <c r="D558" s="16" t="s">
        <v>60</v>
      </c>
      <c r="E558" s="1" t="s">
        <v>4008</v>
      </c>
      <c r="F558" s="16" t="s">
        <v>61</v>
      </c>
      <c r="G558" s="1" t="s">
        <v>69</v>
      </c>
      <c r="H558" s="1" t="s">
        <v>72</v>
      </c>
      <c r="I558" s="9">
        <v>120000000</v>
      </c>
      <c r="J558" s="94"/>
      <c r="K558" s="2"/>
      <c r="L558" s="2"/>
      <c r="M558" s="40">
        <f t="shared" si="22"/>
        <v>120000000</v>
      </c>
      <c r="N558" s="1">
        <v>860000018</v>
      </c>
      <c r="O558" s="1" t="s">
        <v>4009</v>
      </c>
      <c r="P558" s="1" t="s">
        <v>4010</v>
      </c>
      <c r="Q558" s="3">
        <v>44980</v>
      </c>
      <c r="R558" s="3">
        <v>44980</v>
      </c>
      <c r="S558" s="3">
        <v>45275</v>
      </c>
      <c r="T558" s="35"/>
      <c r="U558" s="3"/>
      <c r="V558" s="3"/>
      <c r="W558" s="50"/>
      <c r="X558" s="9">
        <v>120000000</v>
      </c>
      <c r="Y558" s="9">
        <f t="shared" si="23"/>
        <v>0</v>
      </c>
      <c r="Z558" s="34">
        <f t="shared" si="21"/>
        <v>1</v>
      </c>
      <c r="AA558" s="1">
        <v>12545859</v>
      </c>
      <c r="AB558" s="1" t="s">
        <v>2632</v>
      </c>
      <c r="AC558" s="1"/>
      <c r="AD558" s="1"/>
      <c r="AE558" s="3"/>
      <c r="AF558" s="194" t="s">
        <v>4011</v>
      </c>
      <c r="AG558" s="15" t="s">
        <v>192</v>
      </c>
      <c r="AH558" s="15" t="s">
        <v>191</v>
      </c>
    </row>
    <row r="559" spans="1:34" s="4" customFormat="1" x14ac:dyDescent="0.25">
      <c r="A559" s="16">
        <v>891780530</v>
      </c>
      <c r="B559" s="16" t="s">
        <v>54</v>
      </c>
      <c r="C559" s="14" t="s">
        <v>57</v>
      </c>
      <c r="D559" s="16" t="s">
        <v>60</v>
      </c>
      <c r="E559" s="1" t="s">
        <v>4012</v>
      </c>
      <c r="F559" s="16" t="s">
        <v>61</v>
      </c>
      <c r="G559" s="1" t="s">
        <v>69</v>
      </c>
      <c r="H559" s="1" t="s">
        <v>73</v>
      </c>
      <c r="I559" s="9">
        <v>13875296</v>
      </c>
      <c r="J559" s="94"/>
      <c r="K559" s="2"/>
      <c r="L559" s="2"/>
      <c r="M559" s="40">
        <f t="shared" si="22"/>
        <v>13875296</v>
      </c>
      <c r="N559" s="1">
        <v>1056782877</v>
      </c>
      <c r="O559" s="1" t="s">
        <v>4013</v>
      </c>
      <c r="P559" s="1" t="s">
        <v>4014</v>
      </c>
      <c r="Q559" s="3">
        <v>45083</v>
      </c>
      <c r="R559" s="3">
        <v>45083</v>
      </c>
      <c r="S559" s="3">
        <v>45275</v>
      </c>
      <c r="T559" s="35"/>
      <c r="U559" s="3"/>
      <c r="V559" s="3"/>
      <c r="W559" s="50"/>
      <c r="X559" s="9">
        <v>2134661</v>
      </c>
      <c r="Y559" s="9">
        <v>11740635</v>
      </c>
      <c r="Z559" s="34">
        <f t="shared" si="21"/>
        <v>0.15384615939004112</v>
      </c>
      <c r="AA559" s="1">
        <v>12545859</v>
      </c>
      <c r="AB559" s="1" t="s">
        <v>2632</v>
      </c>
      <c r="AC559" s="1"/>
      <c r="AD559" s="1"/>
      <c r="AE559" s="3"/>
      <c r="AF559" s="194" t="s">
        <v>4015</v>
      </c>
      <c r="AG559" s="15" t="s">
        <v>192</v>
      </c>
      <c r="AH559" s="15" t="s">
        <v>192</v>
      </c>
    </row>
    <row r="560" spans="1:34" s="4" customFormat="1" x14ac:dyDescent="0.25">
      <c r="A560" s="16">
        <v>891780531</v>
      </c>
      <c r="B560" s="16" t="s">
        <v>54</v>
      </c>
      <c r="C560" s="14" t="s">
        <v>57</v>
      </c>
      <c r="D560" s="16" t="s">
        <v>60</v>
      </c>
      <c r="E560" s="1" t="s">
        <v>4016</v>
      </c>
      <c r="F560" s="16" t="s">
        <v>61</v>
      </c>
      <c r="G560" s="1" t="s">
        <v>69</v>
      </c>
      <c r="H560" s="1" t="s">
        <v>73</v>
      </c>
      <c r="I560" s="9">
        <v>3500000</v>
      </c>
      <c r="J560" s="94"/>
      <c r="K560" s="2"/>
      <c r="L560" s="2"/>
      <c r="M560" s="40">
        <f t="shared" si="22"/>
        <v>3500000</v>
      </c>
      <c r="N560" s="1">
        <v>1104873977</v>
      </c>
      <c r="O560" s="1" t="s">
        <v>4017</v>
      </c>
      <c r="P560" s="1" t="s">
        <v>4018</v>
      </c>
      <c r="Q560" s="3">
        <v>45085</v>
      </c>
      <c r="R560" s="3">
        <v>45085</v>
      </c>
      <c r="S560" s="3">
        <v>45107</v>
      </c>
      <c r="T560" s="35"/>
      <c r="U560" s="3"/>
      <c r="V560" s="3"/>
      <c r="W560" s="50"/>
      <c r="X560" s="9">
        <v>3500000</v>
      </c>
      <c r="Y560" s="9">
        <f>M560-X560</f>
        <v>0</v>
      </c>
      <c r="Z560" s="34">
        <f t="shared" si="21"/>
        <v>1</v>
      </c>
      <c r="AA560" s="1">
        <v>12545859</v>
      </c>
      <c r="AB560" s="1" t="s">
        <v>2632</v>
      </c>
      <c r="AC560" s="1"/>
      <c r="AD560" s="1"/>
      <c r="AE560" s="3"/>
      <c r="AF560" s="194" t="s">
        <v>4019</v>
      </c>
      <c r="AG560" s="15" t="s">
        <v>192</v>
      </c>
      <c r="AH560" s="15" t="s">
        <v>192</v>
      </c>
    </row>
    <row r="561" spans="1:34" s="4" customFormat="1" x14ac:dyDescent="0.25">
      <c r="A561" s="16">
        <v>891780532</v>
      </c>
      <c r="B561" s="16" t="s">
        <v>54</v>
      </c>
      <c r="C561" s="14" t="s">
        <v>57</v>
      </c>
      <c r="D561" s="16" t="s">
        <v>60</v>
      </c>
      <c r="E561" s="1" t="s">
        <v>4020</v>
      </c>
      <c r="F561" s="16" t="s">
        <v>61</v>
      </c>
      <c r="G561" s="1" t="s">
        <v>69</v>
      </c>
      <c r="H561" s="1" t="s">
        <v>73</v>
      </c>
      <c r="I561" s="9">
        <v>11470254</v>
      </c>
      <c r="J561" s="94"/>
      <c r="K561" s="2"/>
      <c r="L561" s="2"/>
      <c r="M561" s="40">
        <f t="shared" si="22"/>
        <v>11470254</v>
      </c>
      <c r="N561" s="1">
        <v>96342901</v>
      </c>
      <c r="O561" s="1" t="s">
        <v>4021</v>
      </c>
      <c r="P561" s="1" t="s">
        <v>4022</v>
      </c>
      <c r="Q561" s="3">
        <v>45091</v>
      </c>
      <c r="R561" s="3">
        <v>45091</v>
      </c>
      <c r="S561" s="3">
        <v>45275</v>
      </c>
      <c r="T561" s="35"/>
      <c r="U561" s="3"/>
      <c r="V561" s="3"/>
      <c r="W561" s="50"/>
      <c r="X561" s="9">
        <v>1295028</v>
      </c>
      <c r="Y561" s="9">
        <v>10175226</v>
      </c>
      <c r="Z561" s="34">
        <f t="shared" si="21"/>
        <v>0.11290316674765877</v>
      </c>
      <c r="AA561" s="1">
        <v>12545859</v>
      </c>
      <c r="AB561" s="1" t="s">
        <v>2632</v>
      </c>
      <c r="AC561" s="1"/>
      <c r="AD561" s="1"/>
      <c r="AE561" s="3"/>
      <c r="AF561" s="194" t="s">
        <v>4023</v>
      </c>
      <c r="AG561" s="15" t="s">
        <v>192</v>
      </c>
      <c r="AH561" s="15"/>
    </row>
    <row r="562" spans="1:34" s="4" customFormat="1" x14ac:dyDescent="0.25">
      <c r="A562" s="16">
        <v>891780533</v>
      </c>
      <c r="B562" s="16" t="s">
        <v>54</v>
      </c>
      <c r="C562" s="14" t="s">
        <v>57</v>
      </c>
      <c r="D562" s="16" t="s">
        <v>60</v>
      </c>
      <c r="E562" s="1" t="s">
        <v>4024</v>
      </c>
      <c r="F562" s="16" t="s">
        <v>61</v>
      </c>
      <c r="G562" s="1" t="s">
        <v>69</v>
      </c>
      <c r="H562" s="1" t="s">
        <v>73</v>
      </c>
      <c r="I562" s="9">
        <v>11301947</v>
      </c>
      <c r="J562" s="94"/>
      <c r="K562" s="2"/>
      <c r="L562" s="2"/>
      <c r="M562" s="40">
        <f t="shared" si="22"/>
        <v>11301947</v>
      </c>
      <c r="N562" s="1">
        <v>30671183</v>
      </c>
      <c r="O562" s="1" t="s">
        <v>4025</v>
      </c>
      <c r="P562" s="1" t="s">
        <v>4026</v>
      </c>
      <c r="Q562" s="3">
        <v>45092</v>
      </c>
      <c r="R562" s="3">
        <v>45092</v>
      </c>
      <c r="S562" s="3">
        <v>45275</v>
      </c>
      <c r="T562" s="35"/>
      <c r="U562" s="3"/>
      <c r="V562" s="3"/>
      <c r="W562" s="50"/>
      <c r="X562" s="9">
        <v>1324304</v>
      </c>
      <c r="Y562" s="9">
        <v>9977643</v>
      </c>
      <c r="Z562" s="34">
        <f t="shared" si="21"/>
        <v>0.11717485491659092</v>
      </c>
      <c r="AA562" s="1">
        <v>12545859</v>
      </c>
      <c r="AB562" s="1" t="s">
        <v>2632</v>
      </c>
      <c r="AC562" s="1"/>
      <c r="AD562" s="1"/>
      <c r="AE562" s="3"/>
      <c r="AF562" s="194" t="s">
        <v>4027</v>
      </c>
      <c r="AG562" s="15" t="s">
        <v>192</v>
      </c>
      <c r="AH562" s="15"/>
    </row>
    <row r="563" spans="1:34" s="4" customFormat="1" x14ac:dyDescent="0.25">
      <c r="A563" s="16">
        <v>891780534</v>
      </c>
      <c r="B563" s="16" t="s">
        <v>54</v>
      </c>
      <c r="C563" s="14" t="s">
        <v>57</v>
      </c>
      <c r="D563" s="16" t="s">
        <v>60</v>
      </c>
      <c r="E563" s="1" t="s">
        <v>4028</v>
      </c>
      <c r="F563" s="16" t="s">
        <v>61</v>
      </c>
      <c r="G563" s="1" t="s">
        <v>69</v>
      </c>
      <c r="H563" s="1" t="s">
        <v>73</v>
      </c>
      <c r="I563" s="9">
        <v>11100246</v>
      </c>
      <c r="J563" s="94"/>
      <c r="K563" s="2"/>
      <c r="L563" s="2"/>
      <c r="M563" s="40">
        <f t="shared" si="22"/>
        <v>11100246</v>
      </c>
      <c r="N563" s="1">
        <v>1071171526</v>
      </c>
      <c r="O563" s="1" t="s">
        <v>4029</v>
      </c>
      <c r="P563" s="1" t="s">
        <v>4030</v>
      </c>
      <c r="Q563" s="3">
        <v>45098</v>
      </c>
      <c r="R563" s="3">
        <v>45099</v>
      </c>
      <c r="S563" s="3">
        <v>45275</v>
      </c>
      <c r="T563" s="35"/>
      <c r="U563" s="3"/>
      <c r="V563" s="3"/>
      <c r="W563" s="50"/>
      <c r="X563" s="9">
        <v>0</v>
      </c>
      <c r="Y563" s="9">
        <v>11100246</v>
      </c>
      <c r="Z563" s="34">
        <f t="shared" si="21"/>
        <v>0</v>
      </c>
      <c r="AA563" s="1">
        <v>12545859</v>
      </c>
      <c r="AB563" s="1" t="s">
        <v>2632</v>
      </c>
      <c r="AC563" s="1"/>
      <c r="AD563" s="1"/>
      <c r="AE563" s="3"/>
      <c r="AF563" s="194" t="s">
        <v>4031</v>
      </c>
      <c r="AG563" s="15" t="s">
        <v>192</v>
      </c>
      <c r="AH563" s="15" t="s">
        <v>192</v>
      </c>
    </row>
    <row r="564" spans="1:34" s="4" customFormat="1" x14ac:dyDescent="0.25">
      <c r="A564" s="16">
        <v>891780281</v>
      </c>
      <c r="B564" s="16" t="s">
        <v>54</v>
      </c>
      <c r="C564" s="14" t="s">
        <v>57</v>
      </c>
      <c r="D564" s="16" t="s">
        <v>60</v>
      </c>
      <c r="E564" s="1" t="s">
        <v>4032</v>
      </c>
      <c r="F564" s="16" t="s">
        <v>61</v>
      </c>
      <c r="G564" s="1" t="s">
        <v>69</v>
      </c>
      <c r="H564" s="1" t="s">
        <v>72</v>
      </c>
      <c r="I564" s="9">
        <v>70000000</v>
      </c>
      <c r="J564" s="94"/>
      <c r="K564" s="2"/>
      <c r="L564" s="2"/>
      <c r="M564" s="40">
        <f t="shared" si="22"/>
        <v>70000000</v>
      </c>
      <c r="N564" s="1">
        <v>860002180</v>
      </c>
      <c r="O564" s="1" t="s">
        <v>4033</v>
      </c>
      <c r="P564" s="1" t="s">
        <v>4034</v>
      </c>
      <c r="Q564" s="3">
        <v>44953</v>
      </c>
      <c r="R564" s="3">
        <v>44953</v>
      </c>
      <c r="S564" s="3">
        <v>45291</v>
      </c>
      <c r="T564" s="35"/>
      <c r="U564" s="3"/>
      <c r="V564" s="3"/>
      <c r="W564" s="50"/>
      <c r="X564" s="9">
        <v>70000000</v>
      </c>
      <c r="Y564" s="9">
        <f t="shared" ref="Y564:Y573" si="24">M564-X564</f>
        <v>0</v>
      </c>
      <c r="Z564" s="34">
        <f t="shared" si="21"/>
        <v>1</v>
      </c>
      <c r="AA564" s="1">
        <v>85471791</v>
      </c>
      <c r="AB564" s="1" t="s">
        <v>2182</v>
      </c>
      <c r="AC564" s="1"/>
      <c r="AD564" s="1"/>
      <c r="AE564" s="3"/>
      <c r="AF564" s="194" t="s">
        <v>4035</v>
      </c>
      <c r="AG564" s="15" t="s">
        <v>192</v>
      </c>
      <c r="AH564" s="15" t="s">
        <v>191</v>
      </c>
    </row>
    <row r="565" spans="1:34" s="4" customFormat="1" x14ac:dyDescent="0.25">
      <c r="A565" s="16">
        <v>891780535</v>
      </c>
      <c r="B565" s="16" t="s">
        <v>54</v>
      </c>
      <c r="C565" s="14" t="s">
        <v>57</v>
      </c>
      <c r="D565" s="16" t="s">
        <v>60</v>
      </c>
      <c r="E565" s="1" t="s">
        <v>4036</v>
      </c>
      <c r="F565" s="16" t="s">
        <v>61</v>
      </c>
      <c r="G565" s="1" t="s">
        <v>69</v>
      </c>
      <c r="H565" s="1" t="s">
        <v>59</v>
      </c>
      <c r="I565" s="9">
        <v>47999840</v>
      </c>
      <c r="J565" s="94"/>
      <c r="K565" s="2"/>
      <c r="L565" s="2"/>
      <c r="M565" s="40">
        <f t="shared" si="22"/>
        <v>47999840</v>
      </c>
      <c r="N565" s="1">
        <v>900763287</v>
      </c>
      <c r="O565" s="1" t="s">
        <v>3596</v>
      </c>
      <c r="P565" s="1" t="s">
        <v>4037</v>
      </c>
      <c r="Q565" s="3">
        <v>45104</v>
      </c>
      <c r="R565" s="3">
        <v>45104</v>
      </c>
      <c r="S565" s="3">
        <v>45174</v>
      </c>
      <c r="T565" s="35"/>
      <c r="U565" s="3"/>
      <c r="V565" s="3"/>
      <c r="W565" s="50"/>
      <c r="X565" s="9">
        <v>0</v>
      </c>
      <c r="Y565" s="9">
        <f t="shared" si="24"/>
        <v>47999840</v>
      </c>
      <c r="Z565" s="34">
        <f t="shared" si="21"/>
        <v>0</v>
      </c>
      <c r="AA565" s="1">
        <v>12545859</v>
      </c>
      <c r="AB565" s="1" t="s">
        <v>2632</v>
      </c>
      <c r="AC565" s="1"/>
      <c r="AD565" s="1"/>
      <c r="AE565" s="3"/>
      <c r="AF565" s="194" t="s">
        <v>4038</v>
      </c>
      <c r="AG565" s="15" t="s">
        <v>192</v>
      </c>
      <c r="AH565" s="15" t="s">
        <v>191</v>
      </c>
    </row>
    <row r="566" spans="1:34" s="4" customFormat="1" x14ac:dyDescent="0.25">
      <c r="A566" s="16">
        <v>891780535</v>
      </c>
      <c r="B566" s="16" t="s">
        <v>54</v>
      </c>
      <c r="C566" s="14" t="s">
        <v>57</v>
      </c>
      <c r="D566" s="16" t="s">
        <v>60</v>
      </c>
      <c r="E566" s="1" t="s">
        <v>4039</v>
      </c>
      <c r="F566" s="16" t="s">
        <v>61</v>
      </c>
      <c r="G566" s="1" t="s">
        <v>69</v>
      </c>
      <c r="H566" s="1" t="s">
        <v>73</v>
      </c>
      <c r="I566" s="9">
        <v>10175226</v>
      </c>
      <c r="J566" s="94"/>
      <c r="K566" s="2"/>
      <c r="L566" s="2"/>
      <c r="M566" s="40">
        <f t="shared" si="22"/>
        <v>10175226</v>
      </c>
      <c r="N566" s="1">
        <v>1051736519</v>
      </c>
      <c r="O566" s="1" t="s">
        <v>4040</v>
      </c>
      <c r="P566" s="1" t="s">
        <v>4041</v>
      </c>
      <c r="Q566" s="3">
        <v>45118</v>
      </c>
      <c r="R566" s="3">
        <v>45118</v>
      </c>
      <c r="S566" s="3">
        <v>45275</v>
      </c>
      <c r="T566" s="35"/>
      <c r="U566" s="3"/>
      <c r="V566" s="3"/>
      <c r="W566" s="50"/>
      <c r="X566" s="9">
        <v>0</v>
      </c>
      <c r="Y566" s="9">
        <f t="shared" si="24"/>
        <v>10175226</v>
      </c>
      <c r="Z566" s="34">
        <f t="shared" si="21"/>
        <v>0</v>
      </c>
      <c r="AA566" s="1">
        <v>12545859</v>
      </c>
      <c r="AB566" s="1" t="s">
        <v>2632</v>
      </c>
      <c r="AC566" s="1"/>
      <c r="AD566" s="1"/>
      <c r="AE566" s="3"/>
      <c r="AF566" s="194" t="s">
        <v>4042</v>
      </c>
      <c r="AG566" s="15" t="s">
        <v>192</v>
      </c>
      <c r="AH566" s="15"/>
    </row>
    <row r="567" spans="1:34" s="4" customFormat="1" x14ac:dyDescent="0.25">
      <c r="A567" s="16">
        <v>891780535</v>
      </c>
      <c r="B567" s="16" t="s">
        <v>54</v>
      </c>
      <c r="C567" s="14" t="s">
        <v>57</v>
      </c>
      <c r="D567" s="16" t="s">
        <v>60</v>
      </c>
      <c r="E567" s="1" t="s">
        <v>4043</v>
      </c>
      <c r="F567" s="16" t="s">
        <v>61</v>
      </c>
      <c r="G567" s="1" t="s">
        <v>69</v>
      </c>
      <c r="H567" s="1" t="s">
        <v>73</v>
      </c>
      <c r="I567" s="9">
        <v>3265409</v>
      </c>
      <c r="J567" s="94"/>
      <c r="K567" s="2"/>
      <c r="L567" s="2"/>
      <c r="M567" s="40">
        <f t="shared" si="22"/>
        <v>3265409</v>
      </c>
      <c r="N567" s="1">
        <v>1192741157</v>
      </c>
      <c r="O567" s="1" t="s">
        <v>4044</v>
      </c>
      <c r="P567" s="1" t="s">
        <v>4045</v>
      </c>
      <c r="Q567" s="3">
        <v>45121</v>
      </c>
      <c r="R567" s="3">
        <v>45121</v>
      </c>
      <c r="S567" s="3">
        <v>45169</v>
      </c>
      <c r="T567" s="35"/>
      <c r="U567" s="3"/>
      <c r="V567" s="3"/>
      <c r="W567" s="50"/>
      <c r="X567" s="9">
        <v>0</v>
      </c>
      <c r="Y567" s="9">
        <f t="shared" si="24"/>
        <v>3265409</v>
      </c>
      <c r="Z567" s="34">
        <f t="shared" si="21"/>
        <v>0</v>
      </c>
      <c r="AA567" s="1">
        <v>12545859</v>
      </c>
      <c r="AB567" s="1" t="s">
        <v>2632</v>
      </c>
      <c r="AC567" s="1"/>
      <c r="AD567" s="1"/>
      <c r="AE567" s="3"/>
      <c r="AF567" s="194" t="s">
        <v>4046</v>
      </c>
      <c r="AG567" s="15" t="s">
        <v>192</v>
      </c>
      <c r="AH567" s="15"/>
    </row>
    <row r="568" spans="1:34" s="4" customFormat="1" x14ac:dyDescent="0.25">
      <c r="A568" s="16">
        <v>891780535</v>
      </c>
      <c r="B568" s="16" t="s">
        <v>54</v>
      </c>
      <c r="C568" s="14" t="s">
        <v>57</v>
      </c>
      <c r="D568" s="16" t="s">
        <v>60</v>
      </c>
      <c r="E568" s="1" t="s">
        <v>4047</v>
      </c>
      <c r="F568" s="16" t="s">
        <v>61</v>
      </c>
      <c r="G568" s="1" t="s">
        <v>69</v>
      </c>
      <c r="H568" s="1" t="s">
        <v>73</v>
      </c>
      <c r="I568" s="9">
        <v>9977642</v>
      </c>
      <c r="J568" s="94"/>
      <c r="K568" s="2"/>
      <c r="L568" s="2"/>
      <c r="M568" s="40">
        <f t="shared" si="22"/>
        <v>9977642</v>
      </c>
      <c r="N568" s="1">
        <v>1104431523</v>
      </c>
      <c r="O568" s="1" t="s">
        <v>4048</v>
      </c>
      <c r="P568" s="1" t="s">
        <v>4049</v>
      </c>
      <c r="Q568" s="3">
        <v>45121</v>
      </c>
      <c r="R568" s="3">
        <v>45121</v>
      </c>
      <c r="S568" s="3">
        <v>45275</v>
      </c>
      <c r="T568" s="35"/>
      <c r="U568" s="3"/>
      <c r="V568" s="3"/>
      <c r="W568" s="50"/>
      <c r="X568" s="9">
        <v>0</v>
      </c>
      <c r="Y568" s="9">
        <f t="shared" si="24"/>
        <v>9977642</v>
      </c>
      <c r="Z568" s="34">
        <f t="shared" si="21"/>
        <v>0</v>
      </c>
      <c r="AA568" s="1">
        <v>12545859</v>
      </c>
      <c r="AB568" s="1" t="s">
        <v>2632</v>
      </c>
      <c r="AC568" s="1"/>
      <c r="AD568" s="1"/>
      <c r="AE568" s="3"/>
      <c r="AF568" s="194" t="s">
        <v>4050</v>
      </c>
      <c r="AG568" s="15" t="s">
        <v>192</v>
      </c>
      <c r="AH568" s="15"/>
    </row>
    <row r="569" spans="1:34" s="4" customFormat="1" x14ac:dyDescent="0.25">
      <c r="A569" s="16">
        <v>891780535</v>
      </c>
      <c r="B569" s="16" t="s">
        <v>54</v>
      </c>
      <c r="C569" s="14" t="s">
        <v>57</v>
      </c>
      <c r="D569" s="16" t="s">
        <v>60</v>
      </c>
      <c r="E569" s="1" t="s">
        <v>4051</v>
      </c>
      <c r="F569" s="16" t="s">
        <v>61</v>
      </c>
      <c r="G569" s="1" t="s">
        <v>69</v>
      </c>
      <c r="H569" s="1" t="s">
        <v>73</v>
      </c>
      <c r="I569" s="9">
        <v>4005570</v>
      </c>
      <c r="J569" s="94"/>
      <c r="K569" s="2"/>
      <c r="L569" s="2"/>
      <c r="M569" s="40">
        <f t="shared" si="22"/>
        <v>4005570</v>
      </c>
      <c r="N569" s="1">
        <v>1072531053</v>
      </c>
      <c r="O569" s="1" t="s">
        <v>4052</v>
      </c>
      <c r="P569" s="1" t="s">
        <v>4053</v>
      </c>
      <c r="Q569" s="3">
        <v>45121</v>
      </c>
      <c r="R569" s="3">
        <v>45121</v>
      </c>
      <c r="S569" s="3">
        <v>45169</v>
      </c>
      <c r="T569" s="35"/>
      <c r="U569" s="3"/>
      <c r="V569" s="3"/>
      <c r="W569" s="50"/>
      <c r="X569" s="9">
        <v>0</v>
      </c>
      <c r="Y569" s="9">
        <f t="shared" si="24"/>
        <v>4005570</v>
      </c>
      <c r="Z569" s="34">
        <f t="shared" si="21"/>
        <v>0</v>
      </c>
      <c r="AA569" s="1">
        <v>12545859</v>
      </c>
      <c r="AB569" s="1" t="s">
        <v>2632</v>
      </c>
      <c r="AC569" s="1"/>
      <c r="AD569" s="1"/>
      <c r="AE569" s="3"/>
      <c r="AF569" s="194" t="s">
        <v>4050</v>
      </c>
      <c r="AG569" s="15" t="s">
        <v>192</v>
      </c>
      <c r="AH569" s="15"/>
    </row>
    <row r="570" spans="1:34" s="4" customFormat="1" x14ac:dyDescent="0.25">
      <c r="A570" s="16">
        <v>891780535</v>
      </c>
      <c r="B570" s="16" t="s">
        <v>54</v>
      </c>
      <c r="C570" s="14" t="s">
        <v>57</v>
      </c>
      <c r="D570" s="16" t="s">
        <v>60</v>
      </c>
      <c r="E570" s="1" t="s">
        <v>4054</v>
      </c>
      <c r="F570" s="16" t="s">
        <v>61</v>
      </c>
      <c r="G570" s="1" t="s">
        <v>69</v>
      </c>
      <c r="H570" s="1" t="s">
        <v>73</v>
      </c>
      <c r="I570" s="9">
        <v>9977642</v>
      </c>
      <c r="J570" s="94"/>
      <c r="K570" s="2"/>
      <c r="L570" s="2"/>
      <c r="M570" s="40">
        <f t="shared" si="22"/>
        <v>9977642</v>
      </c>
      <c r="N570" s="1">
        <v>1193293846</v>
      </c>
      <c r="O570" s="1" t="s">
        <v>4055</v>
      </c>
      <c r="P570" s="1" t="s">
        <v>4056</v>
      </c>
      <c r="Q570" s="3">
        <v>45121</v>
      </c>
      <c r="R570" s="3">
        <v>45121</v>
      </c>
      <c r="S570" s="3">
        <v>45275</v>
      </c>
      <c r="T570" s="35"/>
      <c r="U570" s="3"/>
      <c r="V570" s="3"/>
      <c r="W570" s="50"/>
      <c r="X570" s="9">
        <v>0</v>
      </c>
      <c r="Y570" s="9">
        <f t="shared" si="24"/>
        <v>9977642</v>
      </c>
      <c r="Z570" s="34">
        <f t="shared" si="21"/>
        <v>0</v>
      </c>
      <c r="AA570" s="1">
        <v>12545859</v>
      </c>
      <c r="AB570" s="1" t="s">
        <v>2632</v>
      </c>
      <c r="AC570" s="1"/>
      <c r="AD570" s="1"/>
      <c r="AE570" s="3"/>
      <c r="AF570" s="194" t="s">
        <v>4057</v>
      </c>
      <c r="AG570" s="15" t="s">
        <v>192</v>
      </c>
      <c r="AH570" s="15"/>
    </row>
    <row r="571" spans="1:34" s="4" customFormat="1" x14ac:dyDescent="0.25">
      <c r="A571" s="16">
        <v>891780535</v>
      </c>
      <c r="B571" s="16" t="s">
        <v>54</v>
      </c>
      <c r="C571" s="14" t="s">
        <v>57</v>
      </c>
      <c r="D571" s="16" t="s">
        <v>60</v>
      </c>
      <c r="E571" s="1" t="s">
        <v>4058</v>
      </c>
      <c r="F571" s="16" t="s">
        <v>61</v>
      </c>
      <c r="G571" s="1" t="s">
        <v>69</v>
      </c>
      <c r="H571" s="1" t="s">
        <v>73</v>
      </c>
      <c r="I571" s="9">
        <v>16950000</v>
      </c>
      <c r="J571" s="94"/>
      <c r="K571" s="2"/>
      <c r="L571" s="2"/>
      <c r="M571" s="40">
        <f t="shared" si="22"/>
        <v>16950000</v>
      </c>
      <c r="N571" s="1">
        <v>1082937729</v>
      </c>
      <c r="O571" s="1" t="s">
        <v>2225</v>
      </c>
      <c r="P571" s="1" t="s">
        <v>4059</v>
      </c>
      <c r="Q571" s="3">
        <v>45121</v>
      </c>
      <c r="R571" s="3">
        <v>45146</v>
      </c>
      <c r="S571" s="3">
        <v>45188</v>
      </c>
      <c r="T571" s="35"/>
      <c r="U571" s="3"/>
      <c r="V571" s="3"/>
      <c r="W571" s="50"/>
      <c r="X571" s="9">
        <v>0</v>
      </c>
      <c r="Y571" s="9">
        <f t="shared" si="24"/>
        <v>16950000</v>
      </c>
      <c r="Z571" s="34">
        <f t="shared" si="21"/>
        <v>0</v>
      </c>
      <c r="AA571" s="1">
        <v>12545859</v>
      </c>
      <c r="AB571" s="1" t="s">
        <v>2632</v>
      </c>
      <c r="AC571" s="1" t="s">
        <v>192</v>
      </c>
      <c r="AD571" s="1"/>
      <c r="AE571" s="3">
        <v>45125</v>
      </c>
      <c r="AF571" s="194" t="s">
        <v>4060</v>
      </c>
      <c r="AG571" s="15" t="s">
        <v>192</v>
      </c>
      <c r="AH571" s="15"/>
    </row>
    <row r="572" spans="1:34" s="4" customFormat="1" x14ac:dyDescent="0.25">
      <c r="A572" s="16">
        <v>891780535</v>
      </c>
      <c r="B572" s="16" t="s">
        <v>54</v>
      </c>
      <c r="C572" s="14" t="s">
        <v>57</v>
      </c>
      <c r="D572" s="16" t="s">
        <v>60</v>
      </c>
      <c r="E572" s="1" t="s">
        <v>4061</v>
      </c>
      <c r="F572" s="16" t="s">
        <v>61</v>
      </c>
      <c r="G572" s="1" t="s">
        <v>69</v>
      </c>
      <c r="H572" s="1" t="s">
        <v>73</v>
      </c>
      <c r="I572" s="9">
        <v>24200000</v>
      </c>
      <c r="J572" s="94"/>
      <c r="K572" s="2"/>
      <c r="L572" s="2"/>
      <c r="M572" s="40">
        <f t="shared" si="22"/>
        <v>24200000</v>
      </c>
      <c r="N572" s="1">
        <v>11810616</v>
      </c>
      <c r="O572" s="1" t="s">
        <v>4062</v>
      </c>
      <c r="P572" s="1" t="s">
        <v>4063</v>
      </c>
      <c r="Q572" s="3">
        <v>45121</v>
      </c>
      <c r="R572" s="3">
        <v>45146</v>
      </c>
      <c r="S572" s="3">
        <v>45174</v>
      </c>
      <c r="T572" s="35"/>
      <c r="U572" s="3"/>
      <c r="V572" s="3"/>
      <c r="W572" s="50"/>
      <c r="X572" s="9">
        <v>0</v>
      </c>
      <c r="Y572" s="9">
        <f t="shared" si="24"/>
        <v>24200000</v>
      </c>
      <c r="Z572" s="34">
        <f t="shared" si="21"/>
        <v>0</v>
      </c>
      <c r="AA572" s="1">
        <v>12545859</v>
      </c>
      <c r="AB572" s="1" t="s">
        <v>2632</v>
      </c>
      <c r="AC572" s="1" t="s">
        <v>192</v>
      </c>
      <c r="AD572" s="1"/>
      <c r="AE572" s="3">
        <v>45125</v>
      </c>
      <c r="AF572" s="194" t="s">
        <v>4064</v>
      </c>
      <c r="AG572" s="15" t="s">
        <v>192</v>
      </c>
      <c r="AH572" s="15"/>
    </row>
    <row r="573" spans="1:34" s="4" customFormat="1" x14ac:dyDescent="0.25">
      <c r="A573" s="16">
        <v>891780535</v>
      </c>
      <c r="B573" s="16" t="s">
        <v>54</v>
      </c>
      <c r="C573" s="14" t="s">
        <v>57</v>
      </c>
      <c r="D573" s="16" t="s">
        <v>60</v>
      </c>
      <c r="E573" s="1" t="s">
        <v>4065</v>
      </c>
      <c r="F573" s="16" t="s">
        <v>61</v>
      </c>
      <c r="G573" s="1" t="s">
        <v>69</v>
      </c>
      <c r="H573" s="1" t="s">
        <v>73</v>
      </c>
      <c r="I573" s="9">
        <v>23125290</v>
      </c>
      <c r="J573" s="94"/>
      <c r="K573" s="2"/>
      <c r="L573" s="2"/>
      <c r="M573" s="40">
        <f t="shared" si="22"/>
        <v>23125290</v>
      </c>
      <c r="N573" s="1">
        <v>79111486</v>
      </c>
      <c r="O573" s="1" t="s">
        <v>4066</v>
      </c>
      <c r="P573" s="1" t="s">
        <v>4067</v>
      </c>
      <c r="Q573" s="3">
        <v>45132</v>
      </c>
      <c r="R573" s="3">
        <v>45132</v>
      </c>
      <c r="S573" s="3">
        <v>45275</v>
      </c>
      <c r="T573" s="35"/>
      <c r="U573" s="3"/>
      <c r="V573" s="3"/>
      <c r="W573" s="50"/>
      <c r="X573" s="9">
        <v>0</v>
      </c>
      <c r="Y573" s="9">
        <f t="shared" si="24"/>
        <v>23125290</v>
      </c>
      <c r="Z573" s="34">
        <f t="shared" si="21"/>
        <v>0</v>
      </c>
      <c r="AA573" s="1">
        <v>12545859</v>
      </c>
      <c r="AB573" s="1" t="s">
        <v>2632</v>
      </c>
      <c r="AC573" s="1"/>
      <c r="AD573" s="1"/>
      <c r="AE573" s="3"/>
      <c r="AF573" s="194" t="s">
        <v>4068</v>
      </c>
      <c r="AG573" s="15" t="s">
        <v>192</v>
      </c>
      <c r="AH573" s="15"/>
    </row>
    <row r="574" spans="1:34" s="4" customFormat="1" x14ac:dyDescent="0.25">
      <c r="A574" s="16">
        <v>891780112</v>
      </c>
      <c r="B574" s="16" t="s">
        <v>54</v>
      </c>
      <c r="C574" s="14" t="s">
        <v>57</v>
      </c>
      <c r="D574" s="16" t="s">
        <v>60</v>
      </c>
      <c r="E574" s="1" t="s">
        <v>4069</v>
      </c>
      <c r="F574" s="16" t="s">
        <v>61</v>
      </c>
      <c r="G574" s="1" t="s">
        <v>69</v>
      </c>
      <c r="H574" s="1" t="s">
        <v>73</v>
      </c>
      <c r="I574" s="9">
        <v>24700000</v>
      </c>
      <c r="J574" s="94"/>
      <c r="K574" s="2"/>
      <c r="L574" s="2"/>
      <c r="M574" s="40">
        <f t="shared" si="22"/>
        <v>24700000</v>
      </c>
      <c r="N574" s="1">
        <v>1082998041</v>
      </c>
      <c r="O574" s="1" t="s">
        <v>4070</v>
      </c>
      <c r="P574" s="1" t="s">
        <v>4071</v>
      </c>
      <c r="Q574" s="3">
        <v>44979</v>
      </c>
      <c r="R574" s="3">
        <v>44979</v>
      </c>
      <c r="S574" s="3">
        <v>45348</v>
      </c>
      <c r="T574" s="35"/>
      <c r="U574" s="3"/>
      <c r="V574" s="3"/>
      <c r="W574" s="50"/>
      <c r="X574" s="9">
        <v>9500000</v>
      </c>
      <c r="Y574" s="9">
        <v>15200000</v>
      </c>
      <c r="Z574" s="34">
        <f t="shared" si="21"/>
        <v>0.38461538461538464</v>
      </c>
      <c r="AA574" s="1">
        <v>72220242</v>
      </c>
      <c r="AB574" s="1" t="s">
        <v>4072</v>
      </c>
      <c r="AC574" s="1"/>
      <c r="AD574" s="1"/>
      <c r="AE574" s="3"/>
      <c r="AF574" s="194" t="s">
        <v>4073</v>
      </c>
      <c r="AG574" s="15" t="s">
        <v>192</v>
      </c>
      <c r="AH574" s="15" t="s">
        <v>192</v>
      </c>
    </row>
    <row r="575" spans="1:34" s="4" customFormat="1" x14ac:dyDescent="0.25">
      <c r="A575" s="16">
        <v>891780113</v>
      </c>
      <c r="B575" s="16" t="s">
        <v>54</v>
      </c>
      <c r="C575" s="14" t="s">
        <v>57</v>
      </c>
      <c r="D575" s="16" t="s">
        <v>60</v>
      </c>
      <c r="E575" s="1" t="s">
        <v>4074</v>
      </c>
      <c r="F575" s="16" t="s">
        <v>61</v>
      </c>
      <c r="G575" s="1" t="s">
        <v>69</v>
      </c>
      <c r="H575" s="1" t="s">
        <v>73</v>
      </c>
      <c r="I575" s="9">
        <v>24700000</v>
      </c>
      <c r="J575" s="94"/>
      <c r="K575" s="2"/>
      <c r="L575" s="2"/>
      <c r="M575" s="40">
        <f t="shared" si="22"/>
        <v>24700000</v>
      </c>
      <c r="N575" s="1">
        <v>1004369361</v>
      </c>
      <c r="O575" s="1" t="s">
        <v>4075</v>
      </c>
      <c r="P575" s="1" t="s">
        <v>4076</v>
      </c>
      <c r="Q575" s="3">
        <v>44979</v>
      </c>
      <c r="R575" s="3">
        <v>44979</v>
      </c>
      <c r="S575" s="3">
        <v>45348</v>
      </c>
      <c r="T575" s="35"/>
      <c r="U575" s="3"/>
      <c r="V575" s="3"/>
      <c r="W575" s="50"/>
      <c r="X575" s="9">
        <v>9500000</v>
      </c>
      <c r="Y575" s="9">
        <v>15200000</v>
      </c>
      <c r="Z575" s="34">
        <f t="shared" si="21"/>
        <v>0.38461538461538464</v>
      </c>
      <c r="AA575" s="1">
        <v>72220242</v>
      </c>
      <c r="AB575" s="1" t="s">
        <v>4072</v>
      </c>
      <c r="AC575" s="1"/>
      <c r="AD575" s="1"/>
      <c r="AE575" s="3"/>
      <c r="AF575" s="194" t="s">
        <v>4077</v>
      </c>
      <c r="AG575" s="15" t="s">
        <v>192</v>
      </c>
      <c r="AH575" s="15" t="s">
        <v>192</v>
      </c>
    </row>
    <row r="576" spans="1:34" s="4" customFormat="1" x14ac:dyDescent="0.25">
      <c r="A576" s="16">
        <v>891780285</v>
      </c>
      <c r="B576" s="16" t="s">
        <v>54</v>
      </c>
      <c r="C576" s="14" t="s">
        <v>57</v>
      </c>
      <c r="D576" s="16" t="s">
        <v>60</v>
      </c>
      <c r="E576" s="1" t="s">
        <v>4078</v>
      </c>
      <c r="F576" s="16" t="s">
        <v>61</v>
      </c>
      <c r="G576" s="1" t="s">
        <v>69</v>
      </c>
      <c r="H576" s="1" t="s">
        <v>73</v>
      </c>
      <c r="I576" s="9">
        <v>2880000</v>
      </c>
      <c r="J576" s="94"/>
      <c r="K576" s="2"/>
      <c r="L576" s="2"/>
      <c r="M576" s="40">
        <f t="shared" si="22"/>
        <v>2880000</v>
      </c>
      <c r="N576" s="1">
        <v>84450420</v>
      </c>
      <c r="O576" s="1" t="s">
        <v>4079</v>
      </c>
      <c r="P576" s="1" t="s">
        <v>4080</v>
      </c>
      <c r="Q576" s="3">
        <v>44979</v>
      </c>
      <c r="R576" s="3">
        <v>44979</v>
      </c>
      <c r="S576" s="3">
        <v>45016</v>
      </c>
      <c r="T576" s="35"/>
      <c r="U576" s="3"/>
      <c r="V576" s="3"/>
      <c r="W576" s="50"/>
      <c r="X576" s="9">
        <v>2880000</v>
      </c>
      <c r="Y576" s="9">
        <f>M576-X576</f>
        <v>0</v>
      </c>
      <c r="Z576" s="34">
        <f t="shared" si="21"/>
        <v>1</v>
      </c>
      <c r="AA576" s="1">
        <v>72220242</v>
      </c>
      <c r="AB576" s="1" t="s">
        <v>4072</v>
      </c>
      <c r="AC576" s="1"/>
      <c r="AD576" s="1"/>
      <c r="AE576" s="3"/>
      <c r="AF576" s="194" t="s">
        <v>4081</v>
      </c>
      <c r="AG576" s="15" t="s">
        <v>192</v>
      </c>
      <c r="AH576" s="15" t="s">
        <v>192</v>
      </c>
    </row>
    <row r="577" spans="1:34" s="4" customFormat="1" x14ac:dyDescent="0.25">
      <c r="A577" s="16">
        <v>891780286</v>
      </c>
      <c r="B577" s="16" t="s">
        <v>54</v>
      </c>
      <c r="C577" s="14" t="s">
        <v>57</v>
      </c>
      <c r="D577" s="16" t="s">
        <v>60</v>
      </c>
      <c r="E577" s="1" t="s">
        <v>4082</v>
      </c>
      <c r="F577" s="16" t="s">
        <v>61</v>
      </c>
      <c r="G577" s="1" t="s">
        <v>69</v>
      </c>
      <c r="H577" s="1" t="s">
        <v>73</v>
      </c>
      <c r="I577" s="9">
        <v>49400000</v>
      </c>
      <c r="J577" s="94"/>
      <c r="K577" s="2"/>
      <c r="L577" s="2"/>
      <c r="M577" s="40">
        <f t="shared" si="22"/>
        <v>49400000</v>
      </c>
      <c r="N577" s="1">
        <v>1082941708</v>
      </c>
      <c r="O577" s="1" t="s">
        <v>4083</v>
      </c>
      <c r="P577" s="1" t="s">
        <v>4084</v>
      </c>
      <c r="Q577" s="3">
        <v>44979</v>
      </c>
      <c r="R577" s="3">
        <v>44979</v>
      </c>
      <c r="S577" s="3">
        <v>45348</v>
      </c>
      <c r="T577" s="35"/>
      <c r="U577" s="3"/>
      <c r="V577" s="3"/>
      <c r="W577" s="50"/>
      <c r="X577" s="9">
        <v>17000000</v>
      </c>
      <c r="Y577" s="9">
        <v>32400000</v>
      </c>
      <c r="Z577" s="34">
        <f t="shared" si="21"/>
        <v>0.34412955465587042</v>
      </c>
      <c r="AA577" s="1">
        <v>72220242</v>
      </c>
      <c r="AB577" s="1" t="s">
        <v>4072</v>
      </c>
      <c r="AC577" s="1"/>
      <c r="AD577" s="1"/>
      <c r="AE577" s="3"/>
      <c r="AF577" s="194" t="s">
        <v>4085</v>
      </c>
      <c r="AG577" s="15" t="s">
        <v>192</v>
      </c>
      <c r="AH577" s="15" t="s">
        <v>192</v>
      </c>
    </row>
    <row r="578" spans="1:34" s="4" customFormat="1" x14ac:dyDescent="0.25">
      <c r="A578" s="16">
        <v>891780287</v>
      </c>
      <c r="B578" s="16" t="s">
        <v>54</v>
      </c>
      <c r="C578" s="14" t="s">
        <v>57</v>
      </c>
      <c r="D578" s="16" t="s">
        <v>60</v>
      </c>
      <c r="E578" s="1" t="s">
        <v>4086</v>
      </c>
      <c r="F578" s="16" t="s">
        <v>61</v>
      </c>
      <c r="G578" s="1" t="s">
        <v>69</v>
      </c>
      <c r="H578" s="1" t="s">
        <v>73</v>
      </c>
      <c r="I578" s="9">
        <v>49400000</v>
      </c>
      <c r="J578" s="94"/>
      <c r="K578" s="2"/>
      <c r="L578" s="2"/>
      <c r="M578" s="40">
        <f t="shared" si="22"/>
        <v>49400000</v>
      </c>
      <c r="N578" s="1">
        <v>84455378</v>
      </c>
      <c r="O578" s="1" t="s">
        <v>4087</v>
      </c>
      <c r="P578" s="1" t="s">
        <v>4088</v>
      </c>
      <c r="Q578" s="3">
        <v>44979</v>
      </c>
      <c r="R578" s="3">
        <v>44979</v>
      </c>
      <c r="S578" s="3">
        <v>45348</v>
      </c>
      <c r="T578" s="35"/>
      <c r="U578" s="3"/>
      <c r="V578" s="3"/>
      <c r="W578" s="50"/>
      <c r="X578" s="9">
        <v>19000000</v>
      </c>
      <c r="Y578" s="9">
        <v>30400000</v>
      </c>
      <c r="Z578" s="34">
        <f t="shared" si="21"/>
        <v>0.38461538461538464</v>
      </c>
      <c r="AA578" s="1">
        <v>72220242</v>
      </c>
      <c r="AB578" s="1" t="s">
        <v>4072</v>
      </c>
      <c r="AC578" s="1"/>
      <c r="AD578" s="1"/>
      <c r="AE578" s="3"/>
      <c r="AF578" s="194" t="s">
        <v>4089</v>
      </c>
      <c r="AG578" s="15" t="s">
        <v>192</v>
      </c>
      <c r="AH578" s="15" t="s">
        <v>192</v>
      </c>
    </row>
    <row r="579" spans="1:34" s="4" customFormat="1" x14ac:dyDescent="0.25">
      <c r="A579" s="16">
        <v>891780288</v>
      </c>
      <c r="B579" s="16" t="s">
        <v>54</v>
      </c>
      <c r="C579" s="14" t="s">
        <v>57</v>
      </c>
      <c r="D579" s="16" t="s">
        <v>60</v>
      </c>
      <c r="E579" s="1" t="s">
        <v>4090</v>
      </c>
      <c r="F579" s="16" t="s">
        <v>61</v>
      </c>
      <c r="G579" s="1" t="s">
        <v>69</v>
      </c>
      <c r="H579" s="1" t="s">
        <v>73</v>
      </c>
      <c r="I579" s="9">
        <v>44200000</v>
      </c>
      <c r="J579" s="94"/>
      <c r="K579" s="2"/>
      <c r="L579" s="2"/>
      <c r="M579" s="40">
        <f t="shared" si="22"/>
        <v>44200000</v>
      </c>
      <c r="N579" s="1">
        <v>1082872242</v>
      </c>
      <c r="O579" s="1" t="s">
        <v>4091</v>
      </c>
      <c r="P579" s="1" t="s">
        <v>4092</v>
      </c>
      <c r="Q579" s="3">
        <v>44979</v>
      </c>
      <c r="R579" s="3">
        <v>44979</v>
      </c>
      <c r="S579" s="3">
        <v>45348</v>
      </c>
      <c r="T579" s="35"/>
      <c r="U579" s="3"/>
      <c r="V579" s="3"/>
      <c r="W579" s="50"/>
      <c r="X579" s="9">
        <v>17000000</v>
      </c>
      <c r="Y579" s="9">
        <v>27200000</v>
      </c>
      <c r="Z579" s="34">
        <f t="shared" si="21"/>
        <v>0.38461538461538464</v>
      </c>
      <c r="AA579" s="1">
        <v>72220242</v>
      </c>
      <c r="AB579" s="1" t="s">
        <v>4072</v>
      </c>
      <c r="AC579" s="1"/>
      <c r="AD579" s="1"/>
      <c r="AE579" s="3"/>
      <c r="AF579" s="194" t="s">
        <v>4093</v>
      </c>
      <c r="AG579" s="15" t="s">
        <v>192</v>
      </c>
      <c r="AH579" s="15" t="s">
        <v>192</v>
      </c>
    </row>
    <row r="580" spans="1:34" s="4" customFormat="1" x14ac:dyDescent="0.25">
      <c r="A580" s="16">
        <v>891780289</v>
      </c>
      <c r="B580" s="16" t="s">
        <v>54</v>
      </c>
      <c r="C580" s="14" t="s">
        <v>57</v>
      </c>
      <c r="D580" s="16" t="s">
        <v>60</v>
      </c>
      <c r="E580" s="1" t="s">
        <v>4094</v>
      </c>
      <c r="F580" s="16" t="s">
        <v>61</v>
      </c>
      <c r="G580" s="1" t="s">
        <v>69</v>
      </c>
      <c r="H580" s="1" t="s">
        <v>73</v>
      </c>
      <c r="I580" s="9">
        <v>44200000</v>
      </c>
      <c r="J580" s="94"/>
      <c r="K580" s="2"/>
      <c r="L580" s="2"/>
      <c r="M580" s="40">
        <f t="shared" si="22"/>
        <v>44200000</v>
      </c>
      <c r="N580" s="1">
        <v>57460690</v>
      </c>
      <c r="O580" s="1" t="s">
        <v>4095</v>
      </c>
      <c r="P580" s="1" t="s">
        <v>4096</v>
      </c>
      <c r="Q580" s="3">
        <v>44979</v>
      </c>
      <c r="R580" s="3">
        <v>44979</v>
      </c>
      <c r="S580" s="3">
        <v>45348</v>
      </c>
      <c r="T580" s="35"/>
      <c r="U580" s="3"/>
      <c r="V580" s="3"/>
      <c r="W580" s="50"/>
      <c r="X580" s="9">
        <v>13600000</v>
      </c>
      <c r="Y580" s="9">
        <v>30600000</v>
      </c>
      <c r="Z580" s="34">
        <f t="shared" si="21"/>
        <v>0.30769230769230771</v>
      </c>
      <c r="AA580" s="1">
        <v>72220242</v>
      </c>
      <c r="AB580" s="1" t="s">
        <v>4072</v>
      </c>
      <c r="AC580" s="1"/>
      <c r="AD580" s="1"/>
      <c r="AE580" s="3"/>
      <c r="AF580" s="194" t="s">
        <v>4097</v>
      </c>
      <c r="AG580" s="15" t="s">
        <v>192</v>
      </c>
      <c r="AH580" s="15" t="s">
        <v>192</v>
      </c>
    </row>
    <row r="581" spans="1:34" s="4" customFormat="1" x14ac:dyDescent="0.25">
      <c r="A581" s="16">
        <v>891780290</v>
      </c>
      <c r="B581" s="16" t="s">
        <v>54</v>
      </c>
      <c r="C581" s="14" t="s">
        <v>57</v>
      </c>
      <c r="D581" s="16" t="s">
        <v>60</v>
      </c>
      <c r="E581" s="1" t="s">
        <v>4098</v>
      </c>
      <c r="F581" s="16" t="s">
        <v>61</v>
      </c>
      <c r="G581" s="1" t="s">
        <v>69</v>
      </c>
      <c r="H581" s="1" t="s">
        <v>73</v>
      </c>
      <c r="I581" s="9">
        <v>27000000</v>
      </c>
      <c r="J581" s="94"/>
      <c r="K581" s="2"/>
      <c r="L581" s="2"/>
      <c r="M581" s="40">
        <f t="shared" si="22"/>
        <v>27000000</v>
      </c>
      <c r="N581" s="1" t="s">
        <v>4099</v>
      </c>
      <c r="O581" s="1" t="s">
        <v>4100</v>
      </c>
      <c r="P581" s="1" t="s">
        <v>4101</v>
      </c>
      <c r="Q581" s="3">
        <v>44972</v>
      </c>
      <c r="R581" s="3">
        <v>44972</v>
      </c>
      <c r="S581" s="3">
        <v>44973</v>
      </c>
      <c r="T581" s="35"/>
      <c r="U581" s="3"/>
      <c r="V581" s="3"/>
      <c r="W581" s="50"/>
      <c r="X581" s="9">
        <v>26999999</v>
      </c>
      <c r="Y581" s="9">
        <v>1</v>
      </c>
      <c r="Z581" s="34">
        <f t="shared" ref="Z581:Z620" si="25">+(X581/M581)</f>
        <v>0.99999996296296301</v>
      </c>
      <c r="AA581" s="1">
        <v>72220242</v>
      </c>
      <c r="AB581" s="1" t="s">
        <v>4072</v>
      </c>
      <c r="AC581" s="1"/>
      <c r="AD581" s="1"/>
      <c r="AE581" s="3"/>
      <c r="AF581" s="194" t="s">
        <v>4102</v>
      </c>
      <c r="AG581" s="15" t="s">
        <v>192</v>
      </c>
      <c r="AH581" s="15" t="s">
        <v>191</v>
      </c>
    </row>
    <row r="582" spans="1:34" s="4" customFormat="1" x14ac:dyDescent="0.25">
      <c r="A582" s="16">
        <v>891780291</v>
      </c>
      <c r="B582" s="16" t="s">
        <v>54</v>
      </c>
      <c r="C582" s="14" t="s">
        <v>57</v>
      </c>
      <c r="D582" s="16" t="s">
        <v>60</v>
      </c>
      <c r="E582" s="1" t="s">
        <v>4103</v>
      </c>
      <c r="F582" s="16" t="s">
        <v>61</v>
      </c>
      <c r="G582" s="1" t="s">
        <v>69</v>
      </c>
      <c r="H582" s="1" t="s">
        <v>73</v>
      </c>
      <c r="I582" s="9">
        <v>1520000</v>
      </c>
      <c r="J582" s="94"/>
      <c r="K582" s="2"/>
      <c r="L582" s="2"/>
      <c r="M582" s="40">
        <f t="shared" ref="M582:M645" si="26">I582+K582-L582</f>
        <v>1520000</v>
      </c>
      <c r="N582" s="1">
        <v>1082881164</v>
      </c>
      <c r="O582" s="1" t="s">
        <v>4104</v>
      </c>
      <c r="P582" s="1" t="s">
        <v>4105</v>
      </c>
      <c r="Q582" s="3">
        <v>45013</v>
      </c>
      <c r="R582" s="3">
        <v>45013</v>
      </c>
      <c r="S582" s="3">
        <v>45019</v>
      </c>
      <c r="T582" s="35"/>
      <c r="U582" s="3"/>
      <c r="V582" s="3"/>
      <c r="W582" s="50"/>
      <c r="X582" s="9">
        <v>1520000</v>
      </c>
      <c r="Y582" s="9">
        <f>M582-X582</f>
        <v>0</v>
      </c>
      <c r="Z582" s="34">
        <f t="shared" si="25"/>
        <v>1</v>
      </c>
      <c r="AA582" s="1">
        <v>72220242</v>
      </c>
      <c r="AB582" s="1" t="s">
        <v>4072</v>
      </c>
      <c r="AC582" s="1"/>
      <c r="AD582" s="1"/>
      <c r="AE582" s="3"/>
      <c r="AF582" s="194" t="s">
        <v>4106</v>
      </c>
      <c r="AG582" s="15" t="s">
        <v>192</v>
      </c>
      <c r="AH582" s="15" t="s">
        <v>191</v>
      </c>
    </row>
    <row r="583" spans="1:34" s="4" customFormat="1" x14ac:dyDescent="0.25">
      <c r="A583" s="16">
        <v>891780292</v>
      </c>
      <c r="B583" s="16" t="s">
        <v>54</v>
      </c>
      <c r="C583" s="14" t="s">
        <v>57</v>
      </c>
      <c r="D583" s="16" t="s">
        <v>60</v>
      </c>
      <c r="E583" s="1" t="s">
        <v>4107</v>
      </c>
      <c r="F583" s="16" t="s">
        <v>61</v>
      </c>
      <c r="G583" s="1" t="s">
        <v>69</v>
      </c>
      <c r="H583" s="1" t="s">
        <v>72</v>
      </c>
      <c r="I583" s="9">
        <v>29120000</v>
      </c>
      <c r="J583" s="94"/>
      <c r="K583" s="2"/>
      <c r="L583" s="2"/>
      <c r="M583" s="40">
        <f t="shared" si="26"/>
        <v>29120000</v>
      </c>
      <c r="N583" s="1" t="s">
        <v>4108</v>
      </c>
      <c r="O583" s="1" t="s">
        <v>4109</v>
      </c>
      <c r="P583" s="1" t="s">
        <v>4110</v>
      </c>
      <c r="Q583" s="3">
        <v>45013</v>
      </c>
      <c r="R583" s="3">
        <v>45013</v>
      </c>
      <c r="S583" s="3">
        <v>45260</v>
      </c>
      <c r="T583" s="35"/>
      <c r="U583" s="3"/>
      <c r="V583" s="3"/>
      <c r="W583" s="50"/>
      <c r="X583" s="9">
        <v>13760000</v>
      </c>
      <c r="Y583" s="9">
        <v>15360000</v>
      </c>
      <c r="Z583" s="34">
        <f t="shared" si="25"/>
        <v>0.47252747252747251</v>
      </c>
      <c r="AA583" s="1">
        <v>72220242</v>
      </c>
      <c r="AB583" s="1" t="s">
        <v>4072</v>
      </c>
      <c r="AC583" s="1"/>
      <c r="AD583" s="1"/>
      <c r="AE583" s="3">
        <v>45013</v>
      </c>
      <c r="AF583" s="194" t="s">
        <v>4111</v>
      </c>
      <c r="AG583" s="15" t="s">
        <v>192</v>
      </c>
      <c r="AH583" s="15" t="s">
        <v>191</v>
      </c>
    </row>
    <row r="584" spans="1:34" s="4" customFormat="1" x14ac:dyDescent="0.25">
      <c r="A584" s="16">
        <v>891780293</v>
      </c>
      <c r="B584" s="16" t="s">
        <v>54</v>
      </c>
      <c r="C584" s="14" t="s">
        <v>57</v>
      </c>
      <c r="D584" s="16" t="s">
        <v>60</v>
      </c>
      <c r="E584" s="1" t="s">
        <v>4112</v>
      </c>
      <c r="F584" s="16" t="s">
        <v>61</v>
      </c>
      <c r="G584" s="1" t="s">
        <v>69</v>
      </c>
      <c r="H584" s="1" t="s">
        <v>73</v>
      </c>
      <c r="I584" s="9">
        <v>4000000</v>
      </c>
      <c r="J584" s="94"/>
      <c r="K584" s="2"/>
      <c r="L584" s="2"/>
      <c r="M584" s="40">
        <f t="shared" si="26"/>
        <v>4000000</v>
      </c>
      <c r="N584" s="1">
        <v>1052983008</v>
      </c>
      <c r="O584" s="1" t="s">
        <v>4113</v>
      </c>
      <c r="P584" s="1" t="s">
        <v>4114</v>
      </c>
      <c r="Q584" s="3">
        <v>45051</v>
      </c>
      <c r="R584" s="3">
        <v>45051</v>
      </c>
      <c r="S584" s="3">
        <v>45112</v>
      </c>
      <c r="T584" s="35"/>
      <c r="U584" s="3"/>
      <c r="V584" s="3"/>
      <c r="W584" s="50"/>
      <c r="X584" s="9">
        <v>2000000</v>
      </c>
      <c r="Y584" s="9">
        <v>2000000</v>
      </c>
      <c r="Z584" s="34">
        <f t="shared" si="25"/>
        <v>0.5</v>
      </c>
      <c r="AA584" s="1">
        <v>72220242</v>
      </c>
      <c r="AB584" s="1" t="s">
        <v>4072</v>
      </c>
      <c r="AC584" s="1"/>
      <c r="AD584" s="1"/>
      <c r="AE584" s="3"/>
      <c r="AF584" s="194" t="s">
        <v>4115</v>
      </c>
      <c r="AG584" s="15" t="s">
        <v>192</v>
      </c>
      <c r="AH584" s="15" t="s">
        <v>192</v>
      </c>
    </row>
    <row r="585" spans="1:34" s="4" customFormat="1" x14ac:dyDescent="0.25">
      <c r="A585" s="16">
        <v>891780294</v>
      </c>
      <c r="B585" s="16" t="s">
        <v>54</v>
      </c>
      <c r="C585" s="14" t="s">
        <v>57</v>
      </c>
      <c r="D585" s="16" t="s">
        <v>60</v>
      </c>
      <c r="E585" s="1" t="s">
        <v>4116</v>
      </c>
      <c r="F585" s="16" t="s">
        <v>61</v>
      </c>
      <c r="G585" s="1" t="s">
        <v>69</v>
      </c>
      <c r="H585" s="1" t="s">
        <v>73</v>
      </c>
      <c r="I585" s="9">
        <v>6240000</v>
      </c>
      <c r="J585" s="94"/>
      <c r="K585" s="2"/>
      <c r="L585" s="2"/>
      <c r="M585" s="40">
        <f t="shared" si="26"/>
        <v>6240000</v>
      </c>
      <c r="N585" s="1">
        <v>1083014411</v>
      </c>
      <c r="O585" s="1" t="s">
        <v>4117</v>
      </c>
      <c r="P585" s="1" t="s">
        <v>4118</v>
      </c>
      <c r="Q585" s="3">
        <v>45051</v>
      </c>
      <c r="R585" s="3">
        <v>45051</v>
      </c>
      <c r="S585" s="3">
        <v>45077</v>
      </c>
      <c r="T585" s="35"/>
      <c r="U585" s="3"/>
      <c r="V585" s="3"/>
      <c r="W585" s="50"/>
      <c r="X585" s="9">
        <v>6240000</v>
      </c>
      <c r="Y585" s="9">
        <f>M585-X585</f>
        <v>0</v>
      </c>
      <c r="Z585" s="34">
        <f t="shared" si="25"/>
        <v>1</v>
      </c>
      <c r="AA585" s="1">
        <v>72220242</v>
      </c>
      <c r="AB585" s="1" t="s">
        <v>4072</v>
      </c>
      <c r="AC585" s="1"/>
      <c r="AD585" s="1"/>
      <c r="AE585" s="3"/>
      <c r="AF585" s="194" t="s">
        <v>4119</v>
      </c>
      <c r="AG585" s="15" t="s">
        <v>192</v>
      </c>
      <c r="AH585" s="15" t="s">
        <v>192</v>
      </c>
    </row>
    <row r="586" spans="1:34" s="4" customFormat="1" x14ac:dyDescent="0.25">
      <c r="A586" s="16">
        <v>891780295</v>
      </c>
      <c r="B586" s="16" t="s">
        <v>54</v>
      </c>
      <c r="C586" s="14" t="s">
        <v>57</v>
      </c>
      <c r="D586" s="16" t="s">
        <v>60</v>
      </c>
      <c r="E586" s="1" t="s">
        <v>4120</v>
      </c>
      <c r="F586" s="16" t="s">
        <v>61</v>
      </c>
      <c r="G586" s="1" t="s">
        <v>69</v>
      </c>
      <c r="H586" s="1" t="s">
        <v>79</v>
      </c>
      <c r="I586" s="9">
        <v>7616000</v>
      </c>
      <c r="J586" s="94"/>
      <c r="K586" s="2"/>
      <c r="L586" s="2"/>
      <c r="M586" s="40">
        <f t="shared" si="26"/>
        <v>7616000</v>
      </c>
      <c r="N586" s="1" t="s">
        <v>4121</v>
      </c>
      <c r="O586" s="1" t="s">
        <v>4122</v>
      </c>
      <c r="P586" s="1" t="s">
        <v>4123</v>
      </c>
      <c r="Q586" s="3">
        <v>45055</v>
      </c>
      <c r="R586" s="3">
        <v>45055</v>
      </c>
      <c r="S586" s="3">
        <v>45291</v>
      </c>
      <c r="T586" s="35"/>
      <c r="U586" s="3"/>
      <c r="V586" s="3"/>
      <c r="W586" s="50"/>
      <c r="X586" s="9">
        <v>1904000</v>
      </c>
      <c r="Y586" s="9">
        <v>5712000</v>
      </c>
      <c r="Z586" s="34">
        <f t="shared" si="25"/>
        <v>0.25</v>
      </c>
      <c r="AA586" s="1">
        <v>72220242</v>
      </c>
      <c r="AB586" s="1" t="s">
        <v>4072</v>
      </c>
      <c r="AC586" s="1"/>
      <c r="AD586" s="1"/>
      <c r="AE586" s="3"/>
      <c r="AF586" s="194" t="s">
        <v>4124</v>
      </c>
      <c r="AG586" s="15" t="s">
        <v>192</v>
      </c>
      <c r="AH586" s="15" t="s">
        <v>191</v>
      </c>
    </row>
    <row r="587" spans="1:34" s="4" customFormat="1" x14ac:dyDescent="0.25">
      <c r="A587" s="16">
        <v>891780296</v>
      </c>
      <c r="B587" s="16" t="s">
        <v>54</v>
      </c>
      <c r="C587" s="14" t="s">
        <v>57</v>
      </c>
      <c r="D587" s="16" t="s">
        <v>60</v>
      </c>
      <c r="E587" s="1" t="s">
        <v>4125</v>
      </c>
      <c r="F587" s="16" t="s">
        <v>61</v>
      </c>
      <c r="G587" s="1" t="s">
        <v>69</v>
      </c>
      <c r="H587" s="1" t="s">
        <v>73</v>
      </c>
      <c r="I587" s="9">
        <v>12000000</v>
      </c>
      <c r="J587" s="94"/>
      <c r="K587" s="2"/>
      <c r="L587" s="2"/>
      <c r="M587" s="40">
        <f t="shared" si="26"/>
        <v>12000000</v>
      </c>
      <c r="N587" s="1">
        <v>1123631254</v>
      </c>
      <c r="O587" s="1" t="s">
        <v>4126</v>
      </c>
      <c r="P587" s="1" t="s">
        <v>4127</v>
      </c>
      <c r="Q587" s="3">
        <v>45062</v>
      </c>
      <c r="R587" s="3">
        <v>45062</v>
      </c>
      <c r="S587" s="3">
        <v>45107</v>
      </c>
      <c r="T587" s="35"/>
      <c r="U587" s="3"/>
      <c r="V587" s="3"/>
      <c r="W587" s="50"/>
      <c r="X587" s="9">
        <v>0</v>
      </c>
      <c r="Y587" s="9">
        <v>12000000</v>
      </c>
      <c r="Z587" s="34">
        <f t="shared" si="25"/>
        <v>0</v>
      </c>
      <c r="AA587" s="1">
        <v>72220242</v>
      </c>
      <c r="AB587" s="1" t="s">
        <v>4072</v>
      </c>
      <c r="AC587" s="1"/>
      <c r="AD587" s="1"/>
      <c r="AE587" s="3"/>
      <c r="AF587" s="194" t="s">
        <v>4128</v>
      </c>
      <c r="AG587" s="15" t="s">
        <v>192</v>
      </c>
      <c r="AH587" s="15" t="s">
        <v>192</v>
      </c>
    </row>
    <row r="588" spans="1:34" s="4" customFormat="1" x14ac:dyDescent="0.25">
      <c r="A588" s="16">
        <v>891780297</v>
      </c>
      <c r="B588" s="16" t="s">
        <v>54</v>
      </c>
      <c r="C588" s="14" t="s">
        <v>57</v>
      </c>
      <c r="D588" s="16" t="s">
        <v>60</v>
      </c>
      <c r="E588" s="1" t="s">
        <v>4129</v>
      </c>
      <c r="F588" s="16" t="s">
        <v>61</v>
      </c>
      <c r="G588" s="1" t="s">
        <v>69</v>
      </c>
      <c r="H588" s="1" t="s">
        <v>73</v>
      </c>
      <c r="I588" s="9">
        <v>7000000</v>
      </c>
      <c r="J588" s="94"/>
      <c r="K588" s="2"/>
      <c r="L588" s="2"/>
      <c r="M588" s="40">
        <f t="shared" si="26"/>
        <v>7000000</v>
      </c>
      <c r="N588" s="1">
        <v>1216973828</v>
      </c>
      <c r="O588" s="1" t="s">
        <v>4130</v>
      </c>
      <c r="P588" s="1" t="s">
        <v>4131</v>
      </c>
      <c r="Q588" s="3">
        <v>45062</v>
      </c>
      <c r="R588" s="3">
        <v>45062</v>
      </c>
      <c r="S588" s="3">
        <v>45107</v>
      </c>
      <c r="T588" s="35"/>
      <c r="U588" s="3"/>
      <c r="V588" s="3"/>
      <c r="W588" s="50"/>
      <c r="X588" s="9">
        <v>0</v>
      </c>
      <c r="Y588" s="9">
        <v>7000000</v>
      </c>
      <c r="Z588" s="34">
        <f t="shared" si="25"/>
        <v>0</v>
      </c>
      <c r="AA588" s="1">
        <v>72220242</v>
      </c>
      <c r="AB588" s="1" t="s">
        <v>4072</v>
      </c>
      <c r="AC588" s="1"/>
      <c r="AD588" s="1"/>
      <c r="AE588" s="3"/>
      <c r="AF588" s="194" t="s">
        <v>4132</v>
      </c>
      <c r="AG588" s="15" t="s">
        <v>192</v>
      </c>
      <c r="AH588" s="15" t="s">
        <v>192</v>
      </c>
    </row>
    <row r="589" spans="1:34" s="4" customFormat="1" x14ac:dyDescent="0.25">
      <c r="A589" s="16">
        <v>891780298</v>
      </c>
      <c r="B589" s="16" t="s">
        <v>54</v>
      </c>
      <c r="C589" s="14" t="s">
        <v>57</v>
      </c>
      <c r="D589" s="16" t="s">
        <v>60</v>
      </c>
      <c r="E589" s="1" t="s">
        <v>4133</v>
      </c>
      <c r="F589" s="16" t="s">
        <v>61</v>
      </c>
      <c r="G589" s="1" t="s">
        <v>69</v>
      </c>
      <c r="H589" s="1" t="s">
        <v>73</v>
      </c>
      <c r="I589" s="9">
        <v>3000000</v>
      </c>
      <c r="J589" s="94"/>
      <c r="K589" s="2"/>
      <c r="L589" s="2"/>
      <c r="M589" s="40">
        <f t="shared" si="26"/>
        <v>3000000</v>
      </c>
      <c r="N589" s="1">
        <v>1083558878</v>
      </c>
      <c r="O589" s="1" t="s">
        <v>4134</v>
      </c>
      <c r="P589" s="1" t="s">
        <v>4135</v>
      </c>
      <c r="Q589" s="3">
        <v>45062</v>
      </c>
      <c r="R589" s="3">
        <v>45062</v>
      </c>
      <c r="S589" s="3">
        <v>45087</v>
      </c>
      <c r="T589" s="35"/>
      <c r="U589" s="3"/>
      <c r="V589" s="3"/>
      <c r="W589" s="50"/>
      <c r="X589" s="9">
        <v>0</v>
      </c>
      <c r="Y589" s="9">
        <v>3000000</v>
      </c>
      <c r="Z589" s="34">
        <f t="shared" si="25"/>
        <v>0</v>
      </c>
      <c r="AA589" s="1">
        <v>72220242</v>
      </c>
      <c r="AB589" s="1" t="s">
        <v>4072</v>
      </c>
      <c r="AC589" s="1"/>
      <c r="AD589" s="1"/>
      <c r="AE589" s="3"/>
      <c r="AF589" s="194" t="s">
        <v>4136</v>
      </c>
      <c r="AG589" s="15" t="s">
        <v>192</v>
      </c>
      <c r="AH589" s="15" t="s">
        <v>192</v>
      </c>
    </row>
    <row r="590" spans="1:34" s="4" customFormat="1" x14ac:dyDescent="0.25">
      <c r="A590" s="16">
        <v>891780299</v>
      </c>
      <c r="B590" s="16" t="s">
        <v>54</v>
      </c>
      <c r="C590" s="14" t="s">
        <v>57</v>
      </c>
      <c r="D590" s="16" t="s">
        <v>60</v>
      </c>
      <c r="E590" s="1" t="s">
        <v>4137</v>
      </c>
      <c r="F590" s="16" t="s">
        <v>61</v>
      </c>
      <c r="G590" s="1" t="s">
        <v>69</v>
      </c>
      <c r="H590" s="1" t="s">
        <v>73</v>
      </c>
      <c r="I590" s="9">
        <v>3500000</v>
      </c>
      <c r="J590" s="94"/>
      <c r="K590" s="2"/>
      <c r="L590" s="2"/>
      <c r="M590" s="40">
        <f t="shared" si="26"/>
        <v>3500000</v>
      </c>
      <c r="N590" s="1">
        <v>1082911727</v>
      </c>
      <c r="O590" s="1" t="s">
        <v>4138</v>
      </c>
      <c r="P590" s="1" t="s">
        <v>4139</v>
      </c>
      <c r="Q590" s="3">
        <v>45062</v>
      </c>
      <c r="R590" s="3">
        <v>45062</v>
      </c>
      <c r="S590" s="3">
        <v>45087</v>
      </c>
      <c r="T590" s="35"/>
      <c r="U590" s="3"/>
      <c r="V590" s="3"/>
      <c r="W590" s="50"/>
      <c r="X590" s="9">
        <v>0</v>
      </c>
      <c r="Y590" s="9">
        <v>3500000</v>
      </c>
      <c r="Z590" s="34">
        <f t="shared" si="25"/>
        <v>0</v>
      </c>
      <c r="AA590" s="1">
        <v>72220242</v>
      </c>
      <c r="AB590" s="1" t="s">
        <v>4072</v>
      </c>
      <c r="AC590" s="1"/>
      <c r="AD590" s="1"/>
      <c r="AE590" s="3"/>
      <c r="AF590" s="194" t="s">
        <v>4140</v>
      </c>
      <c r="AG590" s="15" t="s">
        <v>192</v>
      </c>
      <c r="AH590" s="15" t="s">
        <v>192</v>
      </c>
    </row>
    <row r="591" spans="1:34" s="4" customFormat="1" x14ac:dyDescent="0.25">
      <c r="A591" s="16">
        <v>891780300</v>
      </c>
      <c r="B591" s="16" t="s">
        <v>54</v>
      </c>
      <c r="C591" s="14" t="s">
        <v>57</v>
      </c>
      <c r="D591" s="16" t="s">
        <v>60</v>
      </c>
      <c r="E591" s="1" t="s">
        <v>4141</v>
      </c>
      <c r="F591" s="16" t="s">
        <v>61</v>
      </c>
      <c r="G591" s="1" t="s">
        <v>69</v>
      </c>
      <c r="H591" s="1" t="s">
        <v>73</v>
      </c>
      <c r="I591" s="9">
        <v>45000000</v>
      </c>
      <c r="J591" s="94"/>
      <c r="K591" s="2"/>
      <c r="L591" s="2"/>
      <c r="M591" s="40">
        <f t="shared" si="26"/>
        <v>45000000</v>
      </c>
      <c r="N591" s="1" t="s">
        <v>4099</v>
      </c>
      <c r="O591" s="1" t="s">
        <v>4142</v>
      </c>
      <c r="P591" s="1" t="s">
        <v>4143</v>
      </c>
      <c r="Q591" s="3">
        <v>45064</v>
      </c>
      <c r="R591" s="3">
        <v>45064</v>
      </c>
      <c r="S591" s="3">
        <v>45077</v>
      </c>
      <c r="T591" s="35"/>
      <c r="U591" s="3"/>
      <c r="V591" s="3"/>
      <c r="W591" s="50"/>
      <c r="X591" s="9">
        <v>44999999</v>
      </c>
      <c r="Y591" s="9">
        <v>1</v>
      </c>
      <c r="Z591" s="34">
        <f t="shared" si="25"/>
        <v>0.99999997777777783</v>
      </c>
      <c r="AA591" s="1">
        <v>72220242</v>
      </c>
      <c r="AB591" s="1" t="s">
        <v>4072</v>
      </c>
      <c r="AC591" s="1"/>
      <c r="AD591" s="1"/>
      <c r="AE591" s="3">
        <v>45064</v>
      </c>
      <c r="AF591" s="194" t="s">
        <v>4144</v>
      </c>
      <c r="AG591" s="15" t="s">
        <v>192</v>
      </c>
      <c r="AH591" s="15" t="s">
        <v>191</v>
      </c>
    </row>
    <row r="592" spans="1:34" s="4" customFormat="1" x14ac:dyDescent="0.25">
      <c r="A592" s="16">
        <v>891780301</v>
      </c>
      <c r="B592" s="16" t="s">
        <v>54</v>
      </c>
      <c r="C592" s="14" t="s">
        <v>57</v>
      </c>
      <c r="D592" s="16" t="s">
        <v>60</v>
      </c>
      <c r="E592" s="1" t="s">
        <v>4145</v>
      </c>
      <c r="F592" s="16" t="s">
        <v>61</v>
      </c>
      <c r="G592" s="1" t="s">
        <v>69</v>
      </c>
      <c r="H592" s="1" t="s">
        <v>72</v>
      </c>
      <c r="I592" s="9">
        <v>22514500</v>
      </c>
      <c r="J592" s="94"/>
      <c r="K592" s="2"/>
      <c r="L592" s="2"/>
      <c r="M592" s="40">
        <f t="shared" si="26"/>
        <v>22514500</v>
      </c>
      <c r="N592" s="1" t="s">
        <v>4146</v>
      </c>
      <c r="O592" s="1" t="s">
        <v>4147</v>
      </c>
      <c r="P592" s="1" t="s">
        <v>4148</v>
      </c>
      <c r="Q592" s="3">
        <v>45070</v>
      </c>
      <c r="R592" s="3">
        <v>45070</v>
      </c>
      <c r="S592" s="3">
        <v>45260</v>
      </c>
      <c r="T592" s="35"/>
      <c r="U592" s="3"/>
      <c r="V592" s="3"/>
      <c r="W592" s="50"/>
      <c r="X592" s="9">
        <v>0</v>
      </c>
      <c r="Y592" s="9">
        <v>22514500</v>
      </c>
      <c r="Z592" s="34">
        <f t="shared" si="25"/>
        <v>0</v>
      </c>
      <c r="AA592" s="1">
        <v>72220242</v>
      </c>
      <c r="AB592" s="1" t="s">
        <v>4072</v>
      </c>
      <c r="AC592" s="1"/>
      <c r="AD592" s="1"/>
      <c r="AE592" s="3">
        <v>45077</v>
      </c>
      <c r="AF592" s="194" t="s">
        <v>4149</v>
      </c>
      <c r="AG592" s="15" t="s">
        <v>192</v>
      </c>
      <c r="AH592" s="15" t="s">
        <v>191</v>
      </c>
    </row>
    <row r="593" spans="1:34" s="4" customFormat="1" x14ac:dyDescent="0.25">
      <c r="A593" s="16">
        <v>891780302</v>
      </c>
      <c r="B593" s="16" t="s">
        <v>54</v>
      </c>
      <c r="C593" s="14" t="s">
        <v>57</v>
      </c>
      <c r="D593" s="16" t="s">
        <v>60</v>
      </c>
      <c r="E593" s="1" t="s">
        <v>4150</v>
      </c>
      <c r="F593" s="16" t="s">
        <v>61</v>
      </c>
      <c r="G593" s="1" t="s">
        <v>69</v>
      </c>
      <c r="H593" s="1" t="s">
        <v>73</v>
      </c>
      <c r="I593" s="9">
        <v>5000000</v>
      </c>
      <c r="J593" s="94"/>
      <c r="K593" s="2"/>
      <c r="L593" s="2"/>
      <c r="M593" s="40">
        <f t="shared" si="26"/>
        <v>5000000</v>
      </c>
      <c r="N593" s="1">
        <v>1083558878</v>
      </c>
      <c r="O593" s="1" t="s">
        <v>4134</v>
      </c>
      <c r="P593" s="1" t="s">
        <v>4151</v>
      </c>
      <c r="Q593" s="3">
        <v>45071</v>
      </c>
      <c r="R593" s="3">
        <v>45071</v>
      </c>
      <c r="S593" s="3">
        <v>45107</v>
      </c>
      <c r="T593" s="35"/>
      <c r="U593" s="3"/>
      <c r="V593" s="3"/>
      <c r="W593" s="50"/>
      <c r="X593" s="9">
        <v>0</v>
      </c>
      <c r="Y593" s="9">
        <v>5000000</v>
      </c>
      <c r="Z593" s="34">
        <f t="shared" si="25"/>
        <v>0</v>
      </c>
      <c r="AA593" s="1">
        <v>72220242</v>
      </c>
      <c r="AB593" s="1" t="s">
        <v>4072</v>
      </c>
      <c r="AC593" s="1"/>
      <c r="AD593" s="1"/>
      <c r="AE593" s="3"/>
      <c r="AF593" s="194" t="s">
        <v>4152</v>
      </c>
      <c r="AG593" s="15" t="s">
        <v>192</v>
      </c>
      <c r="AH593" s="15" t="s">
        <v>192</v>
      </c>
    </row>
    <row r="594" spans="1:34" s="4" customFormat="1" x14ac:dyDescent="0.25">
      <c r="A594" s="16">
        <v>891780303</v>
      </c>
      <c r="B594" s="16" t="s">
        <v>54</v>
      </c>
      <c r="C594" s="14" t="s">
        <v>57</v>
      </c>
      <c r="D594" s="16" t="s">
        <v>60</v>
      </c>
      <c r="E594" s="1" t="s">
        <v>4153</v>
      </c>
      <c r="F594" s="16" t="s">
        <v>61</v>
      </c>
      <c r="G594" s="1" t="s">
        <v>69</v>
      </c>
      <c r="H594" s="1" t="s">
        <v>73</v>
      </c>
      <c r="I594" s="9">
        <v>3740000</v>
      </c>
      <c r="J594" s="94"/>
      <c r="K594" s="2"/>
      <c r="L594" s="2"/>
      <c r="M594" s="40">
        <f t="shared" si="26"/>
        <v>3740000</v>
      </c>
      <c r="N594" s="1">
        <v>22565375</v>
      </c>
      <c r="O594" s="1" t="s">
        <v>4154</v>
      </c>
      <c r="P594" s="1" t="s">
        <v>4155</v>
      </c>
      <c r="Q594" s="3">
        <v>45071</v>
      </c>
      <c r="R594" s="3">
        <v>45071</v>
      </c>
      <c r="S594" s="3">
        <v>45132</v>
      </c>
      <c r="T594" s="35"/>
      <c r="U594" s="3"/>
      <c r="V594" s="3"/>
      <c r="W594" s="50"/>
      <c r="X594" s="9">
        <v>0</v>
      </c>
      <c r="Y594" s="9">
        <v>3740000</v>
      </c>
      <c r="Z594" s="34">
        <f t="shared" si="25"/>
        <v>0</v>
      </c>
      <c r="AA594" s="1">
        <v>72220242</v>
      </c>
      <c r="AB594" s="1" t="s">
        <v>4072</v>
      </c>
      <c r="AC594" s="1"/>
      <c r="AD594" s="1"/>
      <c r="AE594" s="3"/>
      <c r="AF594" s="194" t="s">
        <v>4156</v>
      </c>
      <c r="AG594" s="15" t="s">
        <v>192</v>
      </c>
      <c r="AH594" s="15" t="s">
        <v>192</v>
      </c>
    </row>
    <row r="595" spans="1:34" s="4" customFormat="1" x14ac:dyDescent="0.25">
      <c r="A595" s="16">
        <v>891780112</v>
      </c>
      <c r="B595" s="16" t="s">
        <v>54</v>
      </c>
      <c r="C595" s="14" t="s">
        <v>57</v>
      </c>
      <c r="D595" s="16" t="s">
        <v>60</v>
      </c>
      <c r="E595" s="1" t="s">
        <v>4157</v>
      </c>
      <c r="F595" s="16" t="s">
        <v>61</v>
      </c>
      <c r="G595" s="1" t="s">
        <v>69</v>
      </c>
      <c r="H595" s="1" t="s">
        <v>73</v>
      </c>
      <c r="I595" s="9">
        <v>4320000</v>
      </c>
      <c r="J595" s="94"/>
      <c r="K595" s="2"/>
      <c r="L595" s="2"/>
      <c r="M595" s="40">
        <f t="shared" si="26"/>
        <v>4320000</v>
      </c>
      <c r="N595" s="1">
        <v>1083049175</v>
      </c>
      <c r="O595" s="1" t="s">
        <v>4158</v>
      </c>
      <c r="P595" s="1" t="s">
        <v>4159</v>
      </c>
      <c r="Q595" s="3">
        <v>45082</v>
      </c>
      <c r="R595" s="3">
        <v>45082</v>
      </c>
      <c r="S595" s="3">
        <v>45133</v>
      </c>
      <c r="T595" s="35"/>
      <c r="U595" s="3"/>
      <c r="V595" s="3"/>
      <c r="W595" s="50"/>
      <c r="X595" s="9">
        <v>2160000</v>
      </c>
      <c r="Y595" s="9">
        <v>2160000</v>
      </c>
      <c r="Z595" s="34">
        <f t="shared" si="25"/>
        <v>0.5</v>
      </c>
      <c r="AA595" s="1">
        <v>72220242</v>
      </c>
      <c r="AB595" s="1" t="s">
        <v>4072</v>
      </c>
      <c r="AC595" s="1"/>
      <c r="AD595" s="1"/>
      <c r="AE595" s="3"/>
      <c r="AF595" s="194" t="s">
        <v>4160</v>
      </c>
      <c r="AG595" s="15" t="s">
        <v>192</v>
      </c>
      <c r="AH595" s="15" t="s">
        <v>192</v>
      </c>
    </row>
    <row r="596" spans="1:34" s="4" customFormat="1" x14ac:dyDescent="0.25">
      <c r="A596" s="16">
        <v>891780112</v>
      </c>
      <c r="B596" s="16" t="s">
        <v>54</v>
      </c>
      <c r="C596" s="14" t="s">
        <v>57</v>
      </c>
      <c r="D596" s="16" t="s">
        <v>60</v>
      </c>
      <c r="E596" s="1" t="s">
        <v>4161</v>
      </c>
      <c r="F596" s="16" t="s">
        <v>61</v>
      </c>
      <c r="G596" s="1" t="s">
        <v>69</v>
      </c>
      <c r="H596" s="1" t="s">
        <v>73</v>
      </c>
      <c r="I596" s="9">
        <v>4320000</v>
      </c>
      <c r="J596" s="94"/>
      <c r="K596" s="2"/>
      <c r="L596" s="2"/>
      <c r="M596" s="40">
        <f t="shared" si="26"/>
        <v>4320000</v>
      </c>
      <c r="N596" s="1">
        <v>1083045638</v>
      </c>
      <c r="O596" s="1" t="s">
        <v>4162</v>
      </c>
      <c r="P596" s="1" t="s">
        <v>4163</v>
      </c>
      <c r="Q596" s="3">
        <v>45082</v>
      </c>
      <c r="R596" s="3">
        <v>45082</v>
      </c>
      <c r="S596" s="3">
        <v>45133</v>
      </c>
      <c r="T596" s="35"/>
      <c r="U596" s="3"/>
      <c r="V596" s="3"/>
      <c r="W596" s="50"/>
      <c r="X596" s="9">
        <v>2160000</v>
      </c>
      <c r="Y596" s="9">
        <v>2160000</v>
      </c>
      <c r="Z596" s="34">
        <f t="shared" si="25"/>
        <v>0.5</v>
      </c>
      <c r="AA596" s="1">
        <v>72220242</v>
      </c>
      <c r="AB596" s="1" t="s">
        <v>4072</v>
      </c>
      <c r="AC596" s="1"/>
      <c r="AD596" s="1"/>
      <c r="AE596" s="3"/>
      <c r="AF596" s="194" t="s">
        <v>4164</v>
      </c>
      <c r="AG596" s="15" t="s">
        <v>192</v>
      </c>
      <c r="AH596" s="15" t="s">
        <v>192</v>
      </c>
    </row>
    <row r="597" spans="1:34" s="4" customFormat="1" x14ac:dyDescent="0.25">
      <c r="A597" s="16">
        <v>891780112</v>
      </c>
      <c r="B597" s="16" t="s">
        <v>54</v>
      </c>
      <c r="C597" s="14" t="s">
        <v>57</v>
      </c>
      <c r="D597" s="16" t="s">
        <v>60</v>
      </c>
      <c r="E597" s="1" t="s">
        <v>4165</v>
      </c>
      <c r="F597" s="16" t="s">
        <v>61</v>
      </c>
      <c r="G597" s="1" t="s">
        <v>69</v>
      </c>
      <c r="H597" s="1" t="s">
        <v>73</v>
      </c>
      <c r="I597" s="9">
        <v>3500000</v>
      </c>
      <c r="J597" s="94"/>
      <c r="K597" s="2"/>
      <c r="L597" s="2"/>
      <c r="M597" s="40">
        <f t="shared" si="26"/>
        <v>3500000</v>
      </c>
      <c r="N597" s="1">
        <v>1123631321</v>
      </c>
      <c r="O597" s="1" t="s">
        <v>4166</v>
      </c>
      <c r="P597" s="1" t="s">
        <v>4167</v>
      </c>
      <c r="Q597" s="3">
        <v>45082</v>
      </c>
      <c r="R597" s="3">
        <v>45082</v>
      </c>
      <c r="S597" s="3">
        <v>45107</v>
      </c>
      <c r="T597" s="35"/>
      <c r="U597" s="3"/>
      <c r="V597" s="3"/>
      <c r="W597" s="50"/>
      <c r="X597" s="9">
        <v>0</v>
      </c>
      <c r="Y597" s="9">
        <v>3500000</v>
      </c>
      <c r="Z597" s="34">
        <f t="shared" si="25"/>
        <v>0</v>
      </c>
      <c r="AA597" s="1">
        <v>72220242</v>
      </c>
      <c r="AB597" s="1" t="s">
        <v>4072</v>
      </c>
      <c r="AC597" s="1"/>
      <c r="AD597" s="1"/>
      <c r="AE597" s="3"/>
      <c r="AF597" s="194" t="s">
        <v>4168</v>
      </c>
      <c r="AG597" s="15" t="s">
        <v>192</v>
      </c>
      <c r="AH597" s="15" t="s">
        <v>192</v>
      </c>
    </row>
    <row r="598" spans="1:34" s="4" customFormat="1" x14ac:dyDescent="0.25">
      <c r="A598" s="16">
        <v>891780112</v>
      </c>
      <c r="B598" s="16" t="s">
        <v>54</v>
      </c>
      <c r="C598" s="14" t="s">
        <v>57</v>
      </c>
      <c r="D598" s="16" t="s">
        <v>60</v>
      </c>
      <c r="E598" s="1" t="s">
        <v>4169</v>
      </c>
      <c r="F598" s="16" t="s">
        <v>61</v>
      </c>
      <c r="G598" s="1" t="s">
        <v>69</v>
      </c>
      <c r="H598" s="1" t="s">
        <v>73</v>
      </c>
      <c r="I598" s="9">
        <v>10000000</v>
      </c>
      <c r="J598" s="94"/>
      <c r="K598" s="2"/>
      <c r="L598" s="2"/>
      <c r="M598" s="40">
        <f t="shared" si="26"/>
        <v>10000000</v>
      </c>
      <c r="N598" s="1">
        <v>1082975777</v>
      </c>
      <c r="O598" s="1" t="s">
        <v>4170</v>
      </c>
      <c r="P598" s="1" t="s">
        <v>4171</v>
      </c>
      <c r="Q598" s="3">
        <v>45082</v>
      </c>
      <c r="R598" s="3">
        <v>45082</v>
      </c>
      <c r="S598" s="3">
        <v>45122</v>
      </c>
      <c r="T598" s="35"/>
      <c r="U598" s="3"/>
      <c r="V598" s="3"/>
      <c r="W598" s="50"/>
      <c r="X598" s="9">
        <v>0</v>
      </c>
      <c r="Y598" s="9">
        <v>10000000</v>
      </c>
      <c r="Z598" s="34">
        <f t="shared" si="25"/>
        <v>0</v>
      </c>
      <c r="AA598" s="1">
        <v>72220242</v>
      </c>
      <c r="AB598" s="1" t="s">
        <v>4072</v>
      </c>
      <c r="AC598" s="1"/>
      <c r="AD598" s="1"/>
      <c r="AE598" s="3"/>
      <c r="AF598" s="194" t="s">
        <v>4172</v>
      </c>
      <c r="AG598" s="15" t="s">
        <v>192</v>
      </c>
      <c r="AH598" s="15" t="s">
        <v>192</v>
      </c>
    </row>
    <row r="599" spans="1:34" s="4" customFormat="1" x14ac:dyDescent="0.25">
      <c r="A599" s="16">
        <v>891780112</v>
      </c>
      <c r="B599" s="16" t="s">
        <v>54</v>
      </c>
      <c r="C599" s="14" t="s">
        <v>57</v>
      </c>
      <c r="D599" s="16" t="s">
        <v>60</v>
      </c>
      <c r="E599" s="1" t="s">
        <v>4173</v>
      </c>
      <c r="F599" s="16" t="s">
        <v>61</v>
      </c>
      <c r="G599" s="1" t="s">
        <v>69</v>
      </c>
      <c r="H599" s="1" t="s">
        <v>73</v>
      </c>
      <c r="I599" s="9">
        <v>7000000</v>
      </c>
      <c r="J599" s="94"/>
      <c r="K599" s="2"/>
      <c r="L599" s="2"/>
      <c r="M599" s="40">
        <f t="shared" si="26"/>
        <v>7000000</v>
      </c>
      <c r="N599" s="1">
        <v>1082990730</v>
      </c>
      <c r="O599" s="1" t="s">
        <v>4174</v>
      </c>
      <c r="P599" s="1" t="s">
        <v>4175</v>
      </c>
      <c r="Q599" s="3">
        <v>45082</v>
      </c>
      <c r="R599" s="3">
        <v>45082</v>
      </c>
      <c r="S599" s="3">
        <v>45122</v>
      </c>
      <c r="T599" s="35"/>
      <c r="U599" s="3"/>
      <c r="V599" s="3"/>
      <c r="W599" s="50"/>
      <c r="X599" s="9">
        <v>0</v>
      </c>
      <c r="Y599" s="9">
        <v>7000000</v>
      </c>
      <c r="Z599" s="34">
        <f t="shared" si="25"/>
        <v>0</v>
      </c>
      <c r="AA599" s="1">
        <v>72220242</v>
      </c>
      <c r="AB599" s="1" t="s">
        <v>4072</v>
      </c>
      <c r="AC599" s="1"/>
      <c r="AD599" s="1"/>
      <c r="AE599" s="3"/>
      <c r="AF599" s="194" t="s">
        <v>4176</v>
      </c>
      <c r="AG599" s="15" t="s">
        <v>192</v>
      </c>
      <c r="AH599" s="15" t="s">
        <v>192</v>
      </c>
    </row>
    <row r="600" spans="1:34" s="4" customFormat="1" x14ac:dyDescent="0.25">
      <c r="A600" s="16">
        <v>891780112</v>
      </c>
      <c r="B600" s="16" t="s">
        <v>54</v>
      </c>
      <c r="C600" s="14" t="s">
        <v>57</v>
      </c>
      <c r="D600" s="16" t="s">
        <v>60</v>
      </c>
      <c r="E600" s="1" t="s">
        <v>4177</v>
      </c>
      <c r="F600" s="16" t="s">
        <v>61</v>
      </c>
      <c r="G600" s="1" t="s">
        <v>69</v>
      </c>
      <c r="H600" s="1" t="s">
        <v>73</v>
      </c>
      <c r="I600" s="9">
        <v>5000000</v>
      </c>
      <c r="J600" s="94"/>
      <c r="K600" s="2"/>
      <c r="L600" s="2"/>
      <c r="M600" s="40">
        <f t="shared" si="26"/>
        <v>5000000</v>
      </c>
      <c r="N600" s="1">
        <v>39143916</v>
      </c>
      <c r="O600" s="1" t="s">
        <v>4178</v>
      </c>
      <c r="P600" s="1" t="s">
        <v>4179</v>
      </c>
      <c r="Q600" s="3">
        <v>45092</v>
      </c>
      <c r="R600" s="3">
        <v>45097</v>
      </c>
      <c r="S600" s="3">
        <v>45138</v>
      </c>
      <c r="T600" s="35"/>
      <c r="U600" s="3"/>
      <c r="V600" s="3"/>
      <c r="W600" s="50"/>
      <c r="X600" s="9">
        <v>0</v>
      </c>
      <c r="Y600" s="9">
        <v>5000000</v>
      </c>
      <c r="Z600" s="34">
        <f t="shared" si="25"/>
        <v>0</v>
      </c>
      <c r="AA600" s="1">
        <v>72220242</v>
      </c>
      <c r="AB600" s="1" t="s">
        <v>4072</v>
      </c>
      <c r="AC600" s="1"/>
      <c r="AD600" s="1"/>
      <c r="AE600" s="3"/>
      <c r="AF600" s="194" t="s">
        <v>4180</v>
      </c>
      <c r="AG600" s="15" t="s">
        <v>192</v>
      </c>
      <c r="AH600" s="15" t="s">
        <v>192</v>
      </c>
    </row>
    <row r="601" spans="1:34" s="4" customFormat="1" x14ac:dyDescent="0.25">
      <c r="A601" s="16">
        <v>891780112</v>
      </c>
      <c r="B601" s="16" t="s">
        <v>54</v>
      </c>
      <c r="C601" s="14" t="s">
        <v>57</v>
      </c>
      <c r="D601" s="16" t="s">
        <v>60</v>
      </c>
      <c r="E601" s="1" t="s">
        <v>4181</v>
      </c>
      <c r="F601" s="16" t="s">
        <v>61</v>
      </c>
      <c r="G601" s="1" t="s">
        <v>69</v>
      </c>
      <c r="H601" s="1" t="s">
        <v>73</v>
      </c>
      <c r="I601" s="9">
        <v>3000000</v>
      </c>
      <c r="J601" s="94"/>
      <c r="K601" s="2"/>
      <c r="L601" s="2"/>
      <c r="M601" s="40">
        <f t="shared" si="26"/>
        <v>3000000</v>
      </c>
      <c r="N601" s="1">
        <v>12637914</v>
      </c>
      <c r="O601" s="1" t="s">
        <v>4182</v>
      </c>
      <c r="P601" s="1" t="s">
        <v>4183</v>
      </c>
      <c r="Q601" s="3">
        <v>45092</v>
      </c>
      <c r="R601" s="3">
        <v>45097</v>
      </c>
      <c r="S601" s="3">
        <v>45127</v>
      </c>
      <c r="T601" s="35"/>
      <c r="U601" s="3"/>
      <c r="V601" s="3"/>
      <c r="W601" s="50"/>
      <c r="X601" s="9">
        <v>0</v>
      </c>
      <c r="Y601" s="9">
        <v>3000000</v>
      </c>
      <c r="Z601" s="34">
        <f t="shared" si="25"/>
        <v>0</v>
      </c>
      <c r="AA601" s="1">
        <v>72220242</v>
      </c>
      <c r="AB601" s="1" t="s">
        <v>4072</v>
      </c>
      <c r="AC601" s="1"/>
      <c r="AD601" s="1"/>
      <c r="AE601" s="3"/>
      <c r="AF601" s="194" t="s">
        <v>4184</v>
      </c>
      <c r="AG601" s="15" t="s">
        <v>192</v>
      </c>
      <c r="AH601" s="15" t="s">
        <v>192</v>
      </c>
    </row>
    <row r="602" spans="1:34" s="4" customFormat="1" x14ac:dyDescent="0.25">
      <c r="A602" s="16">
        <v>891780112</v>
      </c>
      <c r="B602" s="16" t="s">
        <v>54</v>
      </c>
      <c r="C602" s="14" t="s">
        <v>57</v>
      </c>
      <c r="D602" s="16" t="s">
        <v>60</v>
      </c>
      <c r="E602" s="1" t="s">
        <v>4185</v>
      </c>
      <c r="F602" s="16" t="s">
        <v>61</v>
      </c>
      <c r="G602" s="1" t="s">
        <v>69</v>
      </c>
      <c r="H602" s="1" t="s">
        <v>73</v>
      </c>
      <c r="I602" s="9">
        <v>10000000</v>
      </c>
      <c r="J602" s="94"/>
      <c r="K602" s="2"/>
      <c r="L602" s="2"/>
      <c r="M602" s="40">
        <f t="shared" si="26"/>
        <v>10000000</v>
      </c>
      <c r="N602" s="1">
        <v>901231329</v>
      </c>
      <c r="O602" s="1" t="s">
        <v>4109</v>
      </c>
      <c r="P602" s="1" t="s">
        <v>4186</v>
      </c>
      <c r="Q602" s="3">
        <v>45100</v>
      </c>
      <c r="R602" s="3">
        <v>45103</v>
      </c>
      <c r="S602" s="3">
        <v>45103</v>
      </c>
      <c r="T602" s="35"/>
      <c r="U602" s="3"/>
      <c r="V602" s="3"/>
      <c r="W602" s="50"/>
      <c r="X602" s="9">
        <v>0</v>
      </c>
      <c r="Y602" s="9">
        <v>10000000</v>
      </c>
      <c r="Z602" s="34">
        <f t="shared" si="25"/>
        <v>0</v>
      </c>
      <c r="AA602" s="1">
        <v>72220242</v>
      </c>
      <c r="AB602" s="1" t="s">
        <v>4072</v>
      </c>
      <c r="AC602" s="1"/>
      <c r="AD602" s="1"/>
      <c r="AE602" s="3">
        <v>45103</v>
      </c>
      <c r="AF602" s="194" t="s">
        <v>4187</v>
      </c>
      <c r="AG602" s="15" t="s">
        <v>192</v>
      </c>
      <c r="AH602" s="15" t="s">
        <v>191</v>
      </c>
    </row>
    <row r="603" spans="1:34" s="4" customFormat="1" x14ac:dyDescent="0.25">
      <c r="A603" s="16">
        <v>891780112</v>
      </c>
      <c r="B603" s="16" t="s">
        <v>54</v>
      </c>
      <c r="C603" s="14" t="s">
        <v>57</v>
      </c>
      <c r="D603" s="16" t="s">
        <v>60</v>
      </c>
      <c r="E603" s="1" t="s">
        <v>4188</v>
      </c>
      <c r="F603" s="16" t="s">
        <v>61</v>
      </c>
      <c r="G603" s="1" t="s">
        <v>69</v>
      </c>
      <c r="H603" s="1" t="s">
        <v>79</v>
      </c>
      <c r="I603" s="9">
        <v>100000000</v>
      </c>
      <c r="J603" s="94"/>
      <c r="K603" s="2"/>
      <c r="L603" s="2"/>
      <c r="M603" s="40">
        <f t="shared" si="26"/>
        <v>100000000</v>
      </c>
      <c r="N603" s="1">
        <v>901502793</v>
      </c>
      <c r="O603" s="1" t="s">
        <v>4189</v>
      </c>
      <c r="P603" s="1" t="s">
        <v>4190</v>
      </c>
      <c r="Q603" s="3">
        <v>45100</v>
      </c>
      <c r="R603" s="3">
        <v>45106</v>
      </c>
      <c r="S603" s="3">
        <v>45131</v>
      </c>
      <c r="T603" s="35"/>
      <c r="U603" s="3"/>
      <c r="V603" s="3"/>
      <c r="W603" s="50"/>
      <c r="X603" s="9">
        <v>0</v>
      </c>
      <c r="Y603" s="9">
        <v>100000000</v>
      </c>
      <c r="Z603" s="34">
        <f t="shared" si="25"/>
        <v>0</v>
      </c>
      <c r="AA603" s="1">
        <v>72220242</v>
      </c>
      <c r="AB603" s="1" t="s">
        <v>4072</v>
      </c>
      <c r="AC603" s="1"/>
      <c r="AD603" s="1"/>
      <c r="AE603" s="3">
        <v>45106</v>
      </c>
      <c r="AF603" s="194" t="s">
        <v>4191</v>
      </c>
      <c r="AG603" s="15" t="s">
        <v>192</v>
      </c>
      <c r="AH603" s="15" t="s">
        <v>191</v>
      </c>
    </row>
    <row r="604" spans="1:34" s="4" customFormat="1" x14ac:dyDescent="0.25">
      <c r="A604" s="16">
        <v>891780112</v>
      </c>
      <c r="B604" s="16" t="s">
        <v>54</v>
      </c>
      <c r="C604" s="14" t="s">
        <v>57</v>
      </c>
      <c r="D604" s="16" t="s">
        <v>60</v>
      </c>
      <c r="E604" s="1" t="s">
        <v>4192</v>
      </c>
      <c r="F604" s="16" t="s">
        <v>61</v>
      </c>
      <c r="G604" s="1" t="s">
        <v>69</v>
      </c>
      <c r="H604" s="1" t="s">
        <v>73</v>
      </c>
      <c r="I604" s="9">
        <v>30227052</v>
      </c>
      <c r="J604" s="94"/>
      <c r="K604" s="2"/>
      <c r="L604" s="2"/>
      <c r="M604" s="40">
        <f t="shared" si="26"/>
        <v>30227052</v>
      </c>
      <c r="N604" s="1">
        <v>1045723246</v>
      </c>
      <c r="O604" s="1" t="s">
        <v>4193</v>
      </c>
      <c r="P604" s="1" t="s">
        <v>4194</v>
      </c>
      <c r="Q604" s="3">
        <v>45106</v>
      </c>
      <c r="R604" s="3">
        <v>45111</v>
      </c>
      <c r="S604" s="3">
        <v>45253</v>
      </c>
      <c r="T604" s="35"/>
      <c r="U604" s="3"/>
      <c r="V604" s="3"/>
      <c r="W604" s="50"/>
      <c r="X604" s="9">
        <v>0</v>
      </c>
      <c r="Y604" s="9">
        <v>30227052</v>
      </c>
      <c r="Z604" s="34">
        <f t="shared" si="25"/>
        <v>0</v>
      </c>
      <c r="AA604" s="1">
        <v>72220242</v>
      </c>
      <c r="AB604" s="1" t="s">
        <v>4072</v>
      </c>
      <c r="AC604" s="1"/>
      <c r="AD604" s="1"/>
      <c r="AE604" s="3"/>
      <c r="AF604" s="194" t="s">
        <v>4195</v>
      </c>
      <c r="AG604" s="15" t="s">
        <v>192</v>
      </c>
      <c r="AH604" s="15" t="s">
        <v>192</v>
      </c>
    </row>
    <row r="605" spans="1:34" s="4" customFormat="1" x14ac:dyDescent="0.25">
      <c r="A605" s="16">
        <v>891780112</v>
      </c>
      <c r="B605" s="16" t="s">
        <v>54</v>
      </c>
      <c r="C605" s="14" t="s">
        <v>57</v>
      </c>
      <c r="D605" s="16" t="s">
        <v>60</v>
      </c>
      <c r="E605" s="1" t="s">
        <v>4196</v>
      </c>
      <c r="F605" s="16" t="s">
        <v>61</v>
      </c>
      <c r="G605" s="1" t="s">
        <v>69</v>
      </c>
      <c r="H605" s="1" t="s">
        <v>73</v>
      </c>
      <c r="I605" s="9">
        <v>6000000</v>
      </c>
      <c r="J605" s="94"/>
      <c r="K605" s="2"/>
      <c r="L605" s="2"/>
      <c r="M605" s="40">
        <f t="shared" si="26"/>
        <v>6000000</v>
      </c>
      <c r="N605" s="1">
        <v>1082925230</v>
      </c>
      <c r="O605" s="1" t="s">
        <v>4197</v>
      </c>
      <c r="P605" s="1" t="s">
        <v>4198</v>
      </c>
      <c r="Q605" s="3">
        <v>45113</v>
      </c>
      <c r="R605" s="3">
        <v>45114</v>
      </c>
      <c r="S605" s="3">
        <v>45199</v>
      </c>
      <c r="T605" s="35"/>
      <c r="U605" s="3"/>
      <c r="V605" s="3"/>
      <c r="W605" s="50"/>
      <c r="X605" s="9">
        <v>0</v>
      </c>
      <c r="Y605" s="9">
        <v>6000000</v>
      </c>
      <c r="Z605" s="34">
        <f t="shared" si="25"/>
        <v>0</v>
      </c>
      <c r="AA605" s="1">
        <v>72220242</v>
      </c>
      <c r="AB605" s="1" t="s">
        <v>4072</v>
      </c>
      <c r="AC605" s="1"/>
      <c r="AD605" s="1"/>
      <c r="AE605" s="3"/>
      <c r="AF605" s="194" t="s">
        <v>4199</v>
      </c>
      <c r="AG605" s="15" t="s">
        <v>192</v>
      </c>
      <c r="AH605" s="15" t="s">
        <v>192</v>
      </c>
    </row>
    <row r="606" spans="1:34" s="4" customFormat="1" x14ac:dyDescent="0.25">
      <c r="A606" s="16">
        <v>891780112</v>
      </c>
      <c r="B606" s="16" t="s">
        <v>54</v>
      </c>
      <c r="C606" s="14" t="s">
        <v>57</v>
      </c>
      <c r="D606" s="16" t="s">
        <v>60</v>
      </c>
      <c r="E606" s="1" t="s">
        <v>4200</v>
      </c>
      <c r="F606" s="16" t="s">
        <v>61</v>
      </c>
      <c r="G606" s="1" t="s">
        <v>69</v>
      </c>
      <c r="H606" s="1" t="s">
        <v>73</v>
      </c>
      <c r="I606" s="9">
        <v>7500000</v>
      </c>
      <c r="J606" s="94"/>
      <c r="K606" s="2"/>
      <c r="L606" s="2"/>
      <c r="M606" s="40">
        <f t="shared" si="26"/>
        <v>7500000</v>
      </c>
      <c r="N606" s="1">
        <v>1052983008</v>
      </c>
      <c r="O606" s="1" t="s">
        <v>4113</v>
      </c>
      <c r="P606" s="1" t="s">
        <v>4201</v>
      </c>
      <c r="Q606" s="3">
        <v>45113</v>
      </c>
      <c r="R606" s="3">
        <v>45114</v>
      </c>
      <c r="S606" s="3">
        <v>45169</v>
      </c>
      <c r="T606" s="35"/>
      <c r="U606" s="3"/>
      <c r="V606" s="3"/>
      <c r="W606" s="50"/>
      <c r="X606" s="9">
        <v>0</v>
      </c>
      <c r="Y606" s="9">
        <v>7500000</v>
      </c>
      <c r="Z606" s="34">
        <f t="shared" si="25"/>
        <v>0</v>
      </c>
      <c r="AA606" s="1">
        <v>72220242</v>
      </c>
      <c r="AB606" s="1" t="s">
        <v>4072</v>
      </c>
      <c r="AC606" s="1"/>
      <c r="AD606" s="1"/>
      <c r="AE606" s="3"/>
      <c r="AF606" s="194" t="s">
        <v>4202</v>
      </c>
      <c r="AG606" s="15" t="s">
        <v>192</v>
      </c>
      <c r="AH606" s="15" t="s">
        <v>192</v>
      </c>
    </row>
    <row r="607" spans="1:34" s="4" customFormat="1" x14ac:dyDescent="0.25">
      <c r="A607" s="16">
        <v>891780112</v>
      </c>
      <c r="B607" s="16" t="s">
        <v>54</v>
      </c>
      <c r="C607" s="14" t="s">
        <v>57</v>
      </c>
      <c r="D607" s="16" t="s">
        <v>60</v>
      </c>
      <c r="E607" s="1" t="s">
        <v>4203</v>
      </c>
      <c r="F607" s="16" t="s">
        <v>61</v>
      </c>
      <c r="G607" s="1" t="s">
        <v>69</v>
      </c>
      <c r="H607" s="1" t="s">
        <v>73</v>
      </c>
      <c r="I607" s="9">
        <v>30995447</v>
      </c>
      <c r="J607" s="94"/>
      <c r="K607" s="2"/>
      <c r="L607" s="2"/>
      <c r="M607" s="40">
        <f t="shared" si="26"/>
        <v>30995447</v>
      </c>
      <c r="N607" s="1">
        <v>1083031411</v>
      </c>
      <c r="O607" s="1" t="s">
        <v>4204</v>
      </c>
      <c r="P607" s="1" t="s">
        <v>4205</v>
      </c>
      <c r="Q607" s="3">
        <v>45113</v>
      </c>
      <c r="R607" s="3">
        <v>45114</v>
      </c>
      <c r="S607" s="3">
        <v>45253</v>
      </c>
      <c r="T607" s="35"/>
      <c r="U607" s="3"/>
      <c r="V607" s="3"/>
      <c r="W607" s="50"/>
      <c r="X607" s="9">
        <v>0</v>
      </c>
      <c r="Y607" s="9">
        <v>30995447</v>
      </c>
      <c r="Z607" s="34">
        <f t="shared" si="25"/>
        <v>0</v>
      </c>
      <c r="AA607" s="1">
        <v>72220242</v>
      </c>
      <c r="AB607" s="1" t="s">
        <v>4072</v>
      </c>
      <c r="AC607" s="1"/>
      <c r="AD607" s="1"/>
      <c r="AE607" s="3"/>
      <c r="AF607" s="194" t="s">
        <v>4206</v>
      </c>
      <c r="AG607" s="15" t="s">
        <v>192</v>
      </c>
      <c r="AH607" s="15" t="s">
        <v>192</v>
      </c>
    </row>
    <row r="608" spans="1:34" s="4" customFormat="1" x14ac:dyDescent="0.25">
      <c r="A608" s="16">
        <v>891780112</v>
      </c>
      <c r="B608" s="16" t="s">
        <v>54</v>
      </c>
      <c r="C608" s="14" t="s">
        <v>57</v>
      </c>
      <c r="D608" s="16" t="s">
        <v>60</v>
      </c>
      <c r="E608" s="1" t="s">
        <v>4207</v>
      </c>
      <c r="F608" s="16" t="s">
        <v>61</v>
      </c>
      <c r="G608" s="1" t="s">
        <v>69</v>
      </c>
      <c r="H608" s="1" t="s">
        <v>73</v>
      </c>
      <c r="I608" s="9">
        <v>18600000</v>
      </c>
      <c r="J608" s="94"/>
      <c r="K608" s="2"/>
      <c r="L608" s="2"/>
      <c r="M608" s="40">
        <f t="shared" si="26"/>
        <v>18600000</v>
      </c>
      <c r="N608" s="1">
        <v>1140826238</v>
      </c>
      <c r="O608" s="1" t="s">
        <v>4208</v>
      </c>
      <c r="P608" s="1" t="s">
        <v>4209</v>
      </c>
      <c r="Q608" s="3">
        <v>45114</v>
      </c>
      <c r="R608" s="3">
        <v>45114</v>
      </c>
      <c r="S608" s="3">
        <v>45253</v>
      </c>
      <c r="T608" s="35"/>
      <c r="U608" s="3"/>
      <c r="V608" s="3"/>
      <c r="W608" s="50"/>
      <c r="X608" s="9">
        <v>0</v>
      </c>
      <c r="Y608" s="9">
        <v>18600000</v>
      </c>
      <c r="Z608" s="34">
        <f t="shared" si="25"/>
        <v>0</v>
      </c>
      <c r="AA608" s="1">
        <v>72220242</v>
      </c>
      <c r="AB608" s="1" t="s">
        <v>4072</v>
      </c>
      <c r="AC608" s="1"/>
      <c r="AD608" s="1"/>
      <c r="AE608" s="3"/>
      <c r="AF608" s="194" t="s">
        <v>4210</v>
      </c>
      <c r="AG608" s="15" t="s">
        <v>192</v>
      </c>
      <c r="AH608" s="15" t="s">
        <v>192</v>
      </c>
    </row>
    <row r="609" spans="1:34" s="4" customFormat="1" x14ac:dyDescent="0.25">
      <c r="A609" s="16">
        <v>891780112</v>
      </c>
      <c r="B609" s="16" t="s">
        <v>54</v>
      </c>
      <c r="C609" s="14" t="s">
        <v>57</v>
      </c>
      <c r="D609" s="16" t="s">
        <v>60</v>
      </c>
      <c r="E609" s="1" t="s">
        <v>4211</v>
      </c>
      <c r="F609" s="16" t="s">
        <v>61</v>
      </c>
      <c r="G609" s="1" t="s">
        <v>69</v>
      </c>
      <c r="H609" s="1" t="s">
        <v>73</v>
      </c>
      <c r="I609" s="9">
        <v>117908000</v>
      </c>
      <c r="J609" s="94"/>
      <c r="K609" s="2"/>
      <c r="L609" s="2"/>
      <c r="M609" s="40">
        <f t="shared" si="26"/>
        <v>117908000</v>
      </c>
      <c r="N609" s="1">
        <v>900687982</v>
      </c>
      <c r="O609" s="1" t="s">
        <v>4142</v>
      </c>
      <c r="P609" s="1" t="s">
        <v>4212</v>
      </c>
      <c r="Q609" s="3">
        <v>45114</v>
      </c>
      <c r="R609" s="3">
        <v>45131</v>
      </c>
      <c r="S609" s="3">
        <v>45199</v>
      </c>
      <c r="T609" s="35"/>
      <c r="U609" s="3"/>
      <c r="V609" s="3"/>
      <c r="W609" s="50"/>
      <c r="X609" s="9">
        <v>0</v>
      </c>
      <c r="Y609" s="9">
        <v>117908000</v>
      </c>
      <c r="Z609" s="34">
        <f t="shared" si="25"/>
        <v>0</v>
      </c>
      <c r="AA609" s="1">
        <v>72220242</v>
      </c>
      <c r="AB609" s="1" t="s">
        <v>4072</v>
      </c>
      <c r="AC609" s="1" t="s">
        <v>192</v>
      </c>
      <c r="AD609" s="1"/>
      <c r="AE609" s="3">
        <v>45119</v>
      </c>
      <c r="AF609" s="194" t="s">
        <v>4213</v>
      </c>
      <c r="AG609" s="15" t="s">
        <v>192</v>
      </c>
      <c r="AH609" s="15" t="s">
        <v>191</v>
      </c>
    </row>
    <row r="610" spans="1:34" s="4" customFormat="1" x14ac:dyDescent="0.25">
      <c r="A610" s="16">
        <v>891780112</v>
      </c>
      <c r="B610" s="16" t="s">
        <v>54</v>
      </c>
      <c r="C610" s="14" t="s">
        <v>57</v>
      </c>
      <c r="D610" s="16" t="s">
        <v>60</v>
      </c>
      <c r="E610" s="1" t="s">
        <v>4214</v>
      </c>
      <c r="F610" s="16" t="s">
        <v>61</v>
      </c>
      <c r="G610" s="1" t="s">
        <v>69</v>
      </c>
      <c r="H610" s="1" t="s">
        <v>72</v>
      </c>
      <c r="I610" s="9">
        <v>222153665</v>
      </c>
      <c r="J610" s="94"/>
      <c r="K610" s="2"/>
      <c r="L610" s="2"/>
      <c r="M610" s="40">
        <f t="shared" si="26"/>
        <v>222153665</v>
      </c>
      <c r="N610" s="1">
        <v>901468650</v>
      </c>
      <c r="O610" s="1" t="s">
        <v>4215</v>
      </c>
      <c r="P610" s="1" t="s">
        <v>4216</v>
      </c>
      <c r="Q610" s="3">
        <v>45114</v>
      </c>
      <c r="R610" s="3">
        <v>45125</v>
      </c>
      <c r="S610" s="3">
        <v>45199</v>
      </c>
      <c r="T610" s="35"/>
      <c r="U610" s="3"/>
      <c r="V610" s="3"/>
      <c r="W610" s="50"/>
      <c r="X610" s="9">
        <v>0</v>
      </c>
      <c r="Y610" s="9">
        <v>222153665</v>
      </c>
      <c r="Z610" s="34">
        <f t="shared" si="25"/>
        <v>0</v>
      </c>
      <c r="AA610" s="1">
        <v>72220242</v>
      </c>
      <c r="AB610" s="1" t="s">
        <v>4072</v>
      </c>
      <c r="AC610" s="1" t="s">
        <v>192</v>
      </c>
      <c r="AD610" s="1"/>
      <c r="AE610" s="3">
        <v>45119</v>
      </c>
      <c r="AF610" s="194" t="s">
        <v>4217</v>
      </c>
      <c r="AG610" s="15" t="s">
        <v>192</v>
      </c>
      <c r="AH610" s="15" t="s">
        <v>191</v>
      </c>
    </row>
    <row r="611" spans="1:34" s="4" customFormat="1" x14ac:dyDescent="0.25">
      <c r="A611" s="16">
        <v>891780112</v>
      </c>
      <c r="B611" s="16" t="s">
        <v>54</v>
      </c>
      <c r="C611" s="14" t="s">
        <v>57</v>
      </c>
      <c r="D611" s="16" t="s">
        <v>60</v>
      </c>
      <c r="E611" s="1" t="s">
        <v>4218</v>
      </c>
      <c r="F611" s="16" t="s">
        <v>61</v>
      </c>
      <c r="G611" s="1" t="s">
        <v>69</v>
      </c>
      <c r="H611" s="1" t="s">
        <v>73</v>
      </c>
      <c r="I611" s="9">
        <v>5000000</v>
      </c>
      <c r="J611" s="94"/>
      <c r="K611" s="2"/>
      <c r="L611" s="2"/>
      <c r="M611" s="40">
        <f t="shared" si="26"/>
        <v>5000000</v>
      </c>
      <c r="N611" s="1">
        <v>7601510</v>
      </c>
      <c r="O611" s="1" t="s">
        <v>4219</v>
      </c>
      <c r="P611" s="1" t="s">
        <v>4220</v>
      </c>
      <c r="Q611" s="3">
        <v>45125</v>
      </c>
      <c r="R611" s="3">
        <v>45126</v>
      </c>
      <c r="S611" s="3">
        <v>45188</v>
      </c>
      <c r="T611" s="35"/>
      <c r="U611" s="3"/>
      <c r="V611" s="3"/>
      <c r="W611" s="50"/>
      <c r="X611" s="9">
        <v>0</v>
      </c>
      <c r="Y611" s="9">
        <v>5000000</v>
      </c>
      <c r="Z611" s="34">
        <f t="shared" si="25"/>
        <v>0</v>
      </c>
      <c r="AA611" s="1">
        <v>72220242</v>
      </c>
      <c r="AB611" s="1" t="s">
        <v>4072</v>
      </c>
      <c r="AC611" s="1"/>
      <c r="AD611" s="1"/>
      <c r="AE611" s="3"/>
      <c r="AF611" s="194" t="s">
        <v>4221</v>
      </c>
      <c r="AG611" s="15" t="s">
        <v>192</v>
      </c>
      <c r="AH611" s="15" t="s">
        <v>192</v>
      </c>
    </row>
    <row r="612" spans="1:34" s="4" customFormat="1" x14ac:dyDescent="0.25">
      <c r="A612" s="16">
        <v>891780112</v>
      </c>
      <c r="B612" s="16" t="s">
        <v>54</v>
      </c>
      <c r="C612" s="14" t="s">
        <v>57</v>
      </c>
      <c r="D612" s="16" t="s">
        <v>60</v>
      </c>
      <c r="E612" s="1" t="s">
        <v>4222</v>
      </c>
      <c r="F612" s="16" t="s">
        <v>61</v>
      </c>
      <c r="G612" s="1" t="s">
        <v>69</v>
      </c>
      <c r="H612" s="1" t="s">
        <v>73</v>
      </c>
      <c r="I612" s="9">
        <v>2500000</v>
      </c>
      <c r="J612" s="94"/>
      <c r="K612" s="2"/>
      <c r="L612" s="2"/>
      <c r="M612" s="40">
        <f t="shared" si="26"/>
        <v>2500000</v>
      </c>
      <c r="N612" s="1">
        <v>1083558878</v>
      </c>
      <c r="O612" s="1" t="s">
        <v>4134</v>
      </c>
      <c r="P612" s="1" t="s">
        <v>4223</v>
      </c>
      <c r="Q612" s="3">
        <v>45125</v>
      </c>
      <c r="R612" s="3">
        <v>45126</v>
      </c>
      <c r="S612" s="3">
        <v>45138</v>
      </c>
      <c r="T612" s="35"/>
      <c r="U612" s="3"/>
      <c r="V612" s="3"/>
      <c r="W612" s="50"/>
      <c r="X612" s="9">
        <v>0</v>
      </c>
      <c r="Y612" s="9">
        <v>2500000</v>
      </c>
      <c r="Z612" s="34">
        <f t="shared" si="25"/>
        <v>0</v>
      </c>
      <c r="AA612" s="1">
        <v>72220242</v>
      </c>
      <c r="AB612" s="1" t="s">
        <v>4072</v>
      </c>
      <c r="AC612" s="1"/>
      <c r="AD612" s="1"/>
      <c r="AE612" s="3"/>
      <c r="AF612" s="194" t="s">
        <v>4224</v>
      </c>
      <c r="AG612" s="15" t="s">
        <v>192</v>
      </c>
      <c r="AH612" s="15" t="s">
        <v>192</v>
      </c>
    </row>
    <row r="613" spans="1:34" s="4" customFormat="1" x14ac:dyDescent="0.25">
      <c r="A613" s="16">
        <v>891780112</v>
      </c>
      <c r="B613" s="16" t="s">
        <v>54</v>
      </c>
      <c r="C613" s="14" t="s">
        <v>57</v>
      </c>
      <c r="D613" s="16" t="s">
        <v>60</v>
      </c>
      <c r="E613" s="1" t="s">
        <v>4225</v>
      </c>
      <c r="F613" s="16" t="s">
        <v>61</v>
      </c>
      <c r="G613" s="1" t="s">
        <v>69</v>
      </c>
      <c r="H613" s="1" t="s">
        <v>73</v>
      </c>
      <c r="I613" s="9">
        <v>248996800</v>
      </c>
      <c r="J613" s="94"/>
      <c r="K613" s="2"/>
      <c r="L613" s="2"/>
      <c r="M613" s="40">
        <f t="shared" si="26"/>
        <v>248996800</v>
      </c>
      <c r="N613" s="1" t="s">
        <v>4226</v>
      </c>
      <c r="O613" s="1" t="s">
        <v>4227</v>
      </c>
      <c r="P613" s="1" t="s">
        <v>4228</v>
      </c>
      <c r="Q613" s="3">
        <v>45131</v>
      </c>
      <c r="R613" s="3" t="s">
        <v>5919</v>
      </c>
      <c r="S613" s="3">
        <v>45199</v>
      </c>
      <c r="T613" s="35"/>
      <c r="U613" s="3"/>
      <c r="V613" s="3"/>
      <c r="W613" s="50"/>
      <c r="X613" s="9">
        <v>0</v>
      </c>
      <c r="Y613" s="9">
        <v>248996800</v>
      </c>
      <c r="Z613" s="34">
        <f t="shared" si="25"/>
        <v>0</v>
      </c>
      <c r="AA613" s="1">
        <v>72220242</v>
      </c>
      <c r="AB613" s="1" t="s">
        <v>4072</v>
      </c>
      <c r="AC613" s="1" t="s">
        <v>192</v>
      </c>
      <c r="AD613" s="1"/>
      <c r="AE613" s="3">
        <v>45134</v>
      </c>
      <c r="AF613" s="194" t="s">
        <v>4229</v>
      </c>
      <c r="AG613" s="15" t="s">
        <v>192</v>
      </c>
      <c r="AH613" s="15" t="s">
        <v>191</v>
      </c>
    </row>
    <row r="614" spans="1:34" s="4" customFormat="1" x14ac:dyDescent="0.25">
      <c r="A614" s="16">
        <v>891780112</v>
      </c>
      <c r="B614" s="16" t="s">
        <v>54</v>
      </c>
      <c r="C614" s="14" t="s">
        <v>57</v>
      </c>
      <c r="D614" s="16" t="s">
        <v>60</v>
      </c>
      <c r="E614" s="1" t="s">
        <v>4230</v>
      </c>
      <c r="F614" s="16" t="s">
        <v>61</v>
      </c>
      <c r="G614" s="1" t="s">
        <v>69</v>
      </c>
      <c r="H614" s="1" t="s">
        <v>73</v>
      </c>
      <c r="I614" s="9">
        <v>6000000</v>
      </c>
      <c r="J614" s="94"/>
      <c r="K614" s="2"/>
      <c r="L614" s="2"/>
      <c r="M614" s="40">
        <f t="shared" si="26"/>
        <v>6000000</v>
      </c>
      <c r="N614" s="1">
        <v>1007820328</v>
      </c>
      <c r="O614" s="1" t="s">
        <v>4231</v>
      </c>
      <c r="P614" s="1" t="s">
        <v>4232</v>
      </c>
      <c r="Q614" s="3">
        <v>45132</v>
      </c>
      <c r="R614" s="3">
        <v>45132</v>
      </c>
      <c r="S614" s="3">
        <v>45224</v>
      </c>
      <c r="T614" s="35"/>
      <c r="U614" s="3"/>
      <c r="V614" s="3"/>
      <c r="W614" s="50"/>
      <c r="X614" s="9">
        <v>0</v>
      </c>
      <c r="Y614" s="9">
        <v>6000000</v>
      </c>
      <c r="Z614" s="34">
        <f t="shared" si="25"/>
        <v>0</v>
      </c>
      <c r="AA614" s="1">
        <v>72220242</v>
      </c>
      <c r="AB614" s="1" t="s">
        <v>4072</v>
      </c>
      <c r="AC614" s="1"/>
      <c r="AD614" s="1"/>
      <c r="AE614" s="3"/>
      <c r="AF614" s="194" t="s">
        <v>4233</v>
      </c>
      <c r="AG614" s="15" t="s">
        <v>192</v>
      </c>
      <c r="AH614" s="15" t="s">
        <v>192</v>
      </c>
    </row>
    <row r="615" spans="1:34" s="4" customFormat="1" x14ac:dyDescent="0.25">
      <c r="A615" s="16">
        <v>891780112</v>
      </c>
      <c r="B615" s="16" t="s">
        <v>54</v>
      </c>
      <c r="C615" s="14" t="s">
        <v>57</v>
      </c>
      <c r="D615" s="16" t="s">
        <v>60</v>
      </c>
      <c r="E615" s="1" t="s">
        <v>4234</v>
      </c>
      <c r="F615" s="16" t="s">
        <v>61</v>
      </c>
      <c r="G615" s="1" t="s">
        <v>69</v>
      </c>
      <c r="H615" s="1" t="s">
        <v>73</v>
      </c>
      <c r="I615" s="9">
        <v>4000000</v>
      </c>
      <c r="J615" s="94"/>
      <c r="K615" s="2"/>
      <c r="L615" s="2"/>
      <c r="M615" s="40">
        <f t="shared" si="26"/>
        <v>4000000</v>
      </c>
      <c r="N615" s="1">
        <v>1083041508</v>
      </c>
      <c r="O615" s="1" t="s">
        <v>4235</v>
      </c>
      <c r="P615" s="1" t="s">
        <v>4236</v>
      </c>
      <c r="Q615" s="3">
        <v>45132</v>
      </c>
      <c r="R615" s="3">
        <v>45132</v>
      </c>
      <c r="S615" s="3">
        <v>45194</v>
      </c>
      <c r="T615" s="35"/>
      <c r="U615" s="3"/>
      <c r="V615" s="3"/>
      <c r="W615" s="50"/>
      <c r="X615" s="9">
        <v>0</v>
      </c>
      <c r="Y615" s="9">
        <v>4000000</v>
      </c>
      <c r="Z615" s="34">
        <f t="shared" si="25"/>
        <v>0</v>
      </c>
      <c r="AA615" s="1">
        <v>72220242</v>
      </c>
      <c r="AB615" s="1" t="s">
        <v>4072</v>
      </c>
      <c r="AC615" s="1"/>
      <c r="AD615" s="1"/>
      <c r="AE615" s="3"/>
      <c r="AF615" s="194" t="s">
        <v>4237</v>
      </c>
      <c r="AG615" s="15" t="s">
        <v>192</v>
      </c>
      <c r="AH615" s="15" t="s">
        <v>192</v>
      </c>
    </row>
    <row r="616" spans="1:34" s="4" customFormat="1" x14ac:dyDescent="0.25">
      <c r="A616" s="16">
        <v>891780112</v>
      </c>
      <c r="B616" s="16" t="s">
        <v>54</v>
      </c>
      <c r="C616" s="14" t="s">
        <v>57</v>
      </c>
      <c r="D616" s="16" t="s">
        <v>60</v>
      </c>
      <c r="E616" s="1" t="s">
        <v>4238</v>
      </c>
      <c r="F616" s="16" t="s">
        <v>61</v>
      </c>
      <c r="G616" s="1" t="s">
        <v>69</v>
      </c>
      <c r="H616" s="1" t="s">
        <v>73</v>
      </c>
      <c r="I616" s="9">
        <v>4000000</v>
      </c>
      <c r="J616" s="94"/>
      <c r="K616" s="2"/>
      <c r="L616" s="2"/>
      <c r="M616" s="40">
        <f t="shared" si="26"/>
        <v>4000000</v>
      </c>
      <c r="N616" s="1">
        <v>1007272102</v>
      </c>
      <c r="O616" s="1" t="s">
        <v>4239</v>
      </c>
      <c r="P616" s="1" t="s">
        <v>4240</v>
      </c>
      <c r="Q616" s="3">
        <v>45132</v>
      </c>
      <c r="R616" s="3">
        <v>45132</v>
      </c>
      <c r="S616" s="3">
        <v>45194</v>
      </c>
      <c r="T616" s="35"/>
      <c r="U616" s="3"/>
      <c r="V616" s="3"/>
      <c r="W616" s="50"/>
      <c r="X616" s="9">
        <v>0</v>
      </c>
      <c r="Y616" s="9">
        <v>4000000</v>
      </c>
      <c r="Z616" s="34">
        <f t="shared" si="25"/>
        <v>0</v>
      </c>
      <c r="AA616" s="1">
        <v>72220242</v>
      </c>
      <c r="AB616" s="1" t="s">
        <v>4072</v>
      </c>
      <c r="AC616" s="1"/>
      <c r="AD616" s="1"/>
      <c r="AE616" s="3"/>
      <c r="AF616" s="194" t="s">
        <v>4241</v>
      </c>
      <c r="AG616" s="15" t="s">
        <v>192</v>
      </c>
      <c r="AH616" s="15" t="s">
        <v>192</v>
      </c>
    </row>
    <row r="617" spans="1:34" s="4" customFormat="1" x14ac:dyDescent="0.25">
      <c r="A617" s="16">
        <v>891780112</v>
      </c>
      <c r="B617" s="16" t="s">
        <v>54</v>
      </c>
      <c r="C617" s="14" t="s">
        <v>57</v>
      </c>
      <c r="D617" s="16" t="s">
        <v>60</v>
      </c>
      <c r="E617" s="1" t="s">
        <v>4242</v>
      </c>
      <c r="F617" s="16" t="s">
        <v>61</v>
      </c>
      <c r="G617" s="1" t="s">
        <v>69</v>
      </c>
      <c r="H617" s="1" t="s">
        <v>73</v>
      </c>
      <c r="I617" s="9">
        <v>8000000</v>
      </c>
      <c r="J617" s="94"/>
      <c r="K617" s="2"/>
      <c r="L617" s="2"/>
      <c r="M617" s="40">
        <f t="shared" si="26"/>
        <v>8000000</v>
      </c>
      <c r="N617" s="1">
        <v>1082911727</v>
      </c>
      <c r="O617" s="1" t="s">
        <v>4138</v>
      </c>
      <c r="P617" s="1" t="s">
        <v>4243</v>
      </c>
      <c r="Q617" s="3">
        <v>45132</v>
      </c>
      <c r="R617" s="3">
        <v>45139</v>
      </c>
      <c r="S617" s="3">
        <v>45317</v>
      </c>
      <c r="T617" s="35"/>
      <c r="U617" s="3"/>
      <c r="V617" s="3"/>
      <c r="W617" s="50"/>
      <c r="X617" s="9">
        <v>0</v>
      </c>
      <c r="Y617" s="9">
        <v>8000000</v>
      </c>
      <c r="Z617" s="34">
        <f t="shared" si="25"/>
        <v>0</v>
      </c>
      <c r="AA617" s="1">
        <v>72220242</v>
      </c>
      <c r="AB617" s="1" t="s">
        <v>4072</v>
      </c>
      <c r="AC617" s="1"/>
      <c r="AD617" s="1"/>
      <c r="AE617" s="3"/>
      <c r="AF617" s="194" t="s">
        <v>4244</v>
      </c>
      <c r="AG617" s="15" t="s">
        <v>2619</v>
      </c>
      <c r="AH617" s="15" t="s">
        <v>192</v>
      </c>
    </row>
    <row r="618" spans="1:34" s="4" customFormat="1" x14ac:dyDescent="0.25">
      <c r="A618" s="16">
        <v>891780112</v>
      </c>
      <c r="B618" s="16" t="s">
        <v>54</v>
      </c>
      <c r="C618" s="14" t="s">
        <v>57</v>
      </c>
      <c r="D618" s="16" t="s">
        <v>60</v>
      </c>
      <c r="E618" s="1" t="s">
        <v>4245</v>
      </c>
      <c r="F618" s="16" t="s">
        <v>61</v>
      </c>
      <c r="G618" s="1" t="s">
        <v>69</v>
      </c>
      <c r="H618" s="1" t="s">
        <v>73</v>
      </c>
      <c r="I618" s="9">
        <v>118817500</v>
      </c>
      <c r="J618" s="94"/>
      <c r="K618" s="2"/>
      <c r="L618" s="2"/>
      <c r="M618" s="40">
        <f t="shared" si="26"/>
        <v>118817500</v>
      </c>
      <c r="N618" s="1" t="s">
        <v>4246</v>
      </c>
      <c r="O618" s="1" t="s">
        <v>4247</v>
      </c>
      <c r="P618" s="1" t="s">
        <v>4248</v>
      </c>
      <c r="Q618" s="3">
        <v>45132</v>
      </c>
      <c r="R618" s="3" t="s">
        <v>5919</v>
      </c>
      <c r="S618" s="3">
        <v>45245</v>
      </c>
      <c r="T618" s="35"/>
      <c r="U618" s="3"/>
      <c r="V618" s="3"/>
      <c r="W618" s="50"/>
      <c r="X618" s="9">
        <v>0</v>
      </c>
      <c r="Y618" s="9">
        <v>118817500</v>
      </c>
      <c r="Z618" s="34">
        <f t="shared" si="25"/>
        <v>0</v>
      </c>
      <c r="AA618" s="1">
        <v>72220242</v>
      </c>
      <c r="AB618" s="1" t="s">
        <v>4072</v>
      </c>
      <c r="AC618" s="1" t="s">
        <v>192</v>
      </c>
      <c r="AD618" s="1"/>
      <c r="AE618" s="3"/>
      <c r="AF618" s="194" t="s">
        <v>4249</v>
      </c>
      <c r="AG618" s="15" t="s">
        <v>2619</v>
      </c>
      <c r="AH618" s="15" t="s">
        <v>191</v>
      </c>
    </row>
    <row r="619" spans="1:34" s="4" customFormat="1" x14ac:dyDescent="0.25">
      <c r="A619" s="16">
        <v>891780112</v>
      </c>
      <c r="B619" s="16" t="s">
        <v>54</v>
      </c>
      <c r="C619" s="14" t="s">
        <v>57</v>
      </c>
      <c r="D619" s="16" t="s">
        <v>60</v>
      </c>
      <c r="E619" s="1" t="s">
        <v>4250</v>
      </c>
      <c r="F619" s="16" t="s">
        <v>61</v>
      </c>
      <c r="G619" s="1" t="s">
        <v>69</v>
      </c>
      <c r="H619" s="1" t="s">
        <v>73</v>
      </c>
      <c r="I619" s="9">
        <v>2400000</v>
      </c>
      <c r="J619" s="94"/>
      <c r="K619" s="2"/>
      <c r="L619" s="2"/>
      <c r="M619" s="40">
        <f t="shared" si="26"/>
        <v>2400000</v>
      </c>
      <c r="N619" s="1">
        <v>1082909211</v>
      </c>
      <c r="O619" s="1" t="s">
        <v>4251</v>
      </c>
      <c r="P619" s="1" t="s">
        <v>4252</v>
      </c>
      <c r="Q619" s="3">
        <v>45134</v>
      </c>
      <c r="R619" s="3">
        <v>45135</v>
      </c>
      <c r="S619" s="3">
        <v>45166</v>
      </c>
      <c r="T619" s="35"/>
      <c r="U619" s="3"/>
      <c r="V619" s="3"/>
      <c r="W619" s="50"/>
      <c r="X619" s="9">
        <v>0</v>
      </c>
      <c r="Y619" s="9">
        <v>2400000</v>
      </c>
      <c r="Z619" s="34">
        <f t="shared" si="25"/>
        <v>0</v>
      </c>
      <c r="AA619" s="1">
        <v>72220242</v>
      </c>
      <c r="AB619" s="1" t="s">
        <v>4072</v>
      </c>
      <c r="AC619" s="1"/>
      <c r="AD619" s="1"/>
      <c r="AE619" s="3"/>
      <c r="AF619" s="194" t="s">
        <v>4253</v>
      </c>
      <c r="AG619" s="15" t="s">
        <v>192</v>
      </c>
      <c r="AH619" s="15" t="s">
        <v>192</v>
      </c>
    </row>
    <row r="620" spans="1:34" s="4" customFormat="1" x14ac:dyDescent="0.25">
      <c r="A620" s="16">
        <v>891780112</v>
      </c>
      <c r="B620" s="16" t="s">
        <v>54</v>
      </c>
      <c r="C620" s="14" t="s">
        <v>57</v>
      </c>
      <c r="D620" s="16" t="s">
        <v>60</v>
      </c>
      <c r="E620" s="1" t="s">
        <v>4254</v>
      </c>
      <c r="F620" s="16" t="s">
        <v>61</v>
      </c>
      <c r="G620" s="1" t="s">
        <v>69</v>
      </c>
      <c r="H620" s="1" t="s">
        <v>73</v>
      </c>
      <c r="I620" s="9">
        <v>15225000</v>
      </c>
      <c r="J620" s="94"/>
      <c r="K620" s="2"/>
      <c r="L620" s="2"/>
      <c r="M620" s="40">
        <f t="shared" si="26"/>
        <v>15225000</v>
      </c>
      <c r="N620" s="1">
        <v>1083022572</v>
      </c>
      <c r="O620" s="1" t="s">
        <v>4255</v>
      </c>
      <c r="P620" s="1" t="s">
        <v>4256</v>
      </c>
      <c r="Q620" s="3">
        <v>45134</v>
      </c>
      <c r="R620" s="3">
        <v>45135</v>
      </c>
      <c r="S620" s="3">
        <v>45253</v>
      </c>
      <c r="T620" s="35"/>
      <c r="U620" s="3"/>
      <c r="V620" s="3"/>
      <c r="W620" s="50"/>
      <c r="X620" s="9">
        <v>0</v>
      </c>
      <c r="Y620" s="9">
        <v>15225000</v>
      </c>
      <c r="Z620" s="34">
        <f t="shared" si="25"/>
        <v>0</v>
      </c>
      <c r="AA620" s="1">
        <v>72220242</v>
      </c>
      <c r="AB620" s="1" t="s">
        <v>4072</v>
      </c>
      <c r="AC620" s="1"/>
      <c r="AD620" s="1"/>
      <c r="AE620" s="3"/>
      <c r="AF620" s="194" t="s">
        <v>4257</v>
      </c>
      <c r="AG620" s="15" t="s">
        <v>192</v>
      </c>
      <c r="AH620" s="15" t="s">
        <v>192</v>
      </c>
    </row>
    <row r="621" spans="1:34" s="4" customFormat="1" x14ac:dyDescent="0.25">
      <c r="A621" s="16">
        <v>891780634</v>
      </c>
      <c r="B621" s="16" t="s">
        <v>54</v>
      </c>
      <c r="C621" s="14" t="s">
        <v>57</v>
      </c>
      <c r="D621" s="16" t="s">
        <v>60</v>
      </c>
      <c r="E621" s="1" t="s">
        <v>4258</v>
      </c>
      <c r="F621" s="16" t="s">
        <v>61</v>
      </c>
      <c r="G621" s="1" t="s">
        <v>69</v>
      </c>
      <c r="H621" s="1" t="s">
        <v>73</v>
      </c>
      <c r="I621" s="9">
        <v>1320000</v>
      </c>
      <c r="J621" s="94"/>
      <c r="K621" s="2"/>
      <c r="L621" s="2"/>
      <c r="M621" s="40">
        <f t="shared" si="26"/>
        <v>1320000</v>
      </c>
      <c r="N621" s="1">
        <v>85461198</v>
      </c>
      <c r="O621" s="1" t="s">
        <v>4259</v>
      </c>
      <c r="P621" s="1" t="s">
        <v>4260</v>
      </c>
      <c r="Q621" s="3">
        <v>45072</v>
      </c>
      <c r="R621" s="3">
        <v>45072</v>
      </c>
      <c r="S621" s="3">
        <v>45097</v>
      </c>
      <c r="T621" s="35"/>
      <c r="U621" s="3"/>
      <c r="V621" s="3"/>
      <c r="W621" s="50"/>
      <c r="X621" s="9">
        <v>1320000</v>
      </c>
      <c r="Y621" s="9">
        <f t="shared" ref="Y621:Y622" si="27">M621-X621</f>
        <v>0</v>
      </c>
      <c r="Z621" s="34">
        <v>1</v>
      </c>
      <c r="AA621" s="1">
        <v>36669284</v>
      </c>
      <c r="AB621" s="1" t="s">
        <v>2501</v>
      </c>
      <c r="AC621" s="1"/>
      <c r="AD621" s="1"/>
      <c r="AE621" s="3"/>
      <c r="AF621" s="194" t="s">
        <v>4261</v>
      </c>
      <c r="AG621" s="15" t="s">
        <v>192</v>
      </c>
      <c r="AH621" s="15"/>
    </row>
    <row r="622" spans="1:34" s="4" customFormat="1" x14ac:dyDescent="0.25">
      <c r="A622" s="16">
        <v>891780635</v>
      </c>
      <c r="B622" s="16" t="s">
        <v>54</v>
      </c>
      <c r="C622" s="14" t="s">
        <v>57</v>
      </c>
      <c r="D622" s="16" t="s">
        <v>60</v>
      </c>
      <c r="E622" s="1" t="s">
        <v>4262</v>
      </c>
      <c r="F622" s="16" t="s">
        <v>61</v>
      </c>
      <c r="G622" s="1" t="s">
        <v>69</v>
      </c>
      <c r="H622" s="1" t="s">
        <v>73</v>
      </c>
      <c r="I622" s="9">
        <v>2640000</v>
      </c>
      <c r="J622" s="94"/>
      <c r="K622" s="2"/>
      <c r="L622" s="2"/>
      <c r="M622" s="40">
        <f t="shared" si="26"/>
        <v>2640000</v>
      </c>
      <c r="N622" s="1">
        <v>80722684</v>
      </c>
      <c r="O622" s="1" t="s">
        <v>4263</v>
      </c>
      <c r="P622" s="1" t="s">
        <v>4264</v>
      </c>
      <c r="Q622" s="3">
        <v>45072</v>
      </c>
      <c r="R622" s="3">
        <v>45072</v>
      </c>
      <c r="S622" s="3">
        <v>45097</v>
      </c>
      <c r="T622" s="35"/>
      <c r="U622" s="3"/>
      <c r="V622" s="3"/>
      <c r="W622" s="50"/>
      <c r="X622" s="9">
        <v>2640000</v>
      </c>
      <c r="Y622" s="9">
        <f t="shared" si="27"/>
        <v>0</v>
      </c>
      <c r="Z622" s="34">
        <v>1</v>
      </c>
      <c r="AA622" s="1">
        <v>36669284</v>
      </c>
      <c r="AB622" s="1" t="s">
        <v>2501</v>
      </c>
      <c r="AC622" s="1"/>
      <c r="AD622" s="1"/>
      <c r="AE622" s="3"/>
      <c r="AF622" s="194" t="s">
        <v>4265</v>
      </c>
      <c r="AG622" s="15" t="s">
        <v>192</v>
      </c>
      <c r="AH622" s="15"/>
    </row>
    <row r="623" spans="1:34" s="4" customFormat="1" x14ac:dyDescent="0.25">
      <c r="A623" s="16">
        <v>891780635</v>
      </c>
      <c r="B623" s="16" t="s">
        <v>54</v>
      </c>
      <c r="C623" s="14" t="s">
        <v>57</v>
      </c>
      <c r="D623" s="16" t="s">
        <v>60</v>
      </c>
      <c r="E623" s="1" t="s">
        <v>4266</v>
      </c>
      <c r="F623" s="16" t="s">
        <v>61</v>
      </c>
      <c r="G623" s="1" t="s">
        <v>69</v>
      </c>
      <c r="H623" s="1" t="s">
        <v>73</v>
      </c>
      <c r="I623" s="9">
        <v>4856000</v>
      </c>
      <c r="J623" s="94"/>
      <c r="K623" s="2"/>
      <c r="L623" s="2"/>
      <c r="M623" s="40">
        <f t="shared" si="26"/>
        <v>4856000</v>
      </c>
      <c r="N623" s="1">
        <v>800176618</v>
      </c>
      <c r="O623" s="1" t="s">
        <v>4267</v>
      </c>
      <c r="P623" s="1" t="s">
        <v>4268</v>
      </c>
      <c r="Q623" s="3">
        <v>45121</v>
      </c>
      <c r="R623" s="3">
        <v>45121</v>
      </c>
      <c r="S623" s="3">
        <v>45151</v>
      </c>
      <c r="T623" s="35"/>
      <c r="U623" s="3"/>
      <c r="V623" s="3"/>
      <c r="W623" s="50"/>
      <c r="X623" s="9">
        <v>0</v>
      </c>
      <c r="Y623" s="9">
        <v>4856000</v>
      </c>
      <c r="Z623" s="34">
        <v>0</v>
      </c>
      <c r="AA623" s="1">
        <v>36669284</v>
      </c>
      <c r="AB623" s="1" t="s">
        <v>2501</v>
      </c>
      <c r="AC623" s="1"/>
      <c r="AD623" s="1"/>
      <c r="AE623" s="3"/>
      <c r="AF623" s="194" t="s">
        <v>4269</v>
      </c>
      <c r="AG623" s="15" t="s">
        <v>192</v>
      </c>
      <c r="AH623" s="15"/>
    </row>
    <row r="624" spans="1:34" s="4" customFormat="1" x14ac:dyDescent="0.25">
      <c r="A624" s="16">
        <v>891780112</v>
      </c>
      <c r="B624" s="16" t="s">
        <v>54</v>
      </c>
      <c r="C624" s="14" t="s">
        <v>57</v>
      </c>
      <c r="D624" s="16" t="s">
        <v>60</v>
      </c>
      <c r="E624" s="1" t="s">
        <v>4270</v>
      </c>
      <c r="F624" s="16" t="s">
        <v>61</v>
      </c>
      <c r="G624" s="1" t="s">
        <v>69</v>
      </c>
      <c r="H624" s="1" t="s">
        <v>73</v>
      </c>
      <c r="I624" s="9">
        <v>12492235</v>
      </c>
      <c r="J624" s="94">
        <v>1</v>
      </c>
      <c r="K624" s="2">
        <v>1300000</v>
      </c>
      <c r="L624" s="2"/>
      <c r="M624" s="40">
        <f t="shared" si="26"/>
        <v>13792235</v>
      </c>
      <c r="N624" s="1">
        <v>1082964230</v>
      </c>
      <c r="O624" s="1" t="s">
        <v>4271</v>
      </c>
      <c r="P624" s="1" t="s">
        <v>4272</v>
      </c>
      <c r="Q624" s="3">
        <v>44984</v>
      </c>
      <c r="R624" s="3">
        <v>44985</v>
      </c>
      <c r="S624" s="3">
        <v>45127</v>
      </c>
      <c r="T624" s="35"/>
      <c r="U624" s="3"/>
      <c r="V624" s="3"/>
      <c r="W624" s="50"/>
      <c r="X624" s="9">
        <v>11293788</v>
      </c>
      <c r="Y624" s="9">
        <v>2498447</v>
      </c>
      <c r="Z624" s="34">
        <v>0.8188511869178563</v>
      </c>
      <c r="AA624" s="1">
        <v>57297302</v>
      </c>
      <c r="AB624" s="195" t="s">
        <v>4273</v>
      </c>
      <c r="AC624" s="1"/>
      <c r="AD624" s="1"/>
      <c r="AE624" s="3"/>
      <c r="AF624" s="194" t="s">
        <v>4274</v>
      </c>
      <c r="AG624" s="15" t="s">
        <v>192</v>
      </c>
      <c r="AH624" s="15" t="s">
        <v>192</v>
      </c>
    </row>
    <row r="625" spans="1:34" s="4" customFormat="1" x14ac:dyDescent="0.25">
      <c r="A625" s="16">
        <v>891780113</v>
      </c>
      <c r="B625" s="16" t="s">
        <v>54</v>
      </c>
      <c r="C625" s="14" t="s">
        <v>57</v>
      </c>
      <c r="D625" s="16" t="s">
        <v>60</v>
      </c>
      <c r="E625" s="1" t="s">
        <v>4275</v>
      </c>
      <c r="F625" s="16" t="s">
        <v>61</v>
      </c>
      <c r="G625" s="1" t="s">
        <v>69</v>
      </c>
      <c r="H625" s="1" t="s">
        <v>73</v>
      </c>
      <c r="I625" s="9">
        <v>34993394</v>
      </c>
      <c r="J625" s="94"/>
      <c r="K625" s="2"/>
      <c r="L625" s="2"/>
      <c r="M625" s="40">
        <f t="shared" si="26"/>
        <v>34993394</v>
      </c>
      <c r="N625" s="1">
        <v>36720072</v>
      </c>
      <c r="O625" s="1" t="s">
        <v>4276</v>
      </c>
      <c r="P625" s="1" t="s">
        <v>4277</v>
      </c>
      <c r="Q625" s="3">
        <v>44984</v>
      </c>
      <c r="R625" s="3">
        <v>44985</v>
      </c>
      <c r="S625" s="3">
        <v>45291</v>
      </c>
      <c r="T625" s="35"/>
      <c r="U625" s="3"/>
      <c r="V625" s="3"/>
      <c r="W625" s="50"/>
      <c r="X625" s="9">
        <v>12724868</v>
      </c>
      <c r="Y625" s="9">
        <v>22268526</v>
      </c>
      <c r="Z625" s="34">
        <v>0.36363629089536159</v>
      </c>
      <c r="AA625" s="1">
        <v>7597888</v>
      </c>
      <c r="AB625" s="1" t="s">
        <v>1140</v>
      </c>
      <c r="AC625" s="1"/>
      <c r="AD625" s="1"/>
      <c r="AE625" s="3"/>
      <c r="AF625" s="194" t="s">
        <v>4278</v>
      </c>
      <c r="AG625" s="15" t="s">
        <v>192</v>
      </c>
      <c r="AH625" s="15" t="s">
        <v>192</v>
      </c>
    </row>
    <row r="626" spans="1:34" s="4" customFormat="1" x14ac:dyDescent="0.25">
      <c r="A626" s="16">
        <v>891780285</v>
      </c>
      <c r="B626" s="16" t="s">
        <v>54</v>
      </c>
      <c r="C626" s="14" t="s">
        <v>57</v>
      </c>
      <c r="D626" s="16" t="s">
        <v>60</v>
      </c>
      <c r="E626" s="1" t="s">
        <v>4279</v>
      </c>
      <c r="F626" s="16" t="s">
        <v>61</v>
      </c>
      <c r="G626" s="1" t="s">
        <v>69</v>
      </c>
      <c r="H626" s="1" t="s">
        <v>73</v>
      </c>
      <c r="I626" s="9">
        <v>19500000</v>
      </c>
      <c r="J626" s="94"/>
      <c r="K626" s="2"/>
      <c r="L626" s="2"/>
      <c r="M626" s="40">
        <f t="shared" si="26"/>
        <v>19500000</v>
      </c>
      <c r="N626" s="1">
        <v>18008594</v>
      </c>
      <c r="O626" s="1" t="s">
        <v>4280</v>
      </c>
      <c r="P626" s="1" t="s">
        <v>4281</v>
      </c>
      <c r="Q626" s="3">
        <v>44984</v>
      </c>
      <c r="R626" s="3">
        <v>44985</v>
      </c>
      <c r="S626" s="3">
        <v>45127</v>
      </c>
      <c r="T626" s="35"/>
      <c r="U626" s="3"/>
      <c r="V626" s="3"/>
      <c r="W626" s="50"/>
      <c r="X626" s="9">
        <v>11700000</v>
      </c>
      <c r="Y626" s="9">
        <v>7800000</v>
      </c>
      <c r="Z626" s="34">
        <v>0.6</v>
      </c>
      <c r="AA626" s="1">
        <v>57297302</v>
      </c>
      <c r="AB626" s="1" t="s">
        <v>4273</v>
      </c>
      <c r="AC626" s="1"/>
      <c r="AD626" s="1"/>
      <c r="AE626" s="3"/>
      <c r="AF626" s="194" t="s">
        <v>4282</v>
      </c>
      <c r="AG626" s="15" t="s">
        <v>192</v>
      </c>
      <c r="AH626" s="15" t="s">
        <v>192</v>
      </c>
    </row>
    <row r="627" spans="1:34" s="4" customFormat="1" x14ac:dyDescent="0.25">
      <c r="A627" s="16">
        <v>891780286</v>
      </c>
      <c r="B627" s="16" t="s">
        <v>54</v>
      </c>
      <c r="C627" s="14" t="s">
        <v>57</v>
      </c>
      <c r="D627" s="16" t="s">
        <v>60</v>
      </c>
      <c r="E627" s="1" t="s">
        <v>4283</v>
      </c>
      <c r="F627" s="16" t="s">
        <v>61</v>
      </c>
      <c r="G627" s="1" t="s">
        <v>69</v>
      </c>
      <c r="H627" s="1" t="s">
        <v>73</v>
      </c>
      <c r="I627" s="9">
        <v>2891649.03</v>
      </c>
      <c r="J627" s="94"/>
      <c r="K627" s="2"/>
      <c r="L627" s="2"/>
      <c r="M627" s="40">
        <f t="shared" si="26"/>
        <v>2891649.03</v>
      </c>
      <c r="N627" s="1">
        <v>52909815</v>
      </c>
      <c r="O627" s="1" t="s">
        <v>4284</v>
      </c>
      <c r="P627" s="1" t="s">
        <v>4285</v>
      </c>
      <c r="Q627" s="3">
        <v>44984</v>
      </c>
      <c r="R627" s="3">
        <v>44985</v>
      </c>
      <c r="S627" s="3">
        <v>45005</v>
      </c>
      <c r="T627" s="35"/>
      <c r="U627" s="3"/>
      <c r="V627" s="3"/>
      <c r="W627" s="50"/>
      <c r="X627" s="9">
        <v>2891649.03</v>
      </c>
      <c r="Y627" s="9">
        <f>M627-X627</f>
        <v>0</v>
      </c>
      <c r="Z627" s="34">
        <v>1</v>
      </c>
      <c r="AA627" s="1">
        <v>57297302</v>
      </c>
      <c r="AB627" s="1" t="s">
        <v>4273</v>
      </c>
      <c r="AC627" s="1"/>
      <c r="AD627" s="1"/>
      <c r="AE627" s="3"/>
      <c r="AF627" s="194" t="s">
        <v>4286</v>
      </c>
      <c r="AG627" s="15" t="s">
        <v>192</v>
      </c>
      <c r="AH627" s="15" t="s">
        <v>192</v>
      </c>
    </row>
    <row r="628" spans="1:34" s="4" customFormat="1" x14ac:dyDescent="0.25">
      <c r="A628" s="16">
        <v>891780288</v>
      </c>
      <c r="B628" s="16" t="s">
        <v>54</v>
      </c>
      <c r="C628" s="14" t="s">
        <v>57</v>
      </c>
      <c r="D628" s="16" t="s">
        <v>60</v>
      </c>
      <c r="E628" s="1" t="s">
        <v>4287</v>
      </c>
      <c r="F628" s="16" t="s">
        <v>61</v>
      </c>
      <c r="G628" s="1" t="s">
        <v>69</v>
      </c>
      <c r="H628" s="1" t="s">
        <v>73</v>
      </c>
      <c r="I628" s="9">
        <v>19812000</v>
      </c>
      <c r="J628" s="94"/>
      <c r="K628" s="2"/>
      <c r="L628" s="2"/>
      <c r="M628" s="40">
        <f t="shared" si="26"/>
        <v>19812000</v>
      </c>
      <c r="N628" s="1">
        <v>1083034205</v>
      </c>
      <c r="O628" s="1" t="s">
        <v>4288</v>
      </c>
      <c r="P628" s="1" t="s">
        <v>4289</v>
      </c>
      <c r="Q628" s="3">
        <v>44986</v>
      </c>
      <c r="R628" s="3">
        <v>44986</v>
      </c>
      <c r="S628" s="3">
        <v>45138</v>
      </c>
      <c r="T628" s="35"/>
      <c r="U628" s="3"/>
      <c r="V628" s="3"/>
      <c r="W628" s="50"/>
      <c r="X628" s="9">
        <v>13208000</v>
      </c>
      <c r="Y628" s="9">
        <v>6604000</v>
      </c>
      <c r="Z628" s="34">
        <v>0.66666666666666663</v>
      </c>
      <c r="AA628" s="1">
        <v>91156594</v>
      </c>
      <c r="AB628" s="1" t="s">
        <v>4290</v>
      </c>
      <c r="AC628" s="1"/>
      <c r="AD628" s="1"/>
      <c r="AE628" s="3"/>
      <c r="AF628" s="194" t="s">
        <v>4291</v>
      </c>
      <c r="AG628" s="15" t="s">
        <v>192</v>
      </c>
      <c r="AH628" s="15"/>
    </row>
    <row r="629" spans="1:34" s="4" customFormat="1" x14ac:dyDescent="0.25">
      <c r="A629" s="16">
        <v>891780289</v>
      </c>
      <c r="B629" s="16" t="s">
        <v>54</v>
      </c>
      <c r="C629" s="14" t="s">
        <v>57</v>
      </c>
      <c r="D629" s="16" t="s">
        <v>60</v>
      </c>
      <c r="E629" s="1" t="s">
        <v>4292</v>
      </c>
      <c r="F629" s="16" t="s">
        <v>61</v>
      </c>
      <c r="G629" s="1" t="s">
        <v>69</v>
      </c>
      <c r="H629" s="1" t="s">
        <v>73</v>
      </c>
      <c r="I629" s="9">
        <v>9906000</v>
      </c>
      <c r="J629" s="94"/>
      <c r="K629" s="2"/>
      <c r="L629" s="2"/>
      <c r="M629" s="40">
        <f t="shared" si="26"/>
        <v>9906000</v>
      </c>
      <c r="N629" s="1">
        <v>1216968632</v>
      </c>
      <c r="O629" s="1" t="s">
        <v>4293</v>
      </c>
      <c r="P629" s="1" t="s">
        <v>4294</v>
      </c>
      <c r="Q629" s="3">
        <v>44986</v>
      </c>
      <c r="R629" s="3">
        <v>44986</v>
      </c>
      <c r="S629" s="3">
        <v>45138</v>
      </c>
      <c r="T629" s="35"/>
      <c r="U629" s="3"/>
      <c r="V629" s="3"/>
      <c r="W629" s="50"/>
      <c r="X629" s="9">
        <v>6604000</v>
      </c>
      <c r="Y629" s="9">
        <v>3302000</v>
      </c>
      <c r="Z629" s="34">
        <v>0.66666666666666663</v>
      </c>
      <c r="AA629" s="1">
        <v>91156594</v>
      </c>
      <c r="AB629" s="1" t="s">
        <v>4290</v>
      </c>
      <c r="AC629" s="1"/>
      <c r="AD629" s="1"/>
      <c r="AE629" s="3"/>
      <c r="AF629" s="194" t="s">
        <v>4295</v>
      </c>
      <c r="AG629" s="15" t="s">
        <v>192</v>
      </c>
      <c r="AH629" s="15" t="s">
        <v>192</v>
      </c>
    </row>
    <row r="630" spans="1:34" s="4" customFormat="1" x14ac:dyDescent="0.25">
      <c r="A630" s="16">
        <v>891780290</v>
      </c>
      <c r="B630" s="16" t="s">
        <v>54</v>
      </c>
      <c r="C630" s="14" t="s">
        <v>57</v>
      </c>
      <c r="D630" s="16" t="s">
        <v>60</v>
      </c>
      <c r="E630" s="1" t="s">
        <v>4296</v>
      </c>
      <c r="F630" s="16" t="s">
        <v>61</v>
      </c>
      <c r="G630" s="1" t="s">
        <v>69</v>
      </c>
      <c r="H630" s="1" t="s">
        <v>73</v>
      </c>
      <c r="I630" s="9">
        <v>19812000</v>
      </c>
      <c r="J630" s="94"/>
      <c r="K630" s="2"/>
      <c r="L630" s="2"/>
      <c r="M630" s="40">
        <f t="shared" si="26"/>
        <v>19812000</v>
      </c>
      <c r="N630" s="1">
        <v>84094163</v>
      </c>
      <c r="O630" s="1" t="s">
        <v>4297</v>
      </c>
      <c r="P630" s="1" t="s">
        <v>4298</v>
      </c>
      <c r="Q630" s="3">
        <v>44986</v>
      </c>
      <c r="R630" s="3">
        <v>44986</v>
      </c>
      <c r="S630" s="3">
        <v>45138</v>
      </c>
      <c r="T630" s="35"/>
      <c r="U630" s="3"/>
      <c r="V630" s="3"/>
      <c r="W630" s="50"/>
      <c r="X630" s="9">
        <v>6604000</v>
      </c>
      <c r="Y630" s="9">
        <v>13208000</v>
      </c>
      <c r="Z630" s="34">
        <v>0.33333333333333331</v>
      </c>
      <c r="AA630" s="1">
        <v>91156594</v>
      </c>
      <c r="AB630" s="1" t="s">
        <v>4290</v>
      </c>
      <c r="AC630" s="1"/>
      <c r="AD630" s="1"/>
      <c r="AE630" s="3"/>
      <c r="AF630" s="194" t="s">
        <v>4299</v>
      </c>
      <c r="AG630" s="15" t="s">
        <v>192</v>
      </c>
      <c r="AH630" s="15" t="s">
        <v>192</v>
      </c>
    </row>
    <row r="631" spans="1:34" s="4" customFormat="1" x14ac:dyDescent="0.25">
      <c r="A631" s="16">
        <v>891780291</v>
      </c>
      <c r="B631" s="16" t="s">
        <v>54</v>
      </c>
      <c r="C631" s="14" t="s">
        <v>57</v>
      </c>
      <c r="D631" s="16" t="s">
        <v>60</v>
      </c>
      <c r="E631" s="1" t="s">
        <v>4300</v>
      </c>
      <c r="F631" s="16" t="s">
        <v>61</v>
      </c>
      <c r="G631" s="1" t="s">
        <v>69</v>
      </c>
      <c r="H631" s="1" t="s">
        <v>73</v>
      </c>
      <c r="I631" s="9">
        <v>23114000</v>
      </c>
      <c r="J631" s="94"/>
      <c r="K631" s="2"/>
      <c r="L631" s="2"/>
      <c r="M631" s="40">
        <f t="shared" si="26"/>
        <v>23114000</v>
      </c>
      <c r="N631" s="1">
        <v>1118861528</v>
      </c>
      <c r="O631" s="1" t="s">
        <v>4301</v>
      </c>
      <c r="P631" s="1" t="s">
        <v>4302</v>
      </c>
      <c r="Q631" s="3">
        <v>44986</v>
      </c>
      <c r="R631" s="3">
        <v>44986</v>
      </c>
      <c r="S631" s="3">
        <v>45138</v>
      </c>
      <c r="T631" s="35"/>
      <c r="U631" s="3"/>
      <c r="V631" s="3"/>
      <c r="W631" s="50"/>
      <c r="X631" s="9">
        <v>7704666</v>
      </c>
      <c r="Y631" s="9">
        <v>15409334</v>
      </c>
      <c r="Z631" s="34">
        <v>0.3333333044907848</v>
      </c>
      <c r="AA631" s="1">
        <v>91156594</v>
      </c>
      <c r="AB631" s="1" t="s">
        <v>4290</v>
      </c>
      <c r="AC631" s="1"/>
      <c r="AD631" s="1"/>
      <c r="AE631" s="3"/>
      <c r="AF631" s="194" t="s">
        <v>4303</v>
      </c>
      <c r="AG631" s="15" t="s">
        <v>192</v>
      </c>
      <c r="AH631" s="15" t="s">
        <v>192</v>
      </c>
    </row>
    <row r="632" spans="1:34" s="4" customFormat="1" x14ac:dyDescent="0.25">
      <c r="A632" s="16">
        <v>891780292</v>
      </c>
      <c r="B632" s="16" t="s">
        <v>54</v>
      </c>
      <c r="C632" s="14" t="s">
        <v>57</v>
      </c>
      <c r="D632" s="16" t="s">
        <v>60</v>
      </c>
      <c r="E632" s="1" t="s">
        <v>4304</v>
      </c>
      <c r="F632" s="16" t="s">
        <v>61</v>
      </c>
      <c r="G632" s="1" t="s">
        <v>69</v>
      </c>
      <c r="H632" s="1" t="s">
        <v>73</v>
      </c>
      <c r="I632" s="9">
        <v>13200000</v>
      </c>
      <c r="J632" s="94"/>
      <c r="K632" s="2"/>
      <c r="L632" s="2"/>
      <c r="M632" s="40">
        <f t="shared" si="26"/>
        <v>13200000</v>
      </c>
      <c r="N632" s="1">
        <v>1103121339</v>
      </c>
      <c r="O632" s="1" t="s">
        <v>4305</v>
      </c>
      <c r="P632" s="1" t="s">
        <v>4306</v>
      </c>
      <c r="Q632" s="3">
        <v>44986</v>
      </c>
      <c r="R632" s="3">
        <v>44986</v>
      </c>
      <c r="S632" s="3">
        <v>45138</v>
      </c>
      <c r="T632" s="35"/>
      <c r="U632" s="3"/>
      <c r="V632" s="3"/>
      <c r="W632" s="50"/>
      <c r="X632" s="9">
        <v>8800000</v>
      </c>
      <c r="Y632" s="9">
        <v>4400000</v>
      </c>
      <c r="Z632" s="34">
        <v>0.66666666666666663</v>
      </c>
      <c r="AA632" s="1">
        <v>91156594</v>
      </c>
      <c r="AB632" s="1" t="s">
        <v>4290</v>
      </c>
      <c r="AC632" s="1"/>
      <c r="AD632" s="1"/>
      <c r="AE632" s="3"/>
      <c r="AF632" s="194" t="s">
        <v>4307</v>
      </c>
      <c r="AG632" s="15" t="s">
        <v>192</v>
      </c>
      <c r="AH632" s="15" t="s">
        <v>192</v>
      </c>
    </row>
    <row r="633" spans="1:34" s="4" customFormat="1" x14ac:dyDescent="0.25">
      <c r="A633" s="16">
        <v>891780293</v>
      </c>
      <c r="B633" s="16" t="s">
        <v>54</v>
      </c>
      <c r="C633" s="14" t="s">
        <v>57</v>
      </c>
      <c r="D633" s="16" t="s">
        <v>60</v>
      </c>
      <c r="E633" s="1" t="s">
        <v>4308</v>
      </c>
      <c r="F633" s="16" t="s">
        <v>61</v>
      </c>
      <c r="G633" s="1" t="s">
        <v>69</v>
      </c>
      <c r="H633" s="1" t="s">
        <v>73</v>
      </c>
      <c r="I633" s="9">
        <v>19812000</v>
      </c>
      <c r="J633" s="94">
        <v>1</v>
      </c>
      <c r="K633" s="2"/>
      <c r="L633" s="2">
        <v>3302000</v>
      </c>
      <c r="M633" s="40">
        <f t="shared" si="26"/>
        <v>16510000</v>
      </c>
      <c r="N633" s="1">
        <v>1083034004</v>
      </c>
      <c r="O633" s="1" t="s">
        <v>4309</v>
      </c>
      <c r="P633" s="1" t="s">
        <v>4310</v>
      </c>
      <c r="Q633" s="3">
        <v>44986</v>
      </c>
      <c r="R633" s="3">
        <v>44986</v>
      </c>
      <c r="S633" s="3">
        <v>45138</v>
      </c>
      <c r="T633" s="35"/>
      <c r="U633" s="3"/>
      <c r="V633" s="3"/>
      <c r="W633" s="50">
        <v>45107</v>
      </c>
      <c r="X633" s="9">
        <v>13208000</v>
      </c>
      <c r="Y633" s="9">
        <v>3302000</v>
      </c>
      <c r="Z633" s="34">
        <v>0.8</v>
      </c>
      <c r="AA633" s="1">
        <v>91156594</v>
      </c>
      <c r="AB633" s="1" t="s">
        <v>4290</v>
      </c>
      <c r="AC633" s="1"/>
      <c r="AD633" s="1"/>
      <c r="AE633" s="3"/>
      <c r="AF633" s="194" t="s">
        <v>4311</v>
      </c>
      <c r="AG633" s="15" t="s">
        <v>192</v>
      </c>
      <c r="AH633" s="15" t="s">
        <v>192</v>
      </c>
    </row>
    <row r="634" spans="1:34" s="4" customFormat="1" x14ac:dyDescent="0.25">
      <c r="A634" s="16">
        <v>891780294</v>
      </c>
      <c r="B634" s="16" t="s">
        <v>54</v>
      </c>
      <c r="C634" s="14" t="s">
        <v>57</v>
      </c>
      <c r="D634" s="16" t="s">
        <v>60</v>
      </c>
      <c r="E634" s="1" t="s">
        <v>4312</v>
      </c>
      <c r="F634" s="16" t="s">
        <v>61</v>
      </c>
      <c r="G634" s="1" t="s">
        <v>69</v>
      </c>
      <c r="H634" s="1" t="s">
        <v>73</v>
      </c>
      <c r="I634" s="9">
        <v>13200000</v>
      </c>
      <c r="J634" s="94"/>
      <c r="K634" s="2"/>
      <c r="L634" s="2"/>
      <c r="M634" s="40">
        <f t="shared" si="26"/>
        <v>13200000</v>
      </c>
      <c r="N634" s="1">
        <v>1118869657</v>
      </c>
      <c r="O634" s="1" t="s">
        <v>4313</v>
      </c>
      <c r="P634" s="1" t="s">
        <v>4314</v>
      </c>
      <c r="Q634" s="3">
        <v>44986</v>
      </c>
      <c r="R634" s="3">
        <v>44986</v>
      </c>
      <c r="S634" s="3">
        <v>45138</v>
      </c>
      <c r="T634" s="35"/>
      <c r="U634" s="3"/>
      <c r="V634" s="3"/>
      <c r="W634" s="50"/>
      <c r="X634" s="9">
        <v>4400000</v>
      </c>
      <c r="Y634" s="9">
        <v>8800000</v>
      </c>
      <c r="Z634" s="34">
        <v>0.33333333333333331</v>
      </c>
      <c r="AA634" s="1">
        <v>91156594</v>
      </c>
      <c r="AB634" s="1" t="s">
        <v>4290</v>
      </c>
      <c r="AC634" s="1"/>
      <c r="AD634" s="1"/>
      <c r="AE634" s="3"/>
      <c r="AF634" s="194" t="s">
        <v>4315</v>
      </c>
      <c r="AG634" s="15" t="s">
        <v>192</v>
      </c>
      <c r="AH634" s="15" t="s">
        <v>192</v>
      </c>
    </row>
    <row r="635" spans="1:34" s="4" customFormat="1" x14ac:dyDescent="0.25">
      <c r="A635" s="16">
        <v>891780295</v>
      </c>
      <c r="B635" s="16" t="s">
        <v>54</v>
      </c>
      <c r="C635" s="14" t="s">
        <v>57</v>
      </c>
      <c r="D635" s="16" t="s">
        <v>60</v>
      </c>
      <c r="E635" s="1" t="s">
        <v>4316</v>
      </c>
      <c r="F635" s="16" t="s">
        <v>61</v>
      </c>
      <c r="G635" s="1" t="s">
        <v>69</v>
      </c>
      <c r="H635" s="1" t="s">
        <v>73</v>
      </c>
      <c r="I635" s="9">
        <v>9906000</v>
      </c>
      <c r="J635" s="94"/>
      <c r="K635" s="2"/>
      <c r="L635" s="2"/>
      <c r="M635" s="40">
        <f t="shared" si="26"/>
        <v>9906000</v>
      </c>
      <c r="N635" s="1">
        <v>1118837552</v>
      </c>
      <c r="O635" s="1" t="s">
        <v>4317</v>
      </c>
      <c r="P635" s="1" t="s">
        <v>4318</v>
      </c>
      <c r="Q635" s="3">
        <v>44986</v>
      </c>
      <c r="R635" s="3">
        <v>44986</v>
      </c>
      <c r="S635" s="3">
        <v>45138</v>
      </c>
      <c r="T635" s="35"/>
      <c r="U635" s="3"/>
      <c r="V635" s="3"/>
      <c r="W635" s="50"/>
      <c r="X635" s="9">
        <v>0</v>
      </c>
      <c r="Y635" s="9">
        <v>9906000</v>
      </c>
      <c r="Z635" s="34">
        <v>0</v>
      </c>
      <c r="AA635" s="1">
        <v>91156594</v>
      </c>
      <c r="AB635" s="1" t="s">
        <v>4290</v>
      </c>
      <c r="AC635" s="1"/>
      <c r="AD635" s="1"/>
      <c r="AE635" s="3"/>
      <c r="AF635" s="194" t="s">
        <v>4319</v>
      </c>
      <c r="AG635" s="15" t="s">
        <v>192</v>
      </c>
      <c r="AH635" s="15" t="s">
        <v>192</v>
      </c>
    </row>
    <row r="636" spans="1:34" s="4" customFormat="1" x14ac:dyDescent="0.25">
      <c r="A636" s="16">
        <v>891780296</v>
      </c>
      <c r="B636" s="16" t="s">
        <v>54</v>
      </c>
      <c r="C636" s="14" t="s">
        <v>57</v>
      </c>
      <c r="D636" s="16" t="s">
        <v>60</v>
      </c>
      <c r="E636" s="1" t="s">
        <v>4320</v>
      </c>
      <c r="F636" s="16" t="s">
        <v>61</v>
      </c>
      <c r="G636" s="1" t="s">
        <v>69</v>
      </c>
      <c r="H636" s="1" t="s">
        <v>73</v>
      </c>
      <c r="I636" s="9">
        <v>19812000</v>
      </c>
      <c r="J636" s="94"/>
      <c r="K636" s="2"/>
      <c r="L636" s="2"/>
      <c r="M636" s="40">
        <f t="shared" si="26"/>
        <v>19812000</v>
      </c>
      <c r="N636" s="1">
        <v>1083015435</v>
      </c>
      <c r="O636" s="1" t="s">
        <v>4321</v>
      </c>
      <c r="P636" s="1" t="s">
        <v>4322</v>
      </c>
      <c r="Q636" s="3">
        <v>44986</v>
      </c>
      <c r="R636" s="3">
        <v>44986</v>
      </c>
      <c r="S636" s="3">
        <v>45138</v>
      </c>
      <c r="T636" s="35"/>
      <c r="U636" s="3"/>
      <c r="V636" s="3"/>
      <c r="W636" s="50"/>
      <c r="X636" s="9">
        <v>13208000</v>
      </c>
      <c r="Y636" s="9">
        <v>6604000</v>
      </c>
      <c r="Z636" s="34">
        <v>0.66666666666666663</v>
      </c>
      <c r="AA636" s="1">
        <v>91156594</v>
      </c>
      <c r="AB636" s="1" t="s">
        <v>4290</v>
      </c>
      <c r="AC636" s="1"/>
      <c r="AD636" s="1"/>
      <c r="AE636" s="3"/>
      <c r="AF636" s="194" t="s">
        <v>4323</v>
      </c>
      <c r="AG636" s="15" t="s">
        <v>192</v>
      </c>
      <c r="AH636" s="15" t="s">
        <v>192</v>
      </c>
    </row>
    <row r="637" spans="1:34" s="4" customFormat="1" x14ac:dyDescent="0.25">
      <c r="A637" s="16">
        <v>891780297</v>
      </c>
      <c r="B637" s="16" t="s">
        <v>54</v>
      </c>
      <c r="C637" s="14" t="s">
        <v>57</v>
      </c>
      <c r="D637" s="16" t="s">
        <v>60</v>
      </c>
      <c r="E637" s="1" t="s">
        <v>4324</v>
      </c>
      <c r="F637" s="16" t="s">
        <v>61</v>
      </c>
      <c r="G637" s="1" t="s">
        <v>69</v>
      </c>
      <c r="H637" s="1" t="s">
        <v>73</v>
      </c>
      <c r="I637" s="9">
        <v>19532322</v>
      </c>
      <c r="J637" s="94"/>
      <c r="K637" s="2"/>
      <c r="L637" s="2"/>
      <c r="M637" s="40">
        <f t="shared" si="26"/>
        <v>19532322</v>
      </c>
      <c r="N637" s="1">
        <v>1082995339</v>
      </c>
      <c r="O637" s="1" t="s">
        <v>4325</v>
      </c>
      <c r="P637" s="1" t="s">
        <v>4326</v>
      </c>
      <c r="Q637" s="3">
        <v>44988</v>
      </c>
      <c r="R637" s="3">
        <v>44988</v>
      </c>
      <c r="S637" s="3">
        <v>45091</v>
      </c>
      <c r="T637" s="35"/>
      <c r="U637" s="3"/>
      <c r="V637" s="3"/>
      <c r="W637" s="50"/>
      <c r="X637" s="9">
        <v>14306161</v>
      </c>
      <c r="Y637" s="9">
        <v>5226161</v>
      </c>
      <c r="Z637" s="34">
        <v>0.73243524246630787</v>
      </c>
      <c r="AA637" s="1">
        <v>8746547</v>
      </c>
      <c r="AB637" s="1" t="s">
        <v>4327</v>
      </c>
      <c r="AC637" s="1"/>
      <c r="AD637" s="1"/>
      <c r="AE637" s="3"/>
      <c r="AF637" s="194" t="s">
        <v>4328</v>
      </c>
      <c r="AG637" s="15" t="s">
        <v>192</v>
      </c>
      <c r="AH637" s="15" t="s">
        <v>192</v>
      </c>
    </row>
    <row r="638" spans="1:34" s="4" customFormat="1" x14ac:dyDescent="0.25">
      <c r="A638" s="16">
        <v>891780298</v>
      </c>
      <c r="B638" s="16" t="s">
        <v>54</v>
      </c>
      <c r="C638" s="14" t="s">
        <v>57</v>
      </c>
      <c r="D638" s="16" t="s">
        <v>60</v>
      </c>
      <c r="E638" s="1" t="s">
        <v>4329</v>
      </c>
      <c r="F638" s="16" t="s">
        <v>61</v>
      </c>
      <c r="G638" s="1" t="s">
        <v>69</v>
      </c>
      <c r="H638" s="1" t="s">
        <v>73</v>
      </c>
      <c r="I638" s="9">
        <v>19532322</v>
      </c>
      <c r="J638" s="94"/>
      <c r="K638" s="2"/>
      <c r="L638" s="2"/>
      <c r="M638" s="40">
        <f t="shared" si="26"/>
        <v>19532322</v>
      </c>
      <c r="N638" s="1">
        <v>1005677981</v>
      </c>
      <c r="O638" s="1" t="s">
        <v>4330</v>
      </c>
      <c r="P638" s="1" t="s">
        <v>4331</v>
      </c>
      <c r="Q638" s="3">
        <v>44988</v>
      </c>
      <c r="R638" s="3">
        <v>44988</v>
      </c>
      <c r="S638" s="3">
        <v>45091</v>
      </c>
      <c r="T638" s="35"/>
      <c r="U638" s="3"/>
      <c r="V638" s="3"/>
      <c r="W638" s="50"/>
      <c r="X638" s="9">
        <v>14306161</v>
      </c>
      <c r="Y638" s="9">
        <v>5226161</v>
      </c>
      <c r="Z638" s="34">
        <v>0.73243524246630787</v>
      </c>
      <c r="AA638" s="1">
        <v>8746547</v>
      </c>
      <c r="AB638" s="1" t="s">
        <v>4327</v>
      </c>
      <c r="AC638" s="1"/>
      <c r="AD638" s="1"/>
      <c r="AE638" s="3"/>
      <c r="AF638" s="194" t="s">
        <v>4332</v>
      </c>
      <c r="AG638" s="15" t="s">
        <v>192</v>
      </c>
      <c r="AH638" s="15" t="s">
        <v>192</v>
      </c>
    </row>
    <row r="639" spans="1:34" s="4" customFormat="1" x14ac:dyDescent="0.25">
      <c r="A639" s="16">
        <v>891780299</v>
      </c>
      <c r="B639" s="16" t="s">
        <v>54</v>
      </c>
      <c r="C639" s="14" t="s">
        <v>57</v>
      </c>
      <c r="D639" s="16" t="s">
        <v>60</v>
      </c>
      <c r="E639" s="1" t="s">
        <v>4333</v>
      </c>
      <c r="F639" s="16" t="s">
        <v>61</v>
      </c>
      <c r="G639" s="1" t="s">
        <v>69</v>
      </c>
      <c r="H639" s="1" t="s">
        <v>73</v>
      </c>
      <c r="I639" s="9">
        <v>15000000</v>
      </c>
      <c r="J639" s="94"/>
      <c r="K639" s="2"/>
      <c r="L639" s="2"/>
      <c r="M639" s="40">
        <f t="shared" si="26"/>
        <v>15000000</v>
      </c>
      <c r="N639" s="1">
        <v>1084731860</v>
      </c>
      <c r="O639" s="1" t="s">
        <v>4334</v>
      </c>
      <c r="P639" s="1" t="s">
        <v>4335</v>
      </c>
      <c r="Q639" s="3">
        <v>44991</v>
      </c>
      <c r="R639" s="3">
        <v>44991</v>
      </c>
      <c r="S639" s="3">
        <v>45091</v>
      </c>
      <c r="T639" s="35"/>
      <c r="U639" s="3"/>
      <c r="V639" s="3"/>
      <c r="W639" s="50"/>
      <c r="X639" s="9">
        <v>12000000</v>
      </c>
      <c r="Y639" s="9">
        <v>3000000</v>
      </c>
      <c r="Z639" s="34">
        <v>0.8</v>
      </c>
      <c r="AA639" s="1">
        <v>8746547</v>
      </c>
      <c r="AB639" s="1" t="s">
        <v>4327</v>
      </c>
      <c r="AC639" s="1"/>
      <c r="AD639" s="1"/>
      <c r="AE639" s="3"/>
      <c r="AF639" s="194" t="s">
        <v>4336</v>
      </c>
      <c r="AG639" s="15" t="s">
        <v>192</v>
      </c>
      <c r="AH639" s="15" t="s">
        <v>192</v>
      </c>
    </row>
    <row r="640" spans="1:34" s="4" customFormat="1" x14ac:dyDescent="0.25">
      <c r="A640" s="16">
        <v>891780300</v>
      </c>
      <c r="B640" s="16" t="s">
        <v>54</v>
      </c>
      <c r="C640" s="14" t="s">
        <v>57</v>
      </c>
      <c r="D640" s="16" t="s">
        <v>60</v>
      </c>
      <c r="E640" s="1" t="s">
        <v>4337</v>
      </c>
      <c r="F640" s="16" t="s">
        <v>61</v>
      </c>
      <c r="G640" s="1" t="s">
        <v>69</v>
      </c>
      <c r="H640" s="1" t="s">
        <v>73</v>
      </c>
      <c r="I640" s="9">
        <v>1200000</v>
      </c>
      <c r="J640" s="94"/>
      <c r="K640" s="2"/>
      <c r="L640" s="2"/>
      <c r="M640" s="40">
        <f t="shared" si="26"/>
        <v>1200000</v>
      </c>
      <c r="N640" s="1">
        <v>1082990855</v>
      </c>
      <c r="O640" s="1" t="s">
        <v>4338</v>
      </c>
      <c r="P640" s="1" t="s">
        <v>4339</v>
      </c>
      <c r="Q640" s="3">
        <v>44991</v>
      </c>
      <c r="R640" s="3">
        <v>44991</v>
      </c>
      <c r="S640" s="3">
        <v>45019</v>
      </c>
      <c r="T640" s="35"/>
      <c r="U640" s="3"/>
      <c r="V640" s="3"/>
      <c r="W640" s="50"/>
      <c r="X640" s="9">
        <v>1200000</v>
      </c>
      <c r="Y640" s="9">
        <f>M640-X640</f>
        <v>0</v>
      </c>
      <c r="Z640" s="34">
        <v>1</v>
      </c>
      <c r="AA640" s="1">
        <v>8746547</v>
      </c>
      <c r="AB640" s="1" t="s">
        <v>4327</v>
      </c>
      <c r="AC640" s="1"/>
      <c r="AD640" s="1"/>
      <c r="AE640" s="3"/>
      <c r="AF640" s="194" t="s">
        <v>4340</v>
      </c>
      <c r="AG640" s="15" t="s">
        <v>192</v>
      </c>
      <c r="AH640" s="15" t="s">
        <v>192</v>
      </c>
    </row>
    <row r="641" spans="1:34" s="4" customFormat="1" x14ac:dyDescent="0.25">
      <c r="A641" s="16">
        <v>891780301</v>
      </c>
      <c r="B641" s="16" t="s">
        <v>54</v>
      </c>
      <c r="C641" s="14" t="s">
        <v>57</v>
      </c>
      <c r="D641" s="16" t="s">
        <v>60</v>
      </c>
      <c r="E641" s="1" t="s">
        <v>4341</v>
      </c>
      <c r="F641" s="16" t="s">
        <v>61</v>
      </c>
      <c r="G641" s="1" t="s">
        <v>69</v>
      </c>
      <c r="H641" s="1" t="s">
        <v>73</v>
      </c>
      <c r="I641" s="9">
        <v>17600000</v>
      </c>
      <c r="J641" s="94"/>
      <c r="K641" s="2"/>
      <c r="L641" s="2"/>
      <c r="M641" s="40">
        <f t="shared" si="26"/>
        <v>17600000</v>
      </c>
      <c r="N641" s="1">
        <v>84452427</v>
      </c>
      <c r="O641" s="1" t="s">
        <v>4342</v>
      </c>
      <c r="P641" s="1" t="s">
        <v>4343</v>
      </c>
      <c r="Q641" s="3">
        <v>44994</v>
      </c>
      <c r="R641" s="3">
        <v>44994</v>
      </c>
      <c r="S641" s="3">
        <v>45114</v>
      </c>
      <c r="T641" s="35"/>
      <c r="U641" s="3"/>
      <c r="V641" s="3"/>
      <c r="W641" s="50"/>
      <c r="X641" s="9">
        <v>0</v>
      </c>
      <c r="Y641" s="9">
        <v>17600000</v>
      </c>
      <c r="Z641" s="34">
        <v>0</v>
      </c>
      <c r="AA641" s="1">
        <v>57297302</v>
      </c>
      <c r="AB641" s="1" t="s">
        <v>4273</v>
      </c>
      <c r="AC641" s="1"/>
      <c r="AD641" s="1"/>
      <c r="AE641" s="3"/>
      <c r="AF641" s="194" t="s">
        <v>4344</v>
      </c>
      <c r="AG641" s="15" t="s">
        <v>192</v>
      </c>
      <c r="AH641" s="15" t="s">
        <v>192</v>
      </c>
    </row>
    <row r="642" spans="1:34" s="4" customFormat="1" x14ac:dyDescent="0.25">
      <c r="A642" s="16">
        <v>891780302</v>
      </c>
      <c r="B642" s="16" t="s">
        <v>54</v>
      </c>
      <c r="C642" s="14" t="s">
        <v>57</v>
      </c>
      <c r="D642" s="16" t="s">
        <v>60</v>
      </c>
      <c r="E642" s="1" t="s">
        <v>4345</v>
      </c>
      <c r="F642" s="16" t="s">
        <v>61</v>
      </c>
      <c r="G642" s="1" t="s">
        <v>69</v>
      </c>
      <c r="H642" s="1" t="s">
        <v>73</v>
      </c>
      <c r="I642" s="9">
        <v>1200000</v>
      </c>
      <c r="J642" s="94"/>
      <c r="K642" s="2"/>
      <c r="L642" s="2"/>
      <c r="M642" s="40">
        <f t="shared" si="26"/>
        <v>1200000</v>
      </c>
      <c r="N642" s="1">
        <v>1045729776</v>
      </c>
      <c r="O642" s="1" t="s">
        <v>4346</v>
      </c>
      <c r="P642" s="1" t="s">
        <v>4347</v>
      </c>
      <c r="Q642" s="3">
        <v>44995</v>
      </c>
      <c r="R642" s="3">
        <v>44995</v>
      </c>
      <c r="S642" s="3">
        <v>45026</v>
      </c>
      <c r="T642" s="35"/>
      <c r="U642" s="3"/>
      <c r="V642" s="3"/>
      <c r="W642" s="50"/>
      <c r="X642" s="9">
        <v>1200000</v>
      </c>
      <c r="Y642" s="9">
        <f t="shared" ref="Y642:Y643" si="28">M642-X642</f>
        <v>0</v>
      </c>
      <c r="Z642" s="34">
        <v>1</v>
      </c>
      <c r="AA642" s="1">
        <v>8746547</v>
      </c>
      <c r="AB642" s="1" t="s">
        <v>4327</v>
      </c>
      <c r="AC642" s="1"/>
      <c r="AD642" s="1"/>
      <c r="AE642" s="3"/>
      <c r="AF642" s="194" t="s">
        <v>4348</v>
      </c>
      <c r="AG642" s="15" t="s">
        <v>192</v>
      </c>
      <c r="AH642" s="15" t="s">
        <v>192</v>
      </c>
    </row>
    <row r="643" spans="1:34" s="4" customFormat="1" x14ac:dyDescent="0.25">
      <c r="A643" s="16">
        <v>891780303</v>
      </c>
      <c r="B643" s="16" t="s">
        <v>54</v>
      </c>
      <c r="C643" s="14" t="s">
        <v>57</v>
      </c>
      <c r="D643" s="16" t="s">
        <v>60</v>
      </c>
      <c r="E643" s="1" t="s">
        <v>4349</v>
      </c>
      <c r="F643" s="16" t="s">
        <v>61</v>
      </c>
      <c r="G643" s="1" t="s">
        <v>69</v>
      </c>
      <c r="H643" s="1" t="s">
        <v>73</v>
      </c>
      <c r="I643" s="9">
        <v>1200000</v>
      </c>
      <c r="J643" s="94"/>
      <c r="K643" s="2"/>
      <c r="L643" s="2"/>
      <c r="M643" s="40">
        <f t="shared" si="26"/>
        <v>1200000</v>
      </c>
      <c r="N643" s="1">
        <v>85468411</v>
      </c>
      <c r="O643" s="1" t="s">
        <v>4350</v>
      </c>
      <c r="P643" s="1" t="s">
        <v>4351</v>
      </c>
      <c r="Q643" s="3">
        <v>44995</v>
      </c>
      <c r="R643" s="3">
        <v>44995</v>
      </c>
      <c r="S643" s="3">
        <v>45026</v>
      </c>
      <c r="T643" s="35"/>
      <c r="U643" s="3"/>
      <c r="V643" s="3"/>
      <c r="W643" s="50"/>
      <c r="X643" s="9">
        <v>1200000</v>
      </c>
      <c r="Y643" s="9">
        <f t="shared" si="28"/>
        <v>0</v>
      </c>
      <c r="Z643" s="34">
        <v>1</v>
      </c>
      <c r="AA643" s="1">
        <v>8746547</v>
      </c>
      <c r="AB643" s="1" t="s">
        <v>4327</v>
      </c>
      <c r="AC643" s="1"/>
      <c r="AD643" s="1"/>
      <c r="AE643" s="3"/>
      <c r="AF643" s="194" t="s">
        <v>4352</v>
      </c>
      <c r="AG643" s="15" t="s">
        <v>192</v>
      </c>
      <c r="AH643" s="15" t="s">
        <v>192</v>
      </c>
    </row>
    <row r="644" spans="1:34" s="4" customFormat="1" x14ac:dyDescent="0.25">
      <c r="A644" s="16">
        <v>891780304</v>
      </c>
      <c r="B644" s="16" t="s">
        <v>54</v>
      </c>
      <c r="C644" s="14" t="s">
        <v>57</v>
      </c>
      <c r="D644" s="16" t="s">
        <v>60</v>
      </c>
      <c r="E644" s="1" t="s">
        <v>4353</v>
      </c>
      <c r="F644" s="16" t="s">
        <v>61</v>
      </c>
      <c r="G644" s="1" t="s">
        <v>69</v>
      </c>
      <c r="H644" s="1" t="s">
        <v>73</v>
      </c>
      <c r="I644" s="9">
        <v>12000000</v>
      </c>
      <c r="J644" s="94"/>
      <c r="K644" s="2"/>
      <c r="L644" s="2"/>
      <c r="M644" s="40">
        <f t="shared" si="26"/>
        <v>12000000</v>
      </c>
      <c r="N644" s="1">
        <v>1140852444</v>
      </c>
      <c r="O644" s="1" t="s">
        <v>4354</v>
      </c>
      <c r="P644" s="1" t="s">
        <v>4355</v>
      </c>
      <c r="Q644" s="3">
        <v>44995</v>
      </c>
      <c r="R644" s="3">
        <v>44995</v>
      </c>
      <c r="S644" s="3">
        <v>45016</v>
      </c>
      <c r="T644" s="35"/>
      <c r="U644" s="3"/>
      <c r="V644" s="3"/>
      <c r="W644" s="50"/>
      <c r="X644" s="9">
        <v>0</v>
      </c>
      <c r="Y644" s="9">
        <v>12000000</v>
      </c>
      <c r="Z644" s="34">
        <v>0</v>
      </c>
      <c r="AA644" s="1">
        <v>85471791</v>
      </c>
      <c r="AB644" s="1" t="s">
        <v>4356</v>
      </c>
      <c r="AC644" s="1"/>
      <c r="AD644" s="1"/>
      <c r="AE644" s="3"/>
      <c r="AF644" s="194" t="s">
        <v>4357</v>
      </c>
      <c r="AG644" s="15" t="s">
        <v>192</v>
      </c>
      <c r="AH644" s="15" t="s">
        <v>192</v>
      </c>
    </row>
    <row r="645" spans="1:34" s="4" customFormat="1" x14ac:dyDescent="0.25">
      <c r="A645" s="16">
        <v>891780305</v>
      </c>
      <c r="B645" s="16" t="s">
        <v>54</v>
      </c>
      <c r="C645" s="14" t="s">
        <v>57</v>
      </c>
      <c r="D645" s="16" t="s">
        <v>60</v>
      </c>
      <c r="E645" s="1" t="s">
        <v>4358</v>
      </c>
      <c r="F645" s="16" t="s">
        <v>61</v>
      </c>
      <c r="G645" s="1" t="s">
        <v>69</v>
      </c>
      <c r="H645" s="1" t="s">
        <v>73</v>
      </c>
      <c r="I645" s="9">
        <v>12000000</v>
      </c>
      <c r="J645" s="94"/>
      <c r="K645" s="2"/>
      <c r="L645" s="2"/>
      <c r="M645" s="40">
        <f t="shared" si="26"/>
        <v>12000000</v>
      </c>
      <c r="N645" s="1">
        <v>1082948831</v>
      </c>
      <c r="O645" s="1" t="s">
        <v>4359</v>
      </c>
      <c r="P645" s="1" t="s">
        <v>4360</v>
      </c>
      <c r="Q645" s="3">
        <v>44995</v>
      </c>
      <c r="R645" s="3">
        <v>44995</v>
      </c>
      <c r="S645" s="3">
        <v>45016</v>
      </c>
      <c r="T645" s="35"/>
      <c r="U645" s="3"/>
      <c r="V645" s="3"/>
      <c r="W645" s="50"/>
      <c r="X645" s="9">
        <v>0</v>
      </c>
      <c r="Y645" s="9">
        <v>12000000</v>
      </c>
      <c r="Z645" s="34">
        <v>0</v>
      </c>
      <c r="AA645" s="1">
        <v>85471791</v>
      </c>
      <c r="AB645" s="1" t="s">
        <v>4356</v>
      </c>
      <c r="AC645" s="1"/>
      <c r="AD645" s="1"/>
      <c r="AE645" s="3"/>
      <c r="AF645" s="194" t="s">
        <v>4361</v>
      </c>
      <c r="AG645" s="15" t="s">
        <v>192</v>
      </c>
      <c r="AH645" s="15" t="s">
        <v>192</v>
      </c>
    </row>
    <row r="646" spans="1:34" s="4" customFormat="1" x14ac:dyDescent="0.25">
      <c r="A646" s="16">
        <v>891780306</v>
      </c>
      <c r="B646" s="16" t="s">
        <v>54</v>
      </c>
      <c r="C646" s="14" t="s">
        <v>57</v>
      </c>
      <c r="D646" s="16" t="s">
        <v>60</v>
      </c>
      <c r="E646" s="1" t="s">
        <v>4362</v>
      </c>
      <c r="F646" s="16" t="s">
        <v>61</v>
      </c>
      <c r="G646" s="1" t="s">
        <v>69</v>
      </c>
      <c r="H646" s="1" t="s">
        <v>73</v>
      </c>
      <c r="I646" s="9">
        <v>10000000</v>
      </c>
      <c r="J646" s="94"/>
      <c r="K646" s="2"/>
      <c r="L646" s="2"/>
      <c r="M646" s="40">
        <f t="shared" ref="M646:M709" si="29">I646+K646-L646</f>
        <v>10000000</v>
      </c>
      <c r="N646" s="1">
        <v>1082989256</v>
      </c>
      <c r="O646" s="1" t="s">
        <v>4363</v>
      </c>
      <c r="P646" s="1" t="s">
        <v>4364</v>
      </c>
      <c r="Q646" s="3">
        <v>44995</v>
      </c>
      <c r="R646" s="3">
        <v>44995</v>
      </c>
      <c r="S646" s="3">
        <v>45016</v>
      </c>
      <c r="T646" s="35"/>
      <c r="U646" s="3"/>
      <c r="V646" s="3"/>
      <c r="W646" s="50"/>
      <c r="X646" s="9">
        <v>0</v>
      </c>
      <c r="Y646" s="9">
        <v>10000000</v>
      </c>
      <c r="Z646" s="34">
        <v>0</v>
      </c>
      <c r="AA646" s="1">
        <v>85471791</v>
      </c>
      <c r="AB646" s="1" t="s">
        <v>4356</v>
      </c>
      <c r="AC646" s="1"/>
      <c r="AD646" s="1"/>
      <c r="AE646" s="3"/>
      <c r="AF646" s="194" t="s">
        <v>4365</v>
      </c>
      <c r="AG646" s="15" t="s">
        <v>192</v>
      </c>
      <c r="AH646" s="15" t="s">
        <v>192</v>
      </c>
    </row>
    <row r="647" spans="1:34" s="4" customFormat="1" x14ac:dyDescent="0.25">
      <c r="A647" s="16">
        <v>891780307</v>
      </c>
      <c r="B647" s="16" t="s">
        <v>54</v>
      </c>
      <c r="C647" s="14" t="s">
        <v>57</v>
      </c>
      <c r="D647" s="16" t="s">
        <v>60</v>
      </c>
      <c r="E647" s="1" t="s">
        <v>4366</v>
      </c>
      <c r="F647" s="16" t="s">
        <v>61</v>
      </c>
      <c r="G647" s="1" t="s">
        <v>69</v>
      </c>
      <c r="H647" s="1" t="s">
        <v>73</v>
      </c>
      <c r="I647" s="9">
        <v>7200000</v>
      </c>
      <c r="J647" s="94"/>
      <c r="K647" s="2"/>
      <c r="L647" s="2"/>
      <c r="M647" s="40">
        <f t="shared" si="29"/>
        <v>7200000</v>
      </c>
      <c r="N647" s="1">
        <v>1103110834</v>
      </c>
      <c r="O647" s="1" t="s">
        <v>4367</v>
      </c>
      <c r="P647" s="1" t="s">
        <v>4368</v>
      </c>
      <c r="Q647" s="3">
        <v>44995</v>
      </c>
      <c r="R647" s="3">
        <v>44995</v>
      </c>
      <c r="S647" s="3">
        <v>45016</v>
      </c>
      <c r="T647" s="35"/>
      <c r="U647" s="3"/>
      <c r="V647" s="3"/>
      <c r="W647" s="50"/>
      <c r="X647" s="9">
        <v>0</v>
      </c>
      <c r="Y647" s="9">
        <v>7200000</v>
      </c>
      <c r="Z647" s="34">
        <v>0</v>
      </c>
      <c r="AA647" s="1">
        <v>85471791</v>
      </c>
      <c r="AB647" s="1" t="s">
        <v>4356</v>
      </c>
      <c r="AC647" s="1"/>
      <c r="AD647" s="1"/>
      <c r="AE647" s="3"/>
      <c r="AF647" s="194" t="s">
        <v>4369</v>
      </c>
      <c r="AG647" s="15" t="s">
        <v>192</v>
      </c>
      <c r="AH647" s="15" t="s">
        <v>192</v>
      </c>
    </row>
    <row r="648" spans="1:34" s="4" customFormat="1" x14ac:dyDescent="0.25">
      <c r="A648" s="16">
        <v>891780308</v>
      </c>
      <c r="B648" s="16" t="s">
        <v>54</v>
      </c>
      <c r="C648" s="14" t="s">
        <v>57</v>
      </c>
      <c r="D648" s="16" t="s">
        <v>60</v>
      </c>
      <c r="E648" s="1" t="s">
        <v>4370</v>
      </c>
      <c r="F648" s="16" t="s">
        <v>61</v>
      </c>
      <c r="G648" s="1" t="s">
        <v>69</v>
      </c>
      <c r="H648" s="1" t="s">
        <v>73</v>
      </c>
      <c r="I648" s="9">
        <v>7200000</v>
      </c>
      <c r="J648" s="94"/>
      <c r="K648" s="2"/>
      <c r="L648" s="2"/>
      <c r="M648" s="40">
        <f t="shared" si="29"/>
        <v>7200000</v>
      </c>
      <c r="N648" s="1">
        <v>1083024514</v>
      </c>
      <c r="O648" s="1" t="s">
        <v>4371</v>
      </c>
      <c r="P648" s="1" t="s">
        <v>4372</v>
      </c>
      <c r="Q648" s="3">
        <v>44995</v>
      </c>
      <c r="R648" s="3">
        <v>44995</v>
      </c>
      <c r="S648" s="3">
        <v>45016</v>
      </c>
      <c r="T648" s="35"/>
      <c r="U648" s="3"/>
      <c r="V648" s="3"/>
      <c r="W648" s="50">
        <v>45031</v>
      </c>
      <c r="X648" s="9">
        <v>0</v>
      </c>
      <c r="Y648" s="9">
        <v>7200000</v>
      </c>
      <c r="Z648" s="34">
        <v>0</v>
      </c>
      <c r="AA648" s="1">
        <v>85471791</v>
      </c>
      <c r="AB648" s="1" t="s">
        <v>4356</v>
      </c>
      <c r="AC648" s="1"/>
      <c r="AD648" s="1"/>
      <c r="AE648" s="3"/>
      <c r="AF648" s="194" t="s">
        <v>4373</v>
      </c>
      <c r="AG648" s="15" t="s">
        <v>192</v>
      </c>
      <c r="AH648" s="15" t="s">
        <v>192</v>
      </c>
    </row>
    <row r="649" spans="1:34" s="4" customFormat="1" x14ac:dyDescent="0.25">
      <c r="A649" s="16">
        <v>891780309</v>
      </c>
      <c r="B649" s="16" t="s">
        <v>54</v>
      </c>
      <c r="C649" s="14" t="s">
        <v>57</v>
      </c>
      <c r="D649" s="16" t="s">
        <v>60</v>
      </c>
      <c r="E649" s="1" t="s">
        <v>4374</v>
      </c>
      <c r="F649" s="16" t="s">
        <v>61</v>
      </c>
      <c r="G649" s="1" t="s">
        <v>69</v>
      </c>
      <c r="H649" s="1" t="s">
        <v>73</v>
      </c>
      <c r="I649" s="9">
        <v>5600000</v>
      </c>
      <c r="J649" s="94"/>
      <c r="K649" s="2"/>
      <c r="L649" s="2"/>
      <c r="M649" s="40">
        <f t="shared" si="29"/>
        <v>5600000</v>
      </c>
      <c r="N649" s="1">
        <v>1140826238</v>
      </c>
      <c r="O649" s="1" t="s">
        <v>4375</v>
      </c>
      <c r="P649" s="1" t="s">
        <v>4376</v>
      </c>
      <c r="Q649" s="3">
        <v>44995</v>
      </c>
      <c r="R649" s="3">
        <v>44995</v>
      </c>
      <c r="S649" s="3">
        <v>45016</v>
      </c>
      <c r="T649" s="35"/>
      <c r="U649" s="3"/>
      <c r="V649" s="3"/>
      <c r="W649" s="50">
        <v>45055</v>
      </c>
      <c r="X649" s="9">
        <v>0</v>
      </c>
      <c r="Y649" s="9">
        <v>5600000</v>
      </c>
      <c r="Z649" s="34">
        <v>0</v>
      </c>
      <c r="AA649" s="1">
        <v>85471791</v>
      </c>
      <c r="AB649" s="1" t="s">
        <v>4356</v>
      </c>
      <c r="AC649" s="1"/>
      <c r="AD649" s="1"/>
      <c r="AE649" s="3"/>
      <c r="AF649" s="194" t="s">
        <v>4377</v>
      </c>
      <c r="AG649" s="15" t="s">
        <v>192</v>
      </c>
      <c r="AH649" s="15" t="s">
        <v>192</v>
      </c>
    </row>
    <row r="650" spans="1:34" s="4" customFormat="1" x14ac:dyDescent="0.25">
      <c r="A650" s="16">
        <v>891780310</v>
      </c>
      <c r="B650" s="16" t="s">
        <v>54</v>
      </c>
      <c r="C650" s="14" t="s">
        <v>57</v>
      </c>
      <c r="D650" s="16" t="s">
        <v>60</v>
      </c>
      <c r="E650" s="1" t="s">
        <v>4378</v>
      </c>
      <c r="F650" s="16" t="s">
        <v>61</v>
      </c>
      <c r="G650" s="1" t="s">
        <v>69</v>
      </c>
      <c r="H650" s="1" t="s">
        <v>73</v>
      </c>
      <c r="I650" s="9">
        <v>7200000</v>
      </c>
      <c r="J650" s="94"/>
      <c r="K650" s="2"/>
      <c r="L650" s="2"/>
      <c r="M650" s="40">
        <f t="shared" si="29"/>
        <v>7200000</v>
      </c>
      <c r="N650" s="1">
        <v>1065658992</v>
      </c>
      <c r="O650" s="1" t="s">
        <v>4379</v>
      </c>
      <c r="P650" s="1" t="s">
        <v>4380</v>
      </c>
      <c r="Q650" s="3">
        <v>44999</v>
      </c>
      <c r="R650" s="3">
        <v>44999</v>
      </c>
      <c r="S650" s="3">
        <v>45016</v>
      </c>
      <c r="T650" s="35"/>
      <c r="U650" s="3"/>
      <c r="V650" s="3"/>
      <c r="W650" s="50">
        <v>45046</v>
      </c>
      <c r="X650" s="9">
        <v>0</v>
      </c>
      <c r="Y650" s="9">
        <v>7200000</v>
      </c>
      <c r="Z650" s="34">
        <v>0</v>
      </c>
      <c r="AA650" s="1">
        <v>85471791</v>
      </c>
      <c r="AB650" s="1" t="s">
        <v>4356</v>
      </c>
      <c r="AC650" s="1"/>
      <c r="AD650" s="1"/>
      <c r="AE650" s="3"/>
      <c r="AF650" s="194" t="s">
        <v>4381</v>
      </c>
      <c r="AG650" s="15" t="s">
        <v>192</v>
      </c>
      <c r="AH650" s="15" t="s">
        <v>192</v>
      </c>
    </row>
    <row r="651" spans="1:34" s="4" customFormat="1" x14ac:dyDescent="0.25">
      <c r="A651" s="16">
        <v>891780311</v>
      </c>
      <c r="B651" s="16" t="s">
        <v>54</v>
      </c>
      <c r="C651" s="14" t="s">
        <v>57</v>
      </c>
      <c r="D651" s="16" t="s">
        <v>60</v>
      </c>
      <c r="E651" s="1" t="s">
        <v>4382</v>
      </c>
      <c r="F651" s="16" t="s">
        <v>61</v>
      </c>
      <c r="G651" s="1" t="s">
        <v>69</v>
      </c>
      <c r="H651" s="1" t="s">
        <v>73</v>
      </c>
      <c r="I651" s="9">
        <v>2861553.04</v>
      </c>
      <c r="J651" s="94"/>
      <c r="K651" s="2"/>
      <c r="L651" s="2"/>
      <c r="M651" s="40">
        <f t="shared" si="29"/>
        <v>2861553.04</v>
      </c>
      <c r="N651" s="1">
        <v>1045699393</v>
      </c>
      <c r="O651" s="1" t="s">
        <v>4383</v>
      </c>
      <c r="P651" s="1" t="s">
        <v>4384</v>
      </c>
      <c r="Q651" s="3">
        <v>44999</v>
      </c>
      <c r="R651" s="3">
        <v>44999</v>
      </c>
      <c r="S651" s="3">
        <v>45025</v>
      </c>
      <c r="T651" s="35"/>
      <c r="U651" s="3"/>
      <c r="V651" s="3"/>
      <c r="W651" s="50"/>
      <c r="X651" s="9">
        <v>2861553.04</v>
      </c>
      <c r="Y651" s="9">
        <f>M651-X651</f>
        <v>0</v>
      </c>
      <c r="Z651" s="34">
        <v>1</v>
      </c>
      <c r="AA651" s="1">
        <v>57297302</v>
      </c>
      <c r="AB651" s="1" t="s">
        <v>4273</v>
      </c>
      <c r="AC651" s="1"/>
      <c r="AD651" s="1"/>
      <c r="AE651" s="3"/>
      <c r="AF651" s="194" t="s">
        <v>4385</v>
      </c>
      <c r="AG651" s="15" t="s">
        <v>192</v>
      </c>
      <c r="AH651" s="15" t="s">
        <v>192</v>
      </c>
    </row>
    <row r="652" spans="1:34" s="4" customFormat="1" x14ac:dyDescent="0.25">
      <c r="A652" s="16">
        <v>891780312</v>
      </c>
      <c r="B652" s="16" t="s">
        <v>54</v>
      </c>
      <c r="C652" s="14" t="s">
        <v>57</v>
      </c>
      <c r="D652" s="16" t="s">
        <v>60</v>
      </c>
      <c r="E652" s="1" t="s">
        <v>4386</v>
      </c>
      <c r="F652" s="16" t="s">
        <v>61</v>
      </c>
      <c r="G652" s="1" t="s">
        <v>69</v>
      </c>
      <c r="H652" s="1" t="s">
        <v>73</v>
      </c>
      <c r="I652" s="9">
        <v>6600000</v>
      </c>
      <c r="J652" s="94"/>
      <c r="K652" s="2"/>
      <c r="L652" s="2"/>
      <c r="M652" s="40">
        <f t="shared" si="29"/>
        <v>6600000</v>
      </c>
      <c r="N652" s="1">
        <v>1065663862</v>
      </c>
      <c r="O652" s="1" t="s">
        <v>4387</v>
      </c>
      <c r="P652" s="1" t="s">
        <v>4388</v>
      </c>
      <c r="Q652" s="3">
        <v>45002</v>
      </c>
      <c r="R652" s="3">
        <v>45002</v>
      </c>
      <c r="S652" s="3">
        <v>45016</v>
      </c>
      <c r="T652" s="35"/>
      <c r="U652" s="3"/>
      <c r="V652" s="3"/>
      <c r="W652" s="50">
        <v>45031</v>
      </c>
      <c r="X652" s="9">
        <v>0</v>
      </c>
      <c r="Y652" s="9">
        <v>6600000</v>
      </c>
      <c r="Z652" s="34">
        <v>0</v>
      </c>
      <c r="AA652" s="1">
        <v>85471791</v>
      </c>
      <c r="AB652" s="1" t="s">
        <v>4356</v>
      </c>
      <c r="AC652" s="1"/>
      <c r="AD652" s="1"/>
      <c r="AE652" s="3"/>
      <c r="AF652" s="194" t="s">
        <v>4389</v>
      </c>
      <c r="AG652" s="15" t="s">
        <v>192</v>
      </c>
      <c r="AH652" s="15" t="s">
        <v>192</v>
      </c>
    </row>
    <row r="653" spans="1:34" s="4" customFormat="1" x14ac:dyDescent="0.25">
      <c r="A653" s="16">
        <v>891780313</v>
      </c>
      <c r="B653" s="16" t="s">
        <v>54</v>
      </c>
      <c r="C653" s="14" t="s">
        <v>57</v>
      </c>
      <c r="D653" s="16" t="s">
        <v>60</v>
      </c>
      <c r="E653" s="1" t="s">
        <v>4390</v>
      </c>
      <c r="F653" s="16" t="s">
        <v>61</v>
      </c>
      <c r="G653" s="1" t="s">
        <v>69</v>
      </c>
      <c r="H653" s="1" t="s">
        <v>73</v>
      </c>
      <c r="I653" s="9">
        <v>10000000</v>
      </c>
      <c r="J653" s="94"/>
      <c r="K653" s="2"/>
      <c r="L653" s="2"/>
      <c r="M653" s="40">
        <f t="shared" si="29"/>
        <v>10000000</v>
      </c>
      <c r="N653" s="1">
        <v>1082933687</v>
      </c>
      <c r="O653" s="1" t="s">
        <v>4391</v>
      </c>
      <c r="P653" s="1" t="s">
        <v>4392</v>
      </c>
      <c r="Q653" s="3">
        <v>45003</v>
      </c>
      <c r="R653" s="3">
        <v>45003</v>
      </c>
      <c r="S653" s="3">
        <v>45016</v>
      </c>
      <c r="T653" s="35"/>
      <c r="U653" s="3"/>
      <c r="V653" s="3"/>
      <c r="W653" s="50">
        <v>45046</v>
      </c>
      <c r="X653" s="9">
        <v>0</v>
      </c>
      <c r="Y653" s="9">
        <v>10000000</v>
      </c>
      <c r="Z653" s="34">
        <v>0</v>
      </c>
      <c r="AA653" s="1">
        <v>85471791</v>
      </c>
      <c r="AB653" s="1" t="s">
        <v>4356</v>
      </c>
      <c r="AC653" s="1"/>
      <c r="AD653" s="1"/>
      <c r="AE653" s="3"/>
      <c r="AF653" s="194" t="s">
        <v>4393</v>
      </c>
      <c r="AG653" s="15" t="s">
        <v>192</v>
      </c>
      <c r="AH653" s="15" t="s">
        <v>192</v>
      </c>
    </row>
    <row r="654" spans="1:34" s="4" customFormat="1" x14ac:dyDescent="0.25">
      <c r="A654" s="16">
        <v>891780314</v>
      </c>
      <c r="B654" s="16" t="s">
        <v>54</v>
      </c>
      <c r="C654" s="14" t="s">
        <v>57</v>
      </c>
      <c r="D654" s="16" t="s">
        <v>60</v>
      </c>
      <c r="E654" s="1" t="s">
        <v>4394</v>
      </c>
      <c r="F654" s="16" t="s">
        <v>61</v>
      </c>
      <c r="G654" s="1" t="s">
        <v>69</v>
      </c>
      <c r="H654" s="1" t="s">
        <v>73</v>
      </c>
      <c r="I654" s="9">
        <v>10000000</v>
      </c>
      <c r="J654" s="94"/>
      <c r="K654" s="2"/>
      <c r="L654" s="2"/>
      <c r="M654" s="40">
        <f t="shared" si="29"/>
        <v>10000000</v>
      </c>
      <c r="N654" s="1">
        <v>1082410098</v>
      </c>
      <c r="O654" s="1" t="s">
        <v>4395</v>
      </c>
      <c r="P654" s="1" t="s">
        <v>4396</v>
      </c>
      <c r="Q654" s="3">
        <v>45003</v>
      </c>
      <c r="R654" s="3">
        <v>45003</v>
      </c>
      <c r="S654" s="3">
        <v>45016</v>
      </c>
      <c r="T654" s="35"/>
      <c r="U654" s="3"/>
      <c r="V654" s="3"/>
      <c r="W654" s="50">
        <v>45046</v>
      </c>
      <c r="X654" s="9">
        <v>0</v>
      </c>
      <c r="Y654" s="9">
        <v>10000000</v>
      </c>
      <c r="Z654" s="34">
        <v>0</v>
      </c>
      <c r="AA654" s="1">
        <v>85471791</v>
      </c>
      <c r="AB654" s="1" t="s">
        <v>4356</v>
      </c>
      <c r="AC654" s="1"/>
      <c r="AD654" s="1"/>
      <c r="AE654" s="3"/>
      <c r="AF654" s="194" t="s">
        <v>4397</v>
      </c>
      <c r="AG654" s="15" t="s">
        <v>192</v>
      </c>
      <c r="AH654" s="15" t="s">
        <v>192</v>
      </c>
    </row>
    <row r="655" spans="1:34" s="4" customFormat="1" x14ac:dyDescent="0.25">
      <c r="A655" s="16">
        <v>891780315</v>
      </c>
      <c r="B655" s="16" t="s">
        <v>54</v>
      </c>
      <c r="C655" s="14" t="s">
        <v>57</v>
      </c>
      <c r="D655" s="16" t="s">
        <v>60</v>
      </c>
      <c r="E655" s="1" t="s">
        <v>4398</v>
      </c>
      <c r="F655" s="16" t="s">
        <v>61</v>
      </c>
      <c r="G655" s="1" t="s">
        <v>69</v>
      </c>
      <c r="H655" s="1" t="s">
        <v>73</v>
      </c>
      <c r="I655" s="9">
        <v>7200000</v>
      </c>
      <c r="J655" s="94"/>
      <c r="K655" s="2"/>
      <c r="L655" s="2"/>
      <c r="M655" s="40">
        <f t="shared" si="29"/>
        <v>7200000</v>
      </c>
      <c r="N655" s="1">
        <v>1140869318</v>
      </c>
      <c r="O655" s="1" t="s">
        <v>4399</v>
      </c>
      <c r="P655" s="1" t="s">
        <v>4400</v>
      </c>
      <c r="Q655" s="3">
        <v>45003</v>
      </c>
      <c r="R655" s="3">
        <v>45003</v>
      </c>
      <c r="S655" s="3">
        <v>45016</v>
      </c>
      <c r="T655" s="35"/>
      <c r="U655" s="3"/>
      <c r="V655" s="3"/>
      <c r="W655" s="50">
        <v>45046</v>
      </c>
      <c r="X655" s="9">
        <v>0</v>
      </c>
      <c r="Y655" s="9">
        <v>7200000</v>
      </c>
      <c r="Z655" s="34">
        <v>0</v>
      </c>
      <c r="AA655" s="1">
        <v>85471791</v>
      </c>
      <c r="AB655" s="1" t="s">
        <v>4356</v>
      </c>
      <c r="AC655" s="1"/>
      <c r="AD655" s="1"/>
      <c r="AE655" s="3"/>
      <c r="AF655" s="194" t="s">
        <v>4401</v>
      </c>
      <c r="AG655" s="15" t="s">
        <v>192</v>
      </c>
      <c r="AH655" s="15" t="s">
        <v>192</v>
      </c>
    </row>
    <row r="656" spans="1:34" s="4" customFormat="1" x14ac:dyDescent="0.25">
      <c r="A656" s="16">
        <v>891780316</v>
      </c>
      <c r="B656" s="16" t="s">
        <v>54</v>
      </c>
      <c r="C656" s="14" t="s">
        <v>57</v>
      </c>
      <c r="D656" s="16" t="s">
        <v>60</v>
      </c>
      <c r="E656" s="1" t="s">
        <v>4402</v>
      </c>
      <c r="F656" s="16" t="s">
        <v>61</v>
      </c>
      <c r="G656" s="1" t="s">
        <v>69</v>
      </c>
      <c r="H656" s="1" t="s">
        <v>73</v>
      </c>
      <c r="I656" s="9">
        <v>6200000</v>
      </c>
      <c r="J656" s="94"/>
      <c r="K656" s="2"/>
      <c r="L656" s="2"/>
      <c r="M656" s="40">
        <f t="shared" si="29"/>
        <v>6200000</v>
      </c>
      <c r="N656" s="1">
        <v>1004462495</v>
      </c>
      <c r="O656" s="1" t="s">
        <v>4403</v>
      </c>
      <c r="P656" s="1" t="s">
        <v>4404</v>
      </c>
      <c r="Q656" s="3">
        <v>45006</v>
      </c>
      <c r="R656" s="3">
        <v>45007</v>
      </c>
      <c r="S656" s="3">
        <v>45016</v>
      </c>
      <c r="T656" s="35"/>
      <c r="U656" s="3"/>
      <c r="V656" s="3"/>
      <c r="W656" s="50">
        <v>45031</v>
      </c>
      <c r="X656" s="9">
        <v>0</v>
      </c>
      <c r="Y656" s="9">
        <v>6200000</v>
      </c>
      <c r="Z656" s="34">
        <v>0</v>
      </c>
      <c r="AA656" s="1">
        <v>85471191</v>
      </c>
      <c r="AB656" s="1" t="s">
        <v>4356</v>
      </c>
      <c r="AC656" s="1"/>
      <c r="AD656" s="1"/>
      <c r="AE656" s="3"/>
      <c r="AF656" s="194" t="s">
        <v>4405</v>
      </c>
      <c r="AG656" s="15" t="s">
        <v>192</v>
      </c>
      <c r="AH656" s="15" t="s">
        <v>192</v>
      </c>
    </row>
    <row r="657" spans="1:34" s="4" customFormat="1" x14ac:dyDescent="0.25">
      <c r="A657" s="16">
        <v>891780317</v>
      </c>
      <c r="B657" s="16" t="s">
        <v>54</v>
      </c>
      <c r="C657" s="14" t="s">
        <v>57</v>
      </c>
      <c r="D657" s="16" t="s">
        <v>60</v>
      </c>
      <c r="E657" s="1" t="s">
        <v>4406</v>
      </c>
      <c r="F657" s="16" t="s">
        <v>61</v>
      </c>
      <c r="G657" s="1" t="s">
        <v>69</v>
      </c>
      <c r="H657" s="1" t="s">
        <v>73</v>
      </c>
      <c r="I657" s="9">
        <v>6600000</v>
      </c>
      <c r="J657" s="94"/>
      <c r="K657" s="2"/>
      <c r="L657" s="2"/>
      <c r="M657" s="40">
        <f t="shared" si="29"/>
        <v>6600000</v>
      </c>
      <c r="N657" s="1">
        <v>1065819773</v>
      </c>
      <c r="O657" s="1" t="s">
        <v>4407</v>
      </c>
      <c r="P657" s="1" t="s">
        <v>4408</v>
      </c>
      <c r="Q657" s="3">
        <v>45006</v>
      </c>
      <c r="R657" s="3">
        <v>45007</v>
      </c>
      <c r="S657" s="3">
        <v>45016</v>
      </c>
      <c r="T657" s="35"/>
      <c r="U657" s="3"/>
      <c r="V657" s="3"/>
      <c r="W657" s="50">
        <v>45046</v>
      </c>
      <c r="X657" s="9">
        <v>0</v>
      </c>
      <c r="Y657" s="9">
        <v>6600000</v>
      </c>
      <c r="Z657" s="34">
        <v>0</v>
      </c>
      <c r="AA657" s="1">
        <v>85471191</v>
      </c>
      <c r="AB657" s="1" t="s">
        <v>4356</v>
      </c>
      <c r="AC657" s="1"/>
      <c r="AD657" s="1"/>
      <c r="AE657" s="3"/>
      <c r="AF657" s="194" t="s">
        <v>4409</v>
      </c>
      <c r="AG657" s="15" t="s">
        <v>192</v>
      </c>
      <c r="AH657" s="15" t="s">
        <v>192</v>
      </c>
    </row>
    <row r="658" spans="1:34" s="4" customFormat="1" x14ac:dyDescent="0.25">
      <c r="A658" s="16">
        <v>891780318</v>
      </c>
      <c r="B658" s="16" t="s">
        <v>54</v>
      </c>
      <c r="C658" s="14" t="s">
        <v>57</v>
      </c>
      <c r="D658" s="16" t="s">
        <v>60</v>
      </c>
      <c r="E658" s="1" t="s">
        <v>4410</v>
      </c>
      <c r="F658" s="16" t="s">
        <v>61</v>
      </c>
      <c r="G658" s="1" t="s">
        <v>69</v>
      </c>
      <c r="H658" s="1" t="s">
        <v>73</v>
      </c>
      <c r="I658" s="9">
        <v>10000000</v>
      </c>
      <c r="J658" s="94"/>
      <c r="K658" s="2"/>
      <c r="L658" s="2"/>
      <c r="M658" s="40">
        <f t="shared" si="29"/>
        <v>10000000</v>
      </c>
      <c r="N658" s="1">
        <v>1083031411</v>
      </c>
      <c r="O658" s="1" t="s">
        <v>4411</v>
      </c>
      <c r="P658" s="1" t="s">
        <v>4412</v>
      </c>
      <c r="Q658" s="3">
        <v>45006</v>
      </c>
      <c r="R658" s="3">
        <v>45007</v>
      </c>
      <c r="S658" s="3">
        <v>45016</v>
      </c>
      <c r="T658" s="35"/>
      <c r="U658" s="3"/>
      <c r="V658" s="3"/>
      <c r="W658" s="50">
        <v>45046</v>
      </c>
      <c r="X658" s="9">
        <v>0</v>
      </c>
      <c r="Y658" s="9">
        <v>10000000</v>
      </c>
      <c r="Z658" s="34">
        <v>0</v>
      </c>
      <c r="AA658" s="1">
        <v>85471191</v>
      </c>
      <c r="AB658" s="1" t="s">
        <v>4356</v>
      </c>
      <c r="AC658" s="1"/>
      <c r="AD658" s="1"/>
      <c r="AE658" s="3"/>
      <c r="AF658" s="194" t="s">
        <v>4413</v>
      </c>
      <c r="AG658" s="15" t="s">
        <v>192</v>
      </c>
      <c r="AH658" s="15" t="s">
        <v>192</v>
      </c>
    </row>
    <row r="659" spans="1:34" s="4" customFormat="1" x14ac:dyDescent="0.25">
      <c r="A659" s="16">
        <v>891780319</v>
      </c>
      <c r="B659" s="16" t="s">
        <v>54</v>
      </c>
      <c r="C659" s="14" t="s">
        <v>57</v>
      </c>
      <c r="D659" s="16" t="s">
        <v>60</v>
      </c>
      <c r="E659" s="1" t="s">
        <v>4414</v>
      </c>
      <c r="F659" s="16" t="s">
        <v>61</v>
      </c>
      <c r="G659" s="1" t="s">
        <v>69</v>
      </c>
      <c r="H659" s="1" t="s">
        <v>73</v>
      </c>
      <c r="I659" s="9">
        <v>7200000</v>
      </c>
      <c r="J659" s="94"/>
      <c r="K659" s="2"/>
      <c r="L659" s="2"/>
      <c r="M659" s="40">
        <f t="shared" si="29"/>
        <v>7200000</v>
      </c>
      <c r="N659" s="1">
        <v>77171129</v>
      </c>
      <c r="O659" s="1" t="s">
        <v>4415</v>
      </c>
      <c r="P659" s="1" t="s">
        <v>4416</v>
      </c>
      <c r="Q659" s="3">
        <v>45006</v>
      </c>
      <c r="R659" s="3">
        <v>45008</v>
      </c>
      <c r="S659" s="3">
        <v>45016</v>
      </c>
      <c r="T659" s="35"/>
      <c r="U659" s="3"/>
      <c r="V659" s="3"/>
      <c r="W659" s="50">
        <v>45046</v>
      </c>
      <c r="X659" s="9">
        <v>0</v>
      </c>
      <c r="Y659" s="9">
        <v>7200000</v>
      </c>
      <c r="Z659" s="34">
        <v>0</v>
      </c>
      <c r="AA659" s="1">
        <v>85471191</v>
      </c>
      <c r="AB659" s="1" t="s">
        <v>4356</v>
      </c>
      <c r="AC659" s="1"/>
      <c r="AD659" s="1"/>
      <c r="AE659" s="3"/>
      <c r="AF659" s="194" t="s">
        <v>4417</v>
      </c>
      <c r="AG659" s="15" t="s">
        <v>192</v>
      </c>
      <c r="AH659" s="15" t="s">
        <v>192</v>
      </c>
    </row>
    <row r="660" spans="1:34" s="4" customFormat="1" x14ac:dyDescent="0.25">
      <c r="A660" s="16">
        <v>891780248</v>
      </c>
      <c r="B660" s="16" t="s">
        <v>54</v>
      </c>
      <c r="C660" s="14" t="s">
        <v>57</v>
      </c>
      <c r="D660" s="16" t="s">
        <v>60</v>
      </c>
      <c r="E660" s="1" t="s">
        <v>4418</v>
      </c>
      <c r="F660" s="16" t="s">
        <v>61</v>
      </c>
      <c r="G660" s="1" t="s">
        <v>69</v>
      </c>
      <c r="H660" s="1" t="s">
        <v>73</v>
      </c>
      <c r="I660" s="9">
        <v>6000000</v>
      </c>
      <c r="J660" s="94"/>
      <c r="K660" s="2"/>
      <c r="L660" s="2"/>
      <c r="M660" s="40">
        <f t="shared" si="29"/>
        <v>6000000</v>
      </c>
      <c r="N660" s="1">
        <v>36558322</v>
      </c>
      <c r="O660" s="1" t="s">
        <v>4419</v>
      </c>
      <c r="P660" s="1" t="s">
        <v>4420</v>
      </c>
      <c r="Q660" s="3">
        <v>45013</v>
      </c>
      <c r="R660" s="3">
        <v>45014</v>
      </c>
      <c r="S660" s="3">
        <v>45016</v>
      </c>
      <c r="T660" s="35"/>
      <c r="U660" s="3"/>
      <c r="V660" s="3"/>
      <c r="W660" s="50"/>
      <c r="X660" s="9">
        <v>0</v>
      </c>
      <c r="Y660" s="9">
        <v>6000000</v>
      </c>
      <c r="Z660" s="34">
        <v>0</v>
      </c>
      <c r="AA660" s="1">
        <v>85471191</v>
      </c>
      <c r="AB660" s="1" t="s">
        <v>4356</v>
      </c>
      <c r="AC660" s="1"/>
      <c r="AD660" s="1"/>
      <c r="AE660" s="3"/>
      <c r="AF660" s="194" t="s">
        <v>4421</v>
      </c>
      <c r="AG660" s="15" t="s">
        <v>192</v>
      </c>
      <c r="AH660" s="15" t="s">
        <v>192</v>
      </c>
    </row>
    <row r="661" spans="1:34" s="4" customFormat="1" x14ac:dyDescent="0.25">
      <c r="A661" s="16">
        <v>891780249</v>
      </c>
      <c r="B661" s="16" t="s">
        <v>54</v>
      </c>
      <c r="C661" s="14" t="s">
        <v>57</v>
      </c>
      <c r="D661" s="16" t="s">
        <v>60</v>
      </c>
      <c r="E661" s="1" t="s">
        <v>4422</v>
      </c>
      <c r="F661" s="16" t="s">
        <v>61</v>
      </c>
      <c r="G661" s="1" t="s">
        <v>69</v>
      </c>
      <c r="H661" s="1" t="s">
        <v>73</v>
      </c>
      <c r="I661" s="9">
        <v>7200000</v>
      </c>
      <c r="J661" s="94"/>
      <c r="K661" s="2"/>
      <c r="L661" s="2"/>
      <c r="M661" s="40">
        <f t="shared" si="29"/>
        <v>7200000</v>
      </c>
      <c r="N661" s="1">
        <v>1120742459</v>
      </c>
      <c r="O661" s="1" t="s">
        <v>4423</v>
      </c>
      <c r="P661" s="1" t="s">
        <v>4424</v>
      </c>
      <c r="Q661" s="3">
        <v>45013</v>
      </c>
      <c r="R661" s="3">
        <v>45014</v>
      </c>
      <c r="S661" s="3">
        <v>45016</v>
      </c>
      <c r="T661" s="35"/>
      <c r="U661" s="3"/>
      <c r="V661" s="3"/>
      <c r="W661" s="50">
        <v>45046</v>
      </c>
      <c r="X661" s="9">
        <v>0</v>
      </c>
      <c r="Y661" s="9">
        <v>7200000</v>
      </c>
      <c r="Z661" s="34">
        <v>0</v>
      </c>
      <c r="AA661" s="1">
        <v>85471191</v>
      </c>
      <c r="AB661" s="1" t="s">
        <v>4356</v>
      </c>
      <c r="AC661" s="1"/>
      <c r="AD661" s="1"/>
      <c r="AE661" s="3"/>
      <c r="AF661" s="194" t="s">
        <v>4425</v>
      </c>
      <c r="AG661" s="15" t="s">
        <v>192</v>
      </c>
      <c r="AH661" s="15" t="s">
        <v>192</v>
      </c>
    </row>
    <row r="662" spans="1:34" s="4" customFormat="1" x14ac:dyDescent="0.25">
      <c r="A662" s="16">
        <v>891780250</v>
      </c>
      <c r="B662" s="16" t="s">
        <v>54</v>
      </c>
      <c r="C662" s="14" t="s">
        <v>57</v>
      </c>
      <c r="D662" s="16" t="s">
        <v>60</v>
      </c>
      <c r="E662" s="1" t="s">
        <v>4426</v>
      </c>
      <c r="F662" s="16" t="s">
        <v>61</v>
      </c>
      <c r="G662" s="1" t="s">
        <v>69</v>
      </c>
      <c r="H662" s="1" t="s">
        <v>73</v>
      </c>
      <c r="I662" s="9">
        <v>12000000</v>
      </c>
      <c r="J662" s="94"/>
      <c r="K662" s="2"/>
      <c r="L662" s="2"/>
      <c r="M662" s="40">
        <f t="shared" si="29"/>
        <v>12000000</v>
      </c>
      <c r="N662" s="1">
        <v>19210217</v>
      </c>
      <c r="O662" s="1" t="s">
        <v>4427</v>
      </c>
      <c r="P662" s="1" t="s">
        <v>4428</v>
      </c>
      <c r="Q662" s="3">
        <v>45013</v>
      </c>
      <c r="R662" s="3">
        <v>45014</v>
      </c>
      <c r="S662" s="3">
        <v>45016</v>
      </c>
      <c r="T662" s="35"/>
      <c r="U662" s="3"/>
      <c r="V662" s="3"/>
      <c r="W662" s="50">
        <v>45046</v>
      </c>
      <c r="X662" s="9">
        <v>0</v>
      </c>
      <c r="Y662" s="9">
        <v>12000000</v>
      </c>
      <c r="Z662" s="34">
        <v>0</v>
      </c>
      <c r="AA662" s="1">
        <v>85471191</v>
      </c>
      <c r="AB662" s="1" t="s">
        <v>4356</v>
      </c>
      <c r="AC662" s="1"/>
      <c r="AD662" s="1"/>
      <c r="AE662" s="3"/>
      <c r="AF662" s="194" t="s">
        <v>4429</v>
      </c>
      <c r="AG662" s="15" t="s">
        <v>192</v>
      </c>
      <c r="AH662" s="15" t="s">
        <v>192</v>
      </c>
    </row>
    <row r="663" spans="1:34" s="4" customFormat="1" x14ac:dyDescent="0.25">
      <c r="A663" s="16">
        <v>891780251</v>
      </c>
      <c r="B663" s="16" t="s">
        <v>54</v>
      </c>
      <c r="C663" s="14" t="s">
        <v>57</v>
      </c>
      <c r="D663" s="16" t="s">
        <v>60</v>
      </c>
      <c r="E663" s="1" t="s">
        <v>4430</v>
      </c>
      <c r="F663" s="16" t="s">
        <v>61</v>
      </c>
      <c r="G663" s="1" t="s">
        <v>69</v>
      </c>
      <c r="H663" s="1" t="s">
        <v>73</v>
      </c>
      <c r="I663" s="9">
        <v>20000000</v>
      </c>
      <c r="J663" s="94"/>
      <c r="K663" s="2"/>
      <c r="L663" s="2"/>
      <c r="M663" s="40">
        <f t="shared" si="29"/>
        <v>20000000</v>
      </c>
      <c r="N663" s="1">
        <v>12560639</v>
      </c>
      <c r="O663" s="1" t="s">
        <v>4431</v>
      </c>
      <c r="P663" s="1" t="s">
        <v>4432</v>
      </c>
      <c r="Q663" s="3">
        <v>45013</v>
      </c>
      <c r="R663" s="3">
        <v>45014</v>
      </c>
      <c r="S663" s="3">
        <v>45016</v>
      </c>
      <c r="T663" s="35"/>
      <c r="U663" s="3"/>
      <c r="V663" s="3"/>
      <c r="W663" s="50">
        <v>45046</v>
      </c>
      <c r="X663" s="9">
        <v>0</v>
      </c>
      <c r="Y663" s="9">
        <v>20000000</v>
      </c>
      <c r="Z663" s="34">
        <v>0</v>
      </c>
      <c r="AA663" s="1">
        <v>85471191</v>
      </c>
      <c r="AB663" s="1" t="s">
        <v>4356</v>
      </c>
      <c r="AC663" s="1"/>
      <c r="AD663" s="1"/>
      <c r="AE663" s="3"/>
      <c r="AF663" s="194" t="s">
        <v>4433</v>
      </c>
      <c r="AG663" s="15" t="s">
        <v>192</v>
      </c>
      <c r="AH663" s="15" t="s">
        <v>192</v>
      </c>
    </row>
    <row r="664" spans="1:34" s="4" customFormat="1" x14ac:dyDescent="0.25">
      <c r="A664" s="16">
        <v>891780252</v>
      </c>
      <c r="B664" s="16" t="s">
        <v>54</v>
      </c>
      <c r="C664" s="14" t="s">
        <v>57</v>
      </c>
      <c r="D664" s="16" t="s">
        <v>60</v>
      </c>
      <c r="E664" s="1" t="s">
        <v>4434</v>
      </c>
      <c r="F664" s="16" t="s">
        <v>61</v>
      </c>
      <c r="G664" s="1" t="s">
        <v>69</v>
      </c>
      <c r="H664" s="1" t="s">
        <v>73</v>
      </c>
      <c r="I664" s="9">
        <v>6000000</v>
      </c>
      <c r="J664" s="94"/>
      <c r="K664" s="2"/>
      <c r="L664" s="2"/>
      <c r="M664" s="40">
        <f t="shared" si="29"/>
        <v>6000000</v>
      </c>
      <c r="N664" s="1">
        <v>77019533</v>
      </c>
      <c r="O664" s="1" t="s">
        <v>4435</v>
      </c>
      <c r="P664" s="1" t="s">
        <v>4436</v>
      </c>
      <c r="Q664" s="3">
        <v>45013</v>
      </c>
      <c r="R664" s="3">
        <v>45014</v>
      </c>
      <c r="S664" s="3">
        <v>45016</v>
      </c>
      <c r="T664" s="35"/>
      <c r="U664" s="3"/>
      <c r="V664" s="3"/>
      <c r="W664" s="50">
        <v>45046</v>
      </c>
      <c r="X664" s="9">
        <v>0</v>
      </c>
      <c r="Y664" s="9">
        <v>6000000</v>
      </c>
      <c r="Z664" s="34">
        <v>0</v>
      </c>
      <c r="AA664" s="1">
        <v>85471191</v>
      </c>
      <c r="AB664" s="1" t="s">
        <v>4356</v>
      </c>
      <c r="AC664" s="1"/>
      <c r="AD664" s="1"/>
      <c r="AE664" s="3"/>
      <c r="AF664" s="194" t="s">
        <v>4437</v>
      </c>
      <c r="AG664" s="15" t="s">
        <v>192</v>
      </c>
      <c r="AH664" s="15" t="s">
        <v>192</v>
      </c>
    </row>
    <row r="665" spans="1:34" s="4" customFormat="1" x14ac:dyDescent="0.25">
      <c r="A665" s="16">
        <v>891780253</v>
      </c>
      <c r="B665" s="16" t="s">
        <v>54</v>
      </c>
      <c r="C665" s="14" t="s">
        <v>57</v>
      </c>
      <c r="D665" s="16" t="s">
        <v>60</v>
      </c>
      <c r="E665" s="1" t="s">
        <v>4438</v>
      </c>
      <c r="F665" s="16" t="s">
        <v>61</v>
      </c>
      <c r="G665" s="1" t="s">
        <v>69</v>
      </c>
      <c r="H665" s="1" t="s">
        <v>73</v>
      </c>
      <c r="I665" s="9">
        <v>31760420</v>
      </c>
      <c r="J665" s="94"/>
      <c r="K665" s="2"/>
      <c r="L665" s="2"/>
      <c r="M665" s="40">
        <f t="shared" si="29"/>
        <v>31760420</v>
      </c>
      <c r="N665" s="1">
        <v>1085178110</v>
      </c>
      <c r="O665" s="1" t="s">
        <v>4439</v>
      </c>
      <c r="P665" s="1" t="s">
        <v>4440</v>
      </c>
      <c r="Q665" s="3">
        <v>45015</v>
      </c>
      <c r="R665" s="3">
        <v>45015</v>
      </c>
      <c r="S665" s="3">
        <v>45291</v>
      </c>
      <c r="T665" s="35"/>
      <c r="U665" s="3"/>
      <c r="V665" s="3"/>
      <c r="W665" s="50"/>
      <c r="X665" s="9">
        <v>9528126</v>
      </c>
      <c r="Y665" s="9">
        <v>22232294</v>
      </c>
      <c r="Z665" s="34">
        <v>0.3</v>
      </c>
      <c r="AA665" s="1">
        <v>85461685</v>
      </c>
      <c r="AB665" s="1" t="s">
        <v>4441</v>
      </c>
      <c r="AC665" s="1"/>
      <c r="AD665" s="1"/>
      <c r="AE665" s="3"/>
      <c r="AF665" s="194" t="s">
        <v>4442</v>
      </c>
      <c r="AG665" s="15" t="s">
        <v>192</v>
      </c>
      <c r="AH665" s="15" t="s">
        <v>192</v>
      </c>
    </row>
    <row r="666" spans="1:34" s="4" customFormat="1" x14ac:dyDescent="0.25">
      <c r="A666" s="16">
        <v>891780254</v>
      </c>
      <c r="B666" s="16" t="s">
        <v>54</v>
      </c>
      <c r="C666" s="14" t="s">
        <v>57</v>
      </c>
      <c r="D666" s="16" t="s">
        <v>60</v>
      </c>
      <c r="E666" s="1" t="s">
        <v>4443</v>
      </c>
      <c r="F666" s="16" t="s">
        <v>61</v>
      </c>
      <c r="G666" s="1" t="s">
        <v>69</v>
      </c>
      <c r="H666" s="1" t="s">
        <v>73</v>
      </c>
      <c r="I666" s="9">
        <v>14757029</v>
      </c>
      <c r="J666" s="94"/>
      <c r="K666" s="2"/>
      <c r="L666" s="2"/>
      <c r="M666" s="40">
        <f t="shared" si="29"/>
        <v>14757029</v>
      </c>
      <c r="N666" s="1">
        <v>1121301392</v>
      </c>
      <c r="O666" s="1" t="s">
        <v>4444</v>
      </c>
      <c r="P666" s="1" t="s">
        <v>4272</v>
      </c>
      <c r="Q666" s="3">
        <v>45015</v>
      </c>
      <c r="R666" s="3">
        <v>45015</v>
      </c>
      <c r="S666" s="3">
        <v>45291</v>
      </c>
      <c r="T666" s="35"/>
      <c r="U666" s="3"/>
      <c r="V666" s="3"/>
      <c r="W666" s="50"/>
      <c r="X666" s="9">
        <v>1639669</v>
      </c>
      <c r="Y666" s="9">
        <v>13117360</v>
      </c>
      <c r="Z666" s="34">
        <v>0.11111105087616213</v>
      </c>
      <c r="AA666" s="1">
        <v>85461685</v>
      </c>
      <c r="AB666" s="1" t="s">
        <v>4441</v>
      </c>
      <c r="AC666" s="1"/>
      <c r="AD666" s="1"/>
      <c r="AE666" s="3"/>
      <c r="AF666" s="194" t="s">
        <v>4445</v>
      </c>
      <c r="AG666" s="15" t="s">
        <v>192</v>
      </c>
      <c r="AH666" s="15" t="s">
        <v>192</v>
      </c>
    </row>
    <row r="667" spans="1:34" s="4" customFormat="1" x14ac:dyDescent="0.25">
      <c r="A667" s="16">
        <v>891780255</v>
      </c>
      <c r="B667" s="16" t="s">
        <v>54</v>
      </c>
      <c r="C667" s="14" t="s">
        <v>57</v>
      </c>
      <c r="D667" s="16" t="s">
        <v>60</v>
      </c>
      <c r="E667" s="1" t="s">
        <v>4446</v>
      </c>
      <c r="F667" s="16" t="s">
        <v>61</v>
      </c>
      <c r="G667" s="1" t="s">
        <v>69</v>
      </c>
      <c r="H667" s="1" t="s">
        <v>73</v>
      </c>
      <c r="I667" s="9">
        <v>6510774</v>
      </c>
      <c r="J667" s="94"/>
      <c r="K667" s="2"/>
      <c r="L667" s="2"/>
      <c r="M667" s="40">
        <f t="shared" si="29"/>
        <v>6510774</v>
      </c>
      <c r="N667" s="1">
        <v>1081828885</v>
      </c>
      <c r="O667" s="1" t="s">
        <v>4447</v>
      </c>
      <c r="P667" s="1" t="s">
        <v>4277</v>
      </c>
      <c r="Q667" s="3">
        <v>45028</v>
      </c>
      <c r="R667" s="3">
        <v>45028</v>
      </c>
      <c r="S667" s="3">
        <v>45082</v>
      </c>
      <c r="T667" s="35"/>
      <c r="U667" s="3"/>
      <c r="V667" s="3"/>
      <c r="W667" s="50"/>
      <c r="X667" s="9">
        <v>6510774</v>
      </c>
      <c r="Y667" s="9">
        <f>M667-X667</f>
        <v>0</v>
      </c>
      <c r="Z667" s="34">
        <v>1</v>
      </c>
      <c r="AA667" s="1">
        <v>8746547</v>
      </c>
      <c r="AB667" s="1" t="s">
        <v>4327</v>
      </c>
      <c r="AC667" s="1"/>
      <c r="AD667" s="1"/>
      <c r="AE667" s="3"/>
      <c r="AF667" s="194" t="s">
        <v>4448</v>
      </c>
      <c r="AG667" s="15" t="s">
        <v>192</v>
      </c>
      <c r="AH667" s="15" t="s">
        <v>192</v>
      </c>
    </row>
    <row r="668" spans="1:34" s="4" customFormat="1" x14ac:dyDescent="0.25">
      <c r="A668" s="16">
        <v>891780256</v>
      </c>
      <c r="B668" s="16" t="s">
        <v>54</v>
      </c>
      <c r="C668" s="14" t="s">
        <v>57</v>
      </c>
      <c r="D668" s="16" t="s">
        <v>60</v>
      </c>
      <c r="E668" s="1" t="s">
        <v>4449</v>
      </c>
      <c r="F668" s="16" t="s">
        <v>61</v>
      </c>
      <c r="G668" s="1" t="s">
        <v>69</v>
      </c>
      <c r="H668" s="1" t="s">
        <v>79</v>
      </c>
      <c r="I668" s="9">
        <v>84892000</v>
      </c>
      <c r="J668" s="94"/>
      <c r="K668" s="2"/>
      <c r="L668" s="2"/>
      <c r="M668" s="40">
        <f t="shared" si="29"/>
        <v>84892000</v>
      </c>
      <c r="N668" s="1">
        <v>36547214</v>
      </c>
      <c r="O668" s="1" t="s">
        <v>4450</v>
      </c>
      <c r="P668" s="1" t="s">
        <v>4281</v>
      </c>
      <c r="Q668" s="3">
        <v>45034</v>
      </c>
      <c r="R668" s="3">
        <v>45034</v>
      </c>
      <c r="S668" s="3">
        <v>45064</v>
      </c>
      <c r="T668" s="35"/>
      <c r="U668" s="3"/>
      <c r="V668" s="3"/>
      <c r="W668" s="50">
        <v>45111</v>
      </c>
      <c r="X668" s="9">
        <v>25467600</v>
      </c>
      <c r="Y668" s="9">
        <v>59424400</v>
      </c>
      <c r="Z668" s="34">
        <v>0.3</v>
      </c>
      <c r="AA668" s="1">
        <v>8746547</v>
      </c>
      <c r="AB668" s="1" t="s">
        <v>4327</v>
      </c>
      <c r="AC668" s="1" t="s">
        <v>192</v>
      </c>
      <c r="AD668" s="1" t="s">
        <v>192</v>
      </c>
      <c r="AE668" s="3">
        <v>45069</v>
      </c>
      <c r="AF668" s="194" t="s">
        <v>4451</v>
      </c>
      <c r="AG668" s="15" t="s">
        <v>192</v>
      </c>
      <c r="AH668" s="15" t="s">
        <v>192</v>
      </c>
    </row>
    <row r="669" spans="1:34" s="4" customFormat="1" x14ac:dyDescent="0.25">
      <c r="A669" s="16">
        <v>891780257</v>
      </c>
      <c r="B669" s="16" t="s">
        <v>54</v>
      </c>
      <c r="C669" s="14" t="s">
        <v>57</v>
      </c>
      <c r="D669" s="16" t="s">
        <v>60</v>
      </c>
      <c r="E669" s="1" t="s">
        <v>4452</v>
      </c>
      <c r="F669" s="16" t="s">
        <v>61</v>
      </c>
      <c r="G669" s="1" t="s">
        <v>69</v>
      </c>
      <c r="H669" s="1" t="s">
        <v>73</v>
      </c>
      <c r="I669" s="9">
        <v>9042000</v>
      </c>
      <c r="J669" s="94"/>
      <c r="K669" s="2"/>
      <c r="L669" s="2"/>
      <c r="M669" s="40">
        <f t="shared" si="29"/>
        <v>9042000</v>
      </c>
      <c r="N669" s="1" t="s">
        <v>4453</v>
      </c>
      <c r="O669" s="1" t="s">
        <v>4454</v>
      </c>
      <c r="P669" s="1" t="s">
        <v>4285</v>
      </c>
      <c r="Q669" s="3">
        <v>45036</v>
      </c>
      <c r="R669" s="3">
        <v>45036</v>
      </c>
      <c r="S669" s="3">
        <v>45091</v>
      </c>
      <c r="T669" s="35"/>
      <c r="U669" s="3"/>
      <c r="V669" s="3"/>
      <c r="W669" s="50">
        <v>45199</v>
      </c>
      <c r="X669" s="9">
        <v>4521000</v>
      </c>
      <c r="Y669" s="9">
        <v>4521000</v>
      </c>
      <c r="Z669" s="34">
        <v>0.5</v>
      </c>
      <c r="AA669" s="1">
        <v>8746547</v>
      </c>
      <c r="AB669" s="1" t="s">
        <v>4327</v>
      </c>
      <c r="AC669" s="1"/>
      <c r="AD669" s="1"/>
      <c r="AE669" s="3"/>
      <c r="AF669" s="194" t="s">
        <v>4455</v>
      </c>
      <c r="AG669" s="15" t="s">
        <v>192</v>
      </c>
      <c r="AH669" s="15" t="s">
        <v>191</v>
      </c>
    </row>
    <row r="670" spans="1:34" s="4" customFormat="1" x14ac:dyDescent="0.25">
      <c r="A670" s="16">
        <v>891780258</v>
      </c>
      <c r="B670" s="16" t="s">
        <v>54</v>
      </c>
      <c r="C670" s="14" t="s">
        <v>57</v>
      </c>
      <c r="D670" s="16" t="s">
        <v>60</v>
      </c>
      <c r="E670" s="1" t="s">
        <v>4456</v>
      </c>
      <c r="F670" s="16" t="s">
        <v>61</v>
      </c>
      <c r="G670" s="1" t="s">
        <v>69</v>
      </c>
      <c r="H670" s="1" t="s">
        <v>73</v>
      </c>
      <c r="I670" s="9">
        <v>170467500</v>
      </c>
      <c r="J670" s="94"/>
      <c r="K670" s="2"/>
      <c r="L670" s="2"/>
      <c r="M670" s="40">
        <f t="shared" si="29"/>
        <v>170467500</v>
      </c>
      <c r="N670" s="1" t="s">
        <v>4457</v>
      </c>
      <c r="O670" s="1" t="s">
        <v>4458</v>
      </c>
      <c r="P670" s="1" t="s">
        <v>4459</v>
      </c>
      <c r="Q670" s="3">
        <v>45042</v>
      </c>
      <c r="R670" s="3">
        <v>45042</v>
      </c>
      <c r="S670" s="3">
        <v>45091</v>
      </c>
      <c r="T670" s="35"/>
      <c r="U670" s="3"/>
      <c r="V670" s="3"/>
      <c r="W670" s="50"/>
      <c r="X670" s="9">
        <v>51140250</v>
      </c>
      <c r="Y670" s="9">
        <v>119327250</v>
      </c>
      <c r="Z670" s="34">
        <v>0.3</v>
      </c>
      <c r="AA670" s="1">
        <v>57297302</v>
      </c>
      <c r="AB670" s="1" t="s">
        <v>4273</v>
      </c>
      <c r="AC670" s="1"/>
      <c r="AD670" s="1"/>
      <c r="AE670" s="3">
        <v>45077</v>
      </c>
      <c r="AF670" s="194" t="s">
        <v>4460</v>
      </c>
      <c r="AG670" s="15" t="s">
        <v>192</v>
      </c>
      <c r="AH670" s="15" t="s">
        <v>191</v>
      </c>
    </row>
    <row r="671" spans="1:34" s="4" customFormat="1" x14ac:dyDescent="0.25">
      <c r="A671" s="16">
        <v>891780259</v>
      </c>
      <c r="B671" s="16" t="s">
        <v>54</v>
      </c>
      <c r="C671" s="14" t="s">
        <v>57</v>
      </c>
      <c r="D671" s="16" t="s">
        <v>60</v>
      </c>
      <c r="E671" s="1" t="s">
        <v>4461</v>
      </c>
      <c r="F671" s="16" t="s">
        <v>61</v>
      </c>
      <c r="G671" s="1" t="s">
        <v>69</v>
      </c>
      <c r="H671" s="1" t="s">
        <v>79</v>
      </c>
      <c r="I671" s="9">
        <v>7080500</v>
      </c>
      <c r="J671" s="94"/>
      <c r="K671" s="2"/>
      <c r="L671" s="2"/>
      <c r="M671" s="40">
        <f t="shared" si="29"/>
        <v>7080500</v>
      </c>
      <c r="N671" s="1" t="s">
        <v>4462</v>
      </c>
      <c r="O671" s="1" t="s">
        <v>1748</v>
      </c>
      <c r="P671" s="1" t="s">
        <v>4289</v>
      </c>
      <c r="Q671" s="3">
        <v>45051</v>
      </c>
      <c r="R671" s="3">
        <v>45051</v>
      </c>
      <c r="S671" s="3">
        <v>45071</v>
      </c>
      <c r="T671" s="35"/>
      <c r="U671" s="3"/>
      <c r="V671" s="3"/>
      <c r="W671" s="50">
        <v>45086</v>
      </c>
      <c r="X671" s="9">
        <v>0</v>
      </c>
      <c r="Y671" s="9">
        <v>7080500</v>
      </c>
      <c r="Z671" s="34">
        <v>0</v>
      </c>
      <c r="AA671" s="1">
        <v>8746547</v>
      </c>
      <c r="AB671" s="1" t="s">
        <v>4327</v>
      </c>
      <c r="AC671" s="1"/>
      <c r="AD671" s="1"/>
      <c r="AE671" s="3"/>
      <c r="AF671" s="194" t="s">
        <v>4463</v>
      </c>
      <c r="AG671" s="15" t="s">
        <v>192</v>
      </c>
      <c r="AH671" s="15" t="s">
        <v>191</v>
      </c>
    </row>
    <row r="672" spans="1:34" s="4" customFormat="1" x14ac:dyDescent="0.25">
      <c r="A672" s="16">
        <v>891780260</v>
      </c>
      <c r="B672" s="16" t="s">
        <v>54</v>
      </c>
      <c r="C672" s="14" t="s">
        <v>57</v>
      </c>
      <c r="D672" s="16" t="s">
        <v>60</v>
      </c>
      <c r="E672" s="1" t="s">
        <v>4464</v>
      </c>
      <c r="F672" s="16" t="s">
        <v>61</v>
      </c>
      <c r="G672" s="1" t="s">
        <v>69</v>
      </c>
      <c r="H672" s="1" t="s">
        <v>4465</v>
      </c>
      <c r="I672" s="9">
        <v>8400000</v>
      </c>
      <c r="J672" s="94"/>
      <c r="K672" s="2"/>
      <c r="L672" s="2"/>
      <c r="M672" s="40">
        <f t="shared" si="29"/>
        <v>8400000</v>
      </c>
      <c r="N672" s="1">
        <v>7631782</v>
      </c>
      <c r="O672" s="1" t="s">
        <v>4466</v>
      </c>
      <c r="P672" s="1" t="s">
        <v>4294</v>
      </c>
      <c r="Q672" s="3">
        <v>45055</v>
      </c>
      <c r="R672" s="3">
        <v>45055</v>
      </c>
      <c r="S672" s="3">
        <v>45061</v>
      </c>
      <c r="T672" s="35"/>
      <c r="U672" s="3"/>
      <c r="V672" s="3"/>
      <c r="W672" s="50"/>
      <c r="X672" s="9">
        <v>8400000</v>
      </c>
      <c r="Y672" s="9">
        <f>M672-X672</f>
        <v>0</v>
      </c>
      <c r="Z672" s="34">
        <v>1</v>
      </c>
      <c r="AA672" s="1">
        <v>85461685</v>
      </c>
      <c r="AB672" s="1" t="s">
        <v>4467</v>
      </c>
      <c r="AC672" s="1"/>
      <c r="AD672" s="1"/>
      <c r="AE672" s="3"/>
      <c r="AF672" s="194" t="s">
        <v>4468</v>
      </c>
      <c r="AG672" s="15" t="s">
        <v>192</v>
      </c>
      <c r="AH672" s="15" t="s">
        <v>191</v>
      </c>
    </row>
    <row r="673" spans="1:34" s="4" customFormat="1" x14ac:dyDescent="0.25">
      <c r="A673" s="16">
        <v>891780261</v>
      </c>
      <c r="B673" s="16" t="s">
        <v>54</v>
      </c>
      <c r="C673" s="14" t="s">
        <v>57</v>
      </c>
      <c r="D673" s="16" t="s">
        <v>60</v>
      </c>
      <c r="E673" s="1" t="s">
        <v>4469</v>
      </c>
      <c r="F673" s="16" t="s">
        <v>61</v>
      </c>
      <c r="G673" s="1" t="s">
        <v>69</v>
      </c>
      <c r="H673" s="1" t="s">
        <v>4465</v>
      </c>
      <c r="I673" s="9">
        <v>29429880</v>
      </c>
      <c r="J673" s="94"/>
      <c r="K673" s="2"/>
      <c r="L673" s="2"/>
      <c r="M673" s="40">
        <f t="shared" si="29"/>
        <v>29429880</v>
      </c>
      <c r="N673" s="1" t="s">
        <v>4470</v>
      </c>
      <c r="O673" s="1" t="s">
        <v>4471</v>
      </c>
      <c r="P673" s="1" t="s">
        <v>4298</v>
      </c>
      <c r="Q673" s="3">
        <v>45057</v>
      </c>
      <c r="R673" s="3">
        <v>45057</v>
      </c>
      <c r="S673" s="3">
        <v>45149</v>
      </c>
      <c r="T673" s="35"/>
      <c r="U673" s="3"/>
      <c r="V673" s="3"/>
      <c r="W673" s="50"/>
      <c r="X673" s="9">
        <v>20794110</v>
      </c>
      <c r="Y673" s="9">
        <v>8635770</v>
      </c>
      <c r="Z673" s="34">
        <v>0.70656455276066366</v>
      </c>
      <c r="AA673" s="1">
        <v>7629414</v>
      </c>
      <c r="AB673" s="1" t="s">
        <v>4472</v>
      </c>
      <c r="AC673" s="1"/>
      <c r="AD673" s="1"/>
      <c r="AE673" s="3">
        <v>45069</v>
      </c>
      <c r="AF673" s="194" t="s">
        <v>4473</v>
      </c>
      <c r="AG673" s="15" t="s">
        <v>192</v>
      </c>
      <c r="AH673" s="15" t="s">
        <v>191</v>
      </c>
    </row>
    <row r="674" spans="1:34" s="4" customFormat="1" x14ac:dyDescent="0.25">
      <c r="A674" s="16">
        <v>891780262</v>
      </c>
      <c r="B674" s="16" t="s">
        <v>54</v>
      </c>
      <c r="C674" s="14" t="s">
        <v>57</v>
      </c>
      <c r="D674" s="16" t="s">
        <v>60</v>
      </c>
      <c r="E674" s="1" t="s">
        <v>4474</v>
      </c>
      <c r="F674" s="16" t="s">
        <v>61</v>
      </c>
      <c r="G674" s="1" t="s">
        <v>69</v>
      </c>
      <c r="H674" s="1" t="s">
        <v>4465</v>
      </c>
      <c r="I674" s="9">
        <v>29750000</v>
      </c>
      <c r="J674" s="94"/>
      <c r="K674" s="2"/>
      <c r="L674" s="2"/>
      <c r="M674" s="40">
        <f t="shared" si="29"/>
        <v>29750000</v>
      </c>
      <c r="N674" s="1">
        <v>79623881</v>
      </c>
      <c r="O674" s="1" t="s">
        <v>4475</v>
      </c>
      <c r="P674" s="1" t="s">
        <v>4302</v>
      </c>
      <c r="Q674" s="3">
        <v>45058</v>
      </c>
      <c r="R674" s="3">
        <v>45058</v>
      </c>
      <c r="S674" s="3">
        <v>45204</v>
      </c>
      <c r="T674" s="35"/>
      <c r="U674" s="3"/>
      <c r="V674" s="3"/>
      <c r="W674" s="50"/>
      <c r="X674" s="9">
        <v>0</v>
      </c>
      <c r="Y674" s="9">
        <v>29750000</v>
      </c>
      <c r="Z674" s="34">
        <v>0</v>
      </c>
      <c r="AA674" s="1">
        <v>12564670</v>
      </c>
      <c r="AB674" s="1" t="s">
        <v>2466</v>
      </c>
      <c r="AC674" s="1"/>
      <c r="AD674" s="1"/>
      <c r="AE674" s="3"/>
      <c r="AF674" s="194" t="s">
        <v>4476</v>
      </c>
      <c r="AG674" s="15" t="s">
        <v>192</v>
      </c>
      <c r="AH674" s="15"/>
    </row>
    <row r="675" spans="1:34" s="4" customFormat="1" x14ac:dyDescent="0.25">
      <c r="A675" s="16">
        <v>891780263</v>
      </c>
      <c r="B675" s="16" t="s">
        <v>54</v>
      </c>
      <c r="C675" s="14" t="s">
        <v>57</v>
      </c>
      <c r="D675" s="16" t="s">
        <v>60</v>
      </c>
      <c r="E675" s="1" t="s">
        <v>4477</v>
      </c>
      <c r="F675" s="16" t="s">
        <v>61</v>
      </c>
      <c r="G675" s="1" t="s">
        <v>69</v>
      </c>
      <c r="H675" s="1" t="s">
        <v>4465</v>
      </c>
      <c r="I675" s="9">
        <v>19000000</v>
      </c>
      <c r="J675" s="94"/>
      <c r="K675" s="2"/>
      <c r="L675" s="2"/>
      <c r="M675" s="40">
        <f t="shared" si="29"/>
        <v>19000000</v>
      </c>
      <c r="N675" s="1">
        <v>1233889272</v>
      </c>
      <c r="O675" s="1" t="s">
        <v>4478</v>
      </c>
      <c r="P675" s="1" t="s">
        <v>4306</v>
      </c>
      <c r="Q675" s="3">
        <v>45058</v>
      </c>
      <c r="R675" s="3">
        <v>45058</v>
      </c>
      <c r="S675" s="3">
        <v>45204</v>
      </c>
      <c r="T675" s="35"/>
      <c r="U675" s="3"/>
      <c r="V675" s="3"/>
      <c r="W675" s="50"/>
      <c r="X675" s="9">
        <v>0</v>
      </c>
      <c r="Y675" s="9">
        <v>19000000</v>
      </c>
      <c r="Z675" s="34">
        <v>0</v>
      </c>
      <c r="AA675" s="1">
        <v>12564670</v>
      </c>
      <c r="AB675" s="1" t="s">
        <v>2466</v>
      </c>
      <c r="AC675" s="1"/>
      <c r="AD675" s="1"/>
      <c r="AE675" s="3"/>
      <c r="AF675" s="194" t="s">
        <v>4479</v>
      </c>
      <c r="AG675" s="15" t="s">
        <v>192</v>
      </c>
      <c r="AH675" s="15" t="s">
        <v>192</v>
      </c>
    </row>
    <row r="676" spans="1:34" s="4" customFormat="1" x14ac:dyDescent="0.25">
      <c r="A676" s="16">
        <v>891780264</v>
      </c>
      <c r="B676" s="16" t="s">
        <v>54</v>
      </c>
      <c r="C676" s="14" t="s">
        <v>57</v>
      </c>
      <c r="D676" s="16" t="s">
        <v>60</v>
      </c>
      <c r="E676" s="1" t="s">
        <v>4480</v>
      </c>
      <c r="F676" s="16" t="s">
        <v>61</v>
      </c>
      <c r="G676" s="1" t="s">
        <v>69</v>
      </c>
      <c r="H676" s="1" t="s">
        <v>4465</v>
      </c>
      <c r="I676" s="9">
        <v>2250000</v>
      </c>
      <c r="J676" s="94">
        <v>1</v>
      </c>
      <c r="K676" s="2">
        <v>1125000</v>
      </c>
      <c r="L676" s="2"/>
      <c r="M676" s="40">
        <f t="shared" si="29"/>
        <v>3375000</v>
      </c>
      <c r="N676" s="1">
        <v>1192759003</v>
      </c>
      <c r="O676" s="1" t="s">
        <v>4481</v>
      </c>
      <c r="P676" s="1" t="s">
        <v>4310</v>
      </c>
      <c r="Q676" s="3">
        <v>45061</v>
      </c>
      <c r="R676" s="3">
        <v>45061</v>
      </c>
      <c r="S676" s="3">
        <v>45092</v>
      </c>
      <c r="T676" s="35"/>
      <c r="U676" s="3"/>
      <c r="V676" s="3"/>
      <c r="W676" s="50">
        <v>45107</v>
      </c>
      <c r="X676" s="9">
        <v>0</v>
      </c>
      <c r="Y676" s="9">
        <v>3375000</v>
      </c>
      <c r="Z676" s="34">
        <v>0</v>
      </c>
      <c r="AA676" s="1">
        <v>7629414</v>
      </c>
      <c r="AB676" s="1" t="s">
        <v>4472</v>
      </c>
      <c r="AC676" s="1"/>
      <c r="AD676" s="1"/>
      <c r="AE676" s="3"/>
      <c r="AF676" s="194" t="s">
        <v>4482</v>
      </c>
      <c r="AG676" s="15" t="s">
        <v>192</v>
      </c>
      <c r="AH676" s="15" t="s">
        <v>192</v>
      </c>
    </row>
    <row r="677" spans="1:34" s="4" customFormat="1" x14ac:dyDescent="0.25">
      <c r="A677" s="16">
        <v>891780265</v>
      </c>
      <c r="B677" s="16" t="s">
        <v>54</v>
      </c>
      <c r="C677" s="14" t="s">
        <v>57</v>
      </c>
      <c r="D677" s="16" t="s">
        <v>60</v>
      </c>
      <c r="E677" s="1" t="s">
        <v>4483</v>
      </c>
      <c r="F677" s="16" t="s">
        <v>61</v>
      </c>
      <c r="G677" s="1" t="s">
        <v>69</v>
      </c>
      <c r="H677" s="1" t="s">
        <v>4465</v>
      </c>
      <c r="I677" s="9">
        <v>12000000</v>
      </c>
      <c r="J677" s="94"/>
      <c r="K677" s="2"/>
      <c r="L677" s="2"/>
      <c r="M677" s="40">
        <f t="shared" si="29"/>
        <v>12000000</v>
      </c>
      <c r="N677" s="1">
        <v>1116668416</v>
      </c>
      <c r="O677" s="1" t="s">
        <v>4484</v>
      </c>
      <c r="P677" s="1" t="s">
        <v>4314</v>
      </c>
      <c r="Q677" s="3">
        <v>45063</v>
      </c>
      <c r="R677" s="3">
        <v>45063</v>
      </c>
      <c r="S677" s="3">
        <v>45174</v>
      </c>
      <c r="T677" s="35"/>
      <c r="U677" s="3"/>
      <c r="V677" s="3"/>
      <c r="W677" s="50"/>
      <c r="X677" s="9">
        <v>0</v>
      </c>
      <c r="Y677" s="9">
        <v>12000000</v>
      </c>
      <c r="Z677" s="34">
        <v>0</v>
      </c>
      <c r="AA677" s="1">
        <v>12564670</v>
      </c>
      <c r="AB677" s="1" t="s">
        <v>2466</v>
      </c>
      <c r="AC677" s="1"/>
      <c r="AD677" s="1"/>
      <c r="AE677" s="3"/>
      <c r="AF677" s="194" t="s">
        <v>4485</v>
      </c>
      <c r="AG677" s="15" t="s">
        <v>192</v>
      </c>
      <c r="AH677" s="15" t="s">
        <v>192</v>
      </c>
    </row>
    <row r="678" spans="1:34" s="4" customFormat="1" x14ac:dyDescent="0.25">
      <c r="A678" s="16">
        <v>891780266</v>
      </c>
      <c r="B678" s="16" t="s">
        <v>54</v>
      </c>
      <c r="C678" s="14" t="s">
        <v>57</v>
      </c>
      <c r="D678" s="16" t="s">
        <v>60</v>
      </c>
      <c r="E678" s="1" t="s">
        <v>4486</v>
      </c>
      <c r="F678" s="16" t="s">
        <v>61</v>
      </c>
      <c r="G678" s="1" t="s">
        <v>69</v>
      </c>
      <c r="H678" s="1" t="s">
        <v>4465</v>
      </c>
      <c r="I678" s="9">
        <v>12000000</v>
      </c>
      <c r="J678" s="94"/>
      <c r="K678" s="2"/>
      <c r="L678" s="2"/>
      <c r="M678" s="40">
        <f t="shared" si="29"/>
        <v>12000000</v>
      </c>
      <c r="N678" s="1">
        <v>1022401833</v>
      </c>
      <c r="O678" s="1" t="s">
        <v>4487</v>
      </c>
      <c r="P678" s="1" t="s">
        <v>4318</v>
      </c>
      <c r="Q678" s="3">
        <v>45063</v>
      </c>
      <c r="R678" s="3">
        <v>45063</v>
      </c>
      <c r="S678" s="3">
        <v>45174</v>
      </c>
      <c r="T678" s="35"/>
      <c r="U678" s="3"/>
      <c r="V678" s="3"/>
      <c r="W678" s="50"/>
      <c r="X678" s="9">
        <v>0</v>
      </c>
      <c r="Y678" s="9">
        <v>12000000</v>
      </c>
      <c r="Z678" s="34">
        <v>0</v>
      </c>
      <c r="AA678" s="1">
        <v>12564670</v>
      </c>
      <c r="AB678" s="1" t="s">
        <v>2466</v>
      </c>
      <c r="AC678" s="1"/>
      <c r="AD678" s="1"/>
      <c r="AE678" s="3"/>
      <c r="AF678" s="194" t="s">
        <v>4488</v>
      </c>
      <c r="AG678" s="15" t="s">
        <v>192</v>
      </c>
      <c r="AH678" s="15" t="s">
        <v>192</v>
      </c>
    </row>
    <row r="679" spans="1:34" s="4" customFormat="1" x14ac:dyDescent="0.25">
      <c r="A679" s="16">
        <v>891780267</v>
      </c>
      <c r="B679" s="16" t="s">
        <v>54</v>
      </c>
      <c r="C679" s="14" t="s">
        <v>57</v>
      </c>
      <c r="D679" s="16" t="s">
        <v>60</v>
      </c>
      <c r="E679" s="1" t="s">
        <v>4489</v>
      </c>
      <c r="F679" s="16" t="s">
        <v>61</v>
      </c>
      <c r="G679" s="1" t="s">
        <v>69</v>
      </c>
      <c r="H679" s="1" t="s">
        <v>4465</v>
      </c>
      <c r="I679" s="9">
        <v>11046000</v>
      </c>
      <c r="J679" s="94"/>
      <c r="K679" s="2"/>
      <c r="L679" s="2"/>
      <c r="M679" s="40">
        <f t="shared" si="29"/>
        <v>11046000</v>
      </c>
      <c r="N679" s="1">
        <v>84455146</v>
      </c>
      <c r="O679" s="1" t="s">
        <v>4490</v>
      </c>
      <c r="P679" s="1" t="s">
        <v>4322</v>
      </c>
      <c r="Q679" s="3">
        <v>45064</v>
      </c>
      <c r="R679" s="3">
        <v>45064</v>
      </c>
      <c r="S679" s="3">
        <v>45126</v>
      </c>
      <c r="T679" s="35"/>
      <c r="U679" s="3"/>
      <c r="V679" s="3"/>
      <c r="W679" s="50"/>
      <c r="X679" s="9">
        <v>0</v>
      </c>
      <c r="Y679" s="9">
        <v>11046000</v>
      </c>
      <c r="Z679" s="34">
        <v>0</v>
      </c>
      <c r="AA679" s="1">
        <v>55313591</v>
      </c>
      <c r="AB679" s="1" t="s">
        <v>4491</v>
      </c>
      <c r="AC679" s="1"/>
      <c r="AD679" s="1"/>
      <c r="AE679" s="3"/>
      <c r="AF679" s="194" t="s">
        <v>4492</v>
      </c>
      <c r="AG679" s="15" t="s">
        <v>192</v>
      </c>
      <c r="AH679" s="15" t="s">
        <v>192</v>
      </c>
    </row>
    <row r="680" spans="1:34" s="4" customFormat="1" x14ac:dyDescent="0.25">
      <c r="A680" s="16">
        <v>891780268</v>
      </c>
      <c r="B680" s="16" t="s">
        <v>54</v>
      </c>
      <c r="C680" s="14" t="s">
        <v>57</v>
      </c>
      <c r="D680" s="16" t="s">
        <v>60</v>
      </c>
      <c r="E680" s="1" t="s">
        <v>4493</v>
      </c>
      <c r="F680" s="16" t="s">
        <v>61</v>
      </c>
      <c r="G680" s="1" t="s">
        <v>69</v>
      </c>
      <c r="H680" s="1" t="s">
        <v>4465</v>
      </c>
      <c r="I680" s="9">
        <v>3255387</v>
      </c>
      <c r="J680" s="94"/>
      <c r="K680" s="2"/>
      <c r="L680" s="2"/>
      <c r="M680" s="40">
        <f t="shared" si="29"/>
        <v>3255387</v>
      </c>
      <c r="N680" s="1">
        <v>1081826908</v>
      </c>
      <c r="O680" s="1" t="s">
        <v>4494</v>
      </c>
      <c r="P680" s="1" t="s">
        <v>4326</v>
      </c>
      <c r="Q680" s="3">
        <v>45064</v>
      </c>
      <c r="R680" s="3">
        <v>45065</v>
      </c>
      <c r="S680" s="3">
        <v>45091</v>
      </c>
      <c r="T680" s="35"/>
      <c r="U680" s="3"/>
      <c r="V680" s="3"/>
      <c r="W680" s="50"/>
      <c r="X680" s="9">
        <v>0</v>
      </c>
      <c r="Y680" s="9">
        <v>3255387</v>
      </c>
      <c r="Z680" s="34">
        <v>0</v>
      </c>
      <c r="AA680" s="1">
        <v>8746547</v>
      </c>
      <c r="AB680" s="1" t="s">
        <v>4327</v>
      </c>
      <c r="AC680" s="1"/>
      <c r="AD680" s="1"/>
      <c r="AE680" s="3"/>
      <c r="AF680" s="194" t="s">
        <v>4495</v>
      </c>
      <c r="AG680" s="15" t="s">
        <v>192</v>
      </c>
      <c r="AH680" s="15" t="s">
        <v>192</v>
      </c>
    </row>
    <row r="681" spans="1:34" s="4" customFormat="1" x14ac:dyDescent="0.25">
      <c r="A681" s="16">
        <v>891780269</v>
      </c>
      <c r="B681" s="16" t="s">
        <v>54</v>
      </c>
      <c r="C681" s="14" t="s">
        <v>57</v>
      </c>
      <c r="D681" s="16" t="s">
        <v>60</v>
      </c>
      <c r="E681" s="1" t="s">
        <v>4496</v>
      </c>
      <c r="F681" s="16" t="s">
        <v>61</v>
      </c>
      <c r="G681" s="1" t="s">
        <v>69</v>
      </c>
      <c r="H681" s="1" t="s">
        <v>79</v>
      </c>
      <c r="I681" s="9">
        <v>31018302</v>
      </c>
      <c r="J681" s="94"/>
      <c r="K681" s="2"/>
      <c r="L681" s="2"/>
      <c r="M681" s="40">
        <f t="shared" si="29"/>
        <v>31018302</v>
      </c>
      <c r="N681" s="1" t="s">
        <v>4497</v>
      </c>
      <c r="O681" s="1" t="s">
        <v>4498</v>
      </c>
      <c r="P681" s="1" t="s">
        <v>4331</v>
      </c>
      <c r="Q681" s="3">
        <v>45069</v>
      </c>
      <c r="R681" s="3">
        <v>45069</v>
      </c>
      <c r="S681" s="3">
        <v>45084</v>
      </c>
      <c r="T681" s="35"/>
      <c r="U681" s="3"/>
      <c r="V681" s="3"/>
      <c r="W681" s="50">
        <v>45107</v>
      </c>
      <c r="X681" s="9">
        <v>0</v>
      </c>
      <c r="Y681" s="9">
        <v>31018302</v>
      </c>
      <c r="Z681" s="34">
        <v>0</v>
      </c>
      <c r="AA681" s="1">
        <v>8746547</v>
      </c>
      <c r="AB681" s="1" t="s">
        <v>4327</v>
      </c>
      <c r="AC681" s="1"/>
      <c r="AD681" s="1"/>
      <c r="AE681" s="3"/>
      <c r="AF681" s="194" t="s">
        <v>4499</v>
      </c>
      <c r="AG681" s="15" t="s">
        <v>192</v>
      </c>
      <c r="AH681" s="15" t="s">
        <v>192</v>
      </c>
    </row>
    <row r="682" spans="1:34" s="4" customFormat="1" x14ac:dyDescent="0.25">
      <c r="A682" s="16">
        <v>891780270</v>
      </c>
      <c r="B682" s="16" t="s">
        <v>54</v>
      </c>
      <c r="C682" s="14" t="s">
        <v>57</v>
      </c>
      <c r="D682" s="16" t="s">
        <v>60</v>
      </c>
      <c r="E682" s="1" t="s">
        <v>4500</v>
      </c>
      <c r="F682" s="16" t="s">
        <v>61</v>
      </c>
      <c r="G682" s="1" t="s">
        <v>69</v>
      </c>
      <c r="H682" s="1" t="s">
        <v>4465</v>
      </c>
      <c r="I682" s="9">
        <v>12000000</v>
      </c>
      <c r="J682" s="94"/>
      <c r="K682" s="2"/>
      <c r="L682" s="2"/>
      <c r="M682" s="40">
        <f t="shared" si="29"/>
        <v>12000000</v>
      </c>
      <c r="N682" s="1">
        <v>1079263421</v>
      </c>
      <c r="O682" s="1" t="s">
        <v>4501</v>
      </c>
      <c r="P682" s="1" t="s">
        <v>4335</v>
      </c>
      <c r="Q682" s="3">
        <v>45070</v>
      </c>
      <c r="R682" s="3">
        <v>45070</v>
      </c>
      <c r="S682" s="3">
        <v>45174</v>
      </c>
      <c r="T682" s="35"/>
      <c r="U682" s="3"/>
      <c r="V682" s="3"/>
      <c r="W682" s="50"/>
      <c r="X682" s="9">
        <v>0</v>
      </c>
      <c r="Y682" s="9">
        <v>12000000</v>
      </c>
      <c r="Z682" s="34">
        <v>0</v>
      </c>
      <c r="AA682" s="1">
        <v>12564670</v>
      </c>
      <c r="AB682" s="1" t="s">
        <v>2466</v>
      </c>
      <c r="AC682" s="1"/>
      <c r="AD682" s="1"/>
      <c r="AE682" s="3"/>
      <c r="AF682" s="194" t="s">
        <v>4502</v>
      </c>
      <c r="AG682" s="15" t="s">
        <v>192</v>
      </c>
      <c r="AH682" s="15"/>
    </row>
    <row r="683" spans="1:34" s="4" customFormat="1" x14ac:dyDescent="0.25">
      <c r="A683" s="16">
        <v>891780251</v>
      </c>
      <c r="B683" s="16" t="s">
        <v>54</v>
      </c>
      <c r="C683" s="14" t="s">
        <v>57</v>
      </c>
      <c r="D683" s="16" t="s">
        <v>60</v>
      </c>
      <c r="E683" s="1" t="s">
        <v>4503</v>
      </c>
      <c r="F683" s="16" t="s">
        <v>61</v>
      </c>
      <c r="G683" s="1" t="s">
        <v>69</v>
      </c>
      <c r="H683" s="1" t="s">
        <v>4465</v>
      </c>
      <c r="I683" s="9">
        <v>12000000</v>
      </c>
      <c r="J683" s="94"/>
      <c r="K683" s="2"/>
      <c r="L683" s="2"/>
      <c r="M683" s="40">
        <f t="shared" si="29"/>
        <v>12000000</v>
      </c>
      <c r="N683" s="1">
        <v>35428989</v>
      </c>
      <c r="O683" s="1" t="s">
        <v>4504</v>
      </c>
      <c r="P683" s="1" t="s">
        <v>4339</v>
      </c>
      <c r="Q683" s="3">
        <v>45070</v>
      </c>
      <c r="R683" s="3">
        <v>45070</v>
      </c>
      <c r="S683" s="3">
        <v>45174</v>
      </c>
      <c r="T683" s="35"/>
      <c r="U683" s="3"/>
      <c r="V683" s="3"/>
      <c r="W683" s="50"/>
      <c r="X683" s="9">
        <v>0</v>
      </c>
      <c r="Y683" s="9">
        <v>12000000</v>
      </c>
      <c r="Z683" s="34">
        <v>0</v>
      </c>
      <c r="AA683" s="1">
        <v>12564670</v>
      </c>
      <c r="AB683" s="1" t="s">
        <v>2466</v>
      </c>
      <c r="AC683" s="1"/>
      <c r="AD683" s="1"/>
      <c r="AE683" s="3"/>
      <c r="AF683" s="194" t="s">
        <v>4505</v>
      </c>
      <c r="AG683" s="15" t="s">
        <v>192</v>
      </c>
      <c r="AH683" s="15" t="s">
        <v>192</v>
      </c>
    </row>
    <row r="684" spans="1:34" s="4" customFormat="1" x14ac:dyDescent="0.25">
      <c r="A684" s="16">
        <v>891780252</v>
      </c>
      <c r="B684" s="16" t="s">
        <v>54</v>
      </c>
      <c r="C684" s="14" t="s">
        <v>57</v>
      </c>
      <c r="D684" s="16" t="s">
        <v>60</v>
      </c>
      <c r="E684" s="1" t="s">
        <v>4506</v>
      </c>
      <c r="F684" s="16" t="s">
        <v>61</v>
      </c>
      <c r="G684" s="1" t="s">
        <v>69</v>
      </c>
      <c r="H684" s="1" t="s">
        <v>4465</v>
      </c>
      <c r="I684" s="9">
        <v>310000000</v>
      </c>
      <c r="J684" s="94"/>
      <c r="K684" s="2"/>
      <c r="L684" s="2"/>
      <c r="M684" s="40">
        <f t="shared" si="29"/>
        <v>310000000</v>
      </c>
      <c r="N684" s="1" t="s">
        <v>4507</v>
      </c>
      <c r="O684" s="1" t="s">
        <v>4508</v>
      </c>
      <c r="P684" s="1" t="s">
        <v>4343</v>
      </c>
      <c r="Q684" s="3">
        <v>45072</v>
      </c>
      <c r="R684" s="3">
        <v>45072</v>
      </c>
      <c r="S684" s="3">
        <v>45195</v>
      </c>
      <c r="T684" s="35"/>
      <c r="U684" s="3"/>
      <c r="V684" s="3"/>
      <c r="W684" s="50"/>
      <c r="X684" s="9">
        <v>0</v>
      </c>
      <c r="Y684" s="9">
        <v>310000000</v>
      </c>
      <c r="Z684" s="34">
        <v>0</v>
      </c>
      <c r="AA684" s="1">
        <v>12564670</v>
      </c>
      <c r="AB684" s="1" t="s">
        <v>2466</v>
      </c>
      <c r="AC684" s="1"/>
      <c r="AD684" s="1"/>
      <c r="AE684" s="3"/>
      <c r="AF684" s="194" t="s">
        <v>4509</v>
      </c>
      <c r="AG684" s="15" t="s">
        <v>192</v>
      </c>
      <c r="AH684" s="15" t="s">
        <v>192</v>
      </c>
    </row>
    <row r="685" spans="1:34" s="4" customFormat="1" x14ac:dyDescent="0.25">
      <c r="A685" s="16">
        <v>891780253</v>
      </c>
      <c r="B685" s="16" t="s">
        <v>54</v>
      </c>
      <c r="C685" s="14" t="s">
        <v>57</v>
      </c>
      <c r="D685" s="16" t="s">
        <v>60</v>
      </c>
      <c r="E685" s="1" t="s">
        <v>4510</v>
      </c>
      <c r="F685" s="16" t="s">
        <v>61</v>
      </c>
      <c r="G685" s="1" t="s">
        <v>69</v>
      </c>
      <c r="H685" s="1" t="s">
        <v>4465</v>
      </c>
      <c r="I685" s="9">
        <v>9993788</v>
      </c>
      <c r="J685" s="94"/>
      <c r="K685" s="2"/>
      <c r="L685" s="2"/>
      <c r="M685" s="40">
        <f t="shared" si="29"/>
        <v>9993788</v>
      </c>
      <c r="N685" s="1">
        <v>1082886506</v>
      </c>
      <c r="O685" s="1" t="s">
        <v>4511</v>
      </c>
      <c r="P685" s="1" t="s">
        <v>4347</v>
      </c>
      <c r="Q685" s="3">
        <v>45076</v>
      </c>
      <c r="R685" s="3">
        <v>45076</v>
      </c>
      <c r="S685" s="3">
        <v>45174</v>
      </c>
      <c r="T685" s="35"/>
      <c r="U685" s="3"/>
      <c r="V685" s="3"/>
      <c r="W685" s="50"/>
      <c r="X685" s="9">
        <v>0</v>
      </c>
      <c r="Y685" s="9">
        <v>9993788</v>
      </c>
      <c r="Z685" s="34">
        <v>0</v>
      </c>
      <c r="AA685" s="1">
        <v>55313591</v>
      </c>
      <c r="AB685" s="1" t="s">
        <v>4491</v>
      </c>
      <c r="AC685" s="1"/>
      <c r="AD685" s="1"/>
      <c r="AE685" s="3"/>
      <c r="AF685" s="194" t="s">
        <v>4512</v>
      </c>
      <c r="AG685" s="15" t="s">
        <v>192</v>
      </c>
      <c r="AH685" s="15"/>
    </row>
    <row r="686" spans="1:34" s="4" customFormat="1" x14ac:dyDescent="0.25">
      <c r="A686" s="16">
        <v>891780254</v>
      </c>
      <c r="B686" s="16" t="s">
        <v>54</v>
      </c>
      <c r="C686" s="14" t="s">
        <v>57</v>
      </c>
      <c r="D686" s="16" t="s">
        <v>60</v>
      </c>
      <c r="E686" s="1" t="s">
        <v>4513</v>
      </c>
      <c r="F686" s="16" t="s">
        <v>61</v>
      </c>
      <c r="G686" s="1" t="s">
        <v>69</v>
      </c>
      <c r="H686" s="1" t="s">
        <v>4465</v>
      </c>
      <c r="I686" s="9">
        <v>9900000</v>
      </c>
      <c r="J686" s="94"/>
      <c r="K686" s="2"/>
      <c r="L686" s="2"/>
      <c r="M686" s="40">
        <f t="shared" si="29"/>
        <v>9900000</v>
      </c>
      <c r="N686" s="1">
        <v>1112967100</v>
      </c>
      <c r="O686" s="1" t="s">
        <v>4514</v>
      </c>
      <c r="P686" s="1" t="s">
        <v>4351</v>
      </c>
      <c r="Q686" s="3">
        <v>45076</v>
      </c>
      <c r="R686" s="3">
        <v>45076</v>
      </c>
      <c r="S686" s="3">
        <v>45174</v>
      </c>
      <c r="T686" s="35"/>
      <c r="U686" s="3"/>
      <c r="V686" s="3"/>
      <c r="W686" s="50"/>
      <c r="X686" s="9">
        <v>0</v>
      </c>
      <c r="Y686" s="9">
        <v>9900000</v>
      </c>
      <c r="Z686" s="34">
        <v>0</v>
      </c>
      <c r="AA686" s="1">
        <v>7629414</v>
      </c>
      <c r="AB686" s="1" t="s">
        <v>4472</v>
      </c>
      <c r="AC686" s="1"/>
      <c r="AD686" s="1"/>
      <c r="AE686" s="3"/>
      <c r="AF686" s="194" t="s">
        <v>4515</v>
      </c>
      <c r="AG686" s="15" t="s">
        <v>192</v>
      </c>
      <c r="AH686" s="15" t="s">
        <v>192</v>
      </c>
    </row>
    <row r="687" spans="1:34" s="4" customFormat="1" x14ac:dyDescent="0.25">
      <c r="A687" s="16">
        <v>891780255</v>
      </c>
      <c r="B687" s="16" t="s">
        <v>54</v>
      </c>
      <c r="C687" s="14" t="s">
        <v>57</v>
      </c>
      <c r="D687" s="16" t="s">
        <v>60</v>
      </c>
      <c r="E687" s="1" t="s">
        <v>4516</v>
      </c>
      <c r="F687" s="16" t="s">
        <v>61</v>
      </c>
      <c r="G687" s="1" t="s">
        <v>69</v>
      </c>
      <c r="H687" s="1" t="s">
        <v>4465</v>
      </c>
      <c r="I687" s="9">
        <v>222378033</v>
      </c>
      <c r="J687" s="94"/>
      <c r="K687" s="2"/>
      <c r="L687" s="2"/>
      <c r="M687" s="40">
        <f t="shared" si="29"/>
        <v>222378033</v>
      </c>
      <c r="N687" s="1" t="s">
        <v>4517</v>
      </c>
      <c r="O687" s="1" t="s">
        <v>4518</v>
      </c>
      <c r="P687" s="1" t="s">
        <v>4355</v>
      </c>
      <c r="Q687" s="3">
        <v>45077</v>
      </c>
      <c r="R687" s="3">
        <v>45082</v>
      </c>
      <c r="S687" s="3">
        <v>45112</v>
      </c>
      <c r="T687" s="35"/>
      <c r="U687" s="3"/>
      <c r="V687" s="3"/>
      <c r="W687" s="50"/>
      <c r="X687" s="9">
        <v>0</v>
      </c>
      <c r="Y687" s="9">
        <v>222378033</v>
      </c>
      <c r="Z687" s="34">
        <v>0</v>
      </c>
      <c r="AA687" s="1">
        <v>12564670</v>
      </c>
      <c r="AB687" s="1" t="s">
        <v>2466</v>
      </c>
      <c r="AC687" s="1"/>
      <c r="AD687" s="1"/>
      <c r="AE687" s="3">
        <v>45082</v>
      </c>
      <c r="AF687" s="194" t="s">
        <v>4519</v>
      </c>
      <c r="AG687" s="15" t="s">
        <v>192</v>
      </c>
      <c r="AH687" s="15" t="s">
        <v>191</v>
      </c>
    </row>
    <row r="688" spans="1:34" s="4" customFormat="1" x14ac:dyDescent="0.25">
      <c r="A688" s="16">
        <v>891780111</v>
      </c>
      <c r="B688" s="16" t="s">
        <v>54</v>
      </c>
      <c r="C688" s="14" t="s">
        <v>57</v>
      </c>
      <c r="D688" s="16" t="s">
        <v>60</v>
      </c>
      <c r="E688" s="1" t="s">
        <v>4520</v>
      </c>
      <c r="F688" s="16" t="s">
        <v>61</v>
      </c>
      <c r="G688" s="1" t="s">
        <v>69</v>
      </c>
      <c r="H688" s="1" t="s">
        <v>4465</v>
      </c>
      <c r="I688" s="9">
        <v>35000000</v>
      </c>
      <c r="J688" s="94"/>
      <c r="K688" s="2"/>
      <c r="L688" s="2"/>
      <c r="M688" s="40">
        <f t="shared" si="29"/>
        <v>35000000</v>
      </c>
      <c r="N688" s="1" t="s">
        <v>4521</v>
      </c>
      <c r="O688" s="1" t="s">
        <v>4522</v>
      </c>
      <c r="P688" s="1" t="s">
        <v>4523</v>
      </c>
      <c r="Q688" s="3">
        <v>45083</v>
      </c>
      <c r="R688" s="3">
        <v>45091</v>
      </c>
      <c r="S688" s="3">
        <v>45183</v>
      </c>
      <c r="T688" s="35"/>
      <c r="U688" s="3"/>
      <c r="V688" s="3"/>
      <c r="W688" s="50"/>
      <c r="X688" s="9">
        <v>0</v>
      </c>
      <c r="Y688" s="9">
        <v>35000000</v>
      </c>
      <c r="Z688" s="34">
        <v>0</v>
      </c>
      <c r="AA688" s="1">
        <v>7629414</v>
      </c>
      <c r="AB688" s="1" t="s">
        <v>4472</v>
      </c>
      <c r="AC688" s="1"/>
      <c r="AD688" s="1"/>
      <c r="AE688" s="3">
        <v>45091</v>
      </c>
      <c r="AF688" s="194" t="s">
        <v>4524</v>
      </c>
      <c r="AG688" s="15" t="s">
        <v>192</v>
      </c>
      <c r="AH688" s="15" t="s">
        <v>191</v>
      </c>
    </row>
    <row r="689" spans="1:34" s="4" customFormat="1" x14ac:dyDescent="0.25">
      <c r="A689" s="16">
        <v>891780111</v>
      </c>
      <c r="B689" s="16" t="s">
        <v>54</v>
      </c>
      <c r="C689" s="14" t="s">
        <v>57</v>
      </c>
      <c r="D689" s="16" t="s">
        <v>60</v>
      </c>
      <c r="E689" s="1" t="s">
        <v>4525</v>
      </c>
      <c r="F689" s="16" t="s">
        <v>61</v>
      </c>
      <c r="G689" s="1" t="s">
        <v>69</v>
      </c>
      <c r="H689" s="1" t="s">
        <v>4465</v>
      </c>
      <c r="I689" s="9">
        <v>237702500</v>
      </c>
      <c r="J689" s="94"/>
      <c r="K689" s="2"/>
      <c r="L689" s="2"/>
      <c r="M689" s="40">
        <f t="shared" si="29"/>
        <v>237702500</v>
      </c>
      <c r="N689" s="1" t="s">
        <v>4526</v>
      </c>
      <c r="O689" s="1" t="s">
        <v>4527</v>
      </c>
      <c r="P689" s="1" t="s">
        <v>4528</v>
      </c>
      <c r="Q689" s="3">
        <v>45084</v>
      </c>
      <c r="R689" s="3">
        <v>45085</v>
      </c>
      <c r="S689" s="3">
        <v>45177</v>
      </c>
      <c r="T689" s="35"/>
      <c r="U689" s="3"/>
      <c r="V689" s="3"/>
      <c r="W689" s="50"/>
      <c r="X689" s="9">
        <v>0</v>
      </c>
      <c r="Y689" s="9">
        <v>237702500</v>
      </c>
      <c r="Z689" s="34">
        <v>0</v>
      </c>
      <c r="AA689" s="1">
        <v>12564670</v>
      </c>
      <c r="AB689" s="1" t="s">
        <v>2466</v>
      </c>
      <c r="AC689" s="1"/>
      <c r="AD689" s="1"/>
      <c r="AE689" s="3">
        <v>45085</v>
      </c>
      <c r="AF689" s="194" t="s">
        <v>4529</v>
      </c>
      <c r="AG689" s="15" t="s">
        <v>192</v>
      </c>
      <c r="AH689" s="15" t="s">
        <v>191</v>
      </c>
    </row>
    <row r="690" spans="1:34" s="4" customFormat="1" x14ac:dyDescent="0.25">
      <c r="A690" s="16">
        <v>891780111</v>
      </c>
      <c r="B690" s="16" t="s">
        <v>54</v>
      </c>
      <c r="C690" s="14" t="s">
        <v>57</v>
      </c>
      <c r="D690" s="16" t="s">
        <v>60</v>
      </c>
      <c r="E690" s="1" t="s">
        <v>4530</v>
      </c>
      <c r="F690" s="16" t="s">
        <v>61</v>
      </c>
      <c r="G690" s="1" t="s">
        <v>69</v>
      </c>
      <c r="H690" s="1" t="s">
        <v>4465</v>
      </c>
      <c r="I690" s="9">
        <v>12000000</v>
      </c>
      <c r="J690" s="94"/>
      <c r="K690" s="2"/>
      <c r="L690" s="2"/>
      <c r="M690" s="40">
        <f t="shared" si="29"/>
        <v>12000000</v>
      </c>
      <c r="N690" s="1">
        <v>1022433875</v>
      </c>
      <c r="O690" s="1" t="s">
        <v>4531</v>
      </c>
      <c r="P690" s="1" t="s">
        <v>4532</v>
      </c>
      <c r="Q690" s="3">
        <v>45085</v>
      </c>
      <c r="R690" s="3">
        <v>45085</v>
      </c>
      <c r="S690" s="3">
        <v>45174</v>
      </c>
      <c r="T690" s="35"/>
      <c r="U690" s="3"/>
      <c r="V690" s="3"/>
      <c r="W690" s="50"/>
      <c r="X690" s="9">
        <v>0</v>
      </c>
      <c r="Y690" s="9">
        <v>12000000</v>
      </c>
      <c r="Z690" s="34">
        <v>0</v>
      </c>
      <c r="AA690" s="1">
        <v>12564670</v>
      </c>
      <c r="AB690" s="1" t="s">
        <v>2466</v>
      </c>
      <c r="AC690" s="1"/>
      <c r="AD690" s="1"/>
      <c r="AE690" s="3"/>
      <c r="AF690" s="194" t="s">
        <v>4533</v>
      </c>
      <c r="AG690" s="15" t="s">
        <v>192</v>
      </c>
      <c r="AH690" s="15" t="s">
        <v>192</v>
      </c>
    </row>
    <row r="691" spans="1:34" s="4" customFormat="1" x14ac:dyDescent="0.25">
      <c r="A691" s="16">
        <v>891780111</v>
      </c>
      <c r="B691" s="16" t="s">
        <v>54</v>
      </c>
      <c r="C691" s="14" t="s">
        <v>57</v>
      </c>
      <c r="D691" s="16" t="s">
        <v>60</v>
      </c>
      <c r="E691" s="1" t="s">
        <v>4534</v>
      </c>
      <c r="F691" s="16" t="s">
        <v>61</v>
      </c>
      <c r="G691" s="1" t="s">
        <v>69</v>
      </c>
      <c r="H691" s="1" t="s">
        <v>4535</v>
      </c>
      <c r="I691" s="9">
        <v>147866000</v>
      </c>
      <c r="J691" s="94"/>
      <c r="K691" s="2"/>
      <c r="L691" s="2"/>
      <c r="M691" s="40">
        <f t="shared" si="29"/>
        <v>147866000</v>
      </c>
      <c r="N691" s="1" t="s">
        <v>4536</v>
      </c>
      <c r="O691" s="1" t="s">
        <v>4537</v>
      </c>
      <c r="P691" s="1" t="s">
        <v>4538</v>
      </c>
      <c r="Q691" s="3">
        <v>45085</v>
      </c>
      <c r="R691" s="3">
        <v>45091</v>
      </c>
      <c r="S691" s="3">
        <v>45097</v>
      </c>
      <c r="T691" s="35"/>
      <c r="U691" s="3"/>
      <c r="V691" s="3"/>
      <c r="W691" s="50"/>
      <c r="X691" s="9">
        <v>0</v>
      </c>
      <c r="Y691" s="9">
        <v>147866000</v>
      </c>
      <c r="Z691" s="34">
        <v>0</v>
      </c>
      <c r="AA691" s="1">
        <v>12564670</v>
      </c>
      <c r="AB691" s="1" t="s">
        <v>2466</v>
      </c>
      <c r="AC691" s="1"/>
      <c r="AD691" s="1"/>
      <c r="AE691" s="3">
        <v>45091</v>
      </c>
      <c r="AF691" s="194" t="s">
        <v>4539</v>
      </c>
      <c r="AG691" s="15" t="s">
        <v>192</v>
      </c>
      <c r="AH691" s="15" t="s">
        <v>191</v>
      </c>
    </row>
    <row r="692" spans="1:34" s="4" customFormat="1" x14ac:dyDescent="0.25">
      <c r="A692" s="16">
        <v>891780111</v>
      </c>
      <c r="B692" s="16" t="s">
        <v>54</v>
      </c>
      <c r="C692" s="14" t="s">
        <v>57</v>
      </c>
      <c r="D692" s="16" t="s">
        <v>60</v>
      </c>
      <c r="E692" s="1" t="s">
        <v>4540</v>
      </c>
      <c r="F692" s="16" t="s">
        <v>61</v>
      </c>
      <c r="G692" s="1" t="s">
        <v>69</v>
      </c>
      <c r="H692" s="1" t="s">
        <v>4465</v>
      </c>
      <c r="I692" s="9">
        <v>16000000</v>
      </c>
      <c r="J692" s="94"/>
      <c r="K692" s="2"/>
      <c r="L692" s="2"/>
      <c r="M692" s="40">
        <f t="shared" si="29"/>
        <v>16000000</v>
      </c>
      <c r="N692" s="1">
        <v>80095537</v>
      </c>
      <c r="O692" s="1" t="s">
        <v>4541</v>
      </c>
      <c r="P692" s="1" t="s">
        <v>4542</v>
      </c>
      <c r="Q692" s="3">
        <v>45091</v>
      </c>
      <c r="R692" s="3">
        <v>45092</v>
      </c>
      <c r="S692" s="3">
        <v>45174</v>
      </c>
      <c r="T692" s="35"/>
      <c r="U692" s="3"/>
      <c r="V692" s="3"/>
      <c r="W692" s="50">
        <v>45121</v>
      </c>
      <c r="X692" s="9">
        <v>0</v>
      </c>
      <c r="Y692" s="9">
        <v>16000000</v>
      </c>
      <c r="Z692" s="34">
        <v>0</v>
      </c>
      <c r="AA692" s="1">
        <v>12564670</v>
      </c>
      <c r="AB692" s="1" t="s">
        <v>2466</v>
      </c>
      <c r="AC692" s="1"/>
      <c r="AD692" s="1"/>
      <c r="AE692" s="3"/>
      <c r="AF692" s="194" t="s">
        <v>4543</v>
      </c>
      <c r="AG692" s="15" t="s">
        <v>192</v>
      </c>
      <c r="AH692" s="15" t="s">
        <v>192</v>
      </c>
    </row>
    <row r="693" spans="1:34" s="4" customFormat="1" x14ac:dyDescent="0.25">
      <c r="A693" s="16">
        <v>891780112</v>
      </c>
      <c r="B693" s="16" t="s">
        <v>54</v>
      </c>
      <c r="C693" s="14" t="s">
        <v>57</v>
      </c>
      <c r="D693" s="16" t="s">
        <v>60</v>
      </c>
      <c r="E693" s="1" t="s">
        <v>4544</v>
      </c>
      <c r="F693" s="16" t="s">
        <v>61</v>
      </c>
      <c r="G693" s="1" t="s">
        <v>69</v>
      </c>
      <c r="H693" s="1" t="s">
        <v>4465</v>
      </c>
      <c r="I693" s="9">
        <v>20000000</v>
      </c>
      <c r="J693" s="94">
        <v>1</v>
      </c>
      <c r="K693" s="2"/>
      <c r="L693" s="2">
        <v>17000000</v>
      </c>
      <c r="M693" s="40">
        <f t="shared" si="29"/>
        <v>3000000</v>
      </c>
      <c r="N693" s="1">
        <v>39048257</v>
      </c>
      <c r="O693" s="1" t="s">
        <v>4545</v>
      </c>
      <c r="P693" s="1" t="s">
        <v>4546</v>
      </c>
      <c r="Q693" s="3">
        <v>45092</v>
      </c>
      <c r="R693" s="3">
        <v>45092</v>
      </c>
      <c r="S693" s="3">
        <v>45229</v>
      </c>
      <c r="T693" s="35"/>
      <c r="U693" s="3"/>
      <c r="V693" s="3"/>
      <c r="W693" s="50">
        <v>45113</v>
      </c>
      <c r="X693" s="9">
        <v>0</v>
      </c>
      <c r="Y693" s="9">
        <v>3000000</v>
      </c>
      <c r="Z693" s="34">
        <v>0</v>
      </c>
      <c r="AA693" s="1">
        <v>12564670</v>
      </c>
      <c r="AB693" s="1" t="s">
        <v>2466</v>
      </c>
      <c r="AC693" s="1"/>
      <c r="AD693" s="1"/>
      <c r="AE693" s="3"/>
      <c r="AF693" s="194" t="s">
        <v>4547</v>
      </c>
      <c r="AG693" s="15" t="s">
        <v>192</v>
      </c>
      <c r="AH693" s="15" t="s">
        <v>192</v>
      </c>
    </row>
    <row r="694" spans="1:34" s="4" customFormat="1" x14ac:dyDescent="0.25">
      <c r="A694" s="16">
        <v>891780113</v>
      </c>
      <c r="B694" s="16" t="s">
        <v>54</v>
      </c>
      <c r="C694" s="14" t="s">
        <v>57</v>
      </c>
      <c r="D694" s="16" t="s">
        <v>60</v>
      </c>
      <c r="E694" s="1" t="s">
        <v>4548</v>
      </c>
      <c r="F694" s="16" t="s">
        <v>61</v>
      </c>
      <c r="G694" s="1" t="s">
        <v>69</v>
      </c>
      <c r="H694" s="1" t="s">
        <v>4465</v>
      </c>
      <c r="I694" s="9">
        <v>87269138</v>
      </c>
      <c r="J694" s="94"/>
      <c r="K694" s="2"/>
      <c r="L694" s="2"/>
      <c r="M694" s="40">
        <f t="shared" si="29"/>
        <v>87269138</v>
      </c>
      <c r="N694" s="1" t="s">
        <v>4549</v>
      </c>
      <c r="O694" s="1" t="s">
        <v>4550</v>
      </c>
      <c r="P694" s="1" t="s">
        <v>4551</v>
      </c>
      <c r="Q694" s="3">
        <v>45097</v>
      </c>
      <c r="R694" s="3">
        <v>45113</v>
      </c>
      <c r="S694" s="3">
        <v>45156</v>
      </c>
      <c r="T694" s="35"/>
      <c r="U694" s="3"/>
      <c r="V694" s="3"/>
      <c r="W694" s="50"/>
      <c r="X694" s="9">
        <v>0</v>
      </c>
      <c r="Y694" s="9">
        <v>87269138</v>
      </c>
      <c r="Z694" s="34">
        <v>0</v>
      </c>
      <c r="AA694" s="1">
        <v>12564670</v>
      </c>
      <c r="AB694" s="1" t="s">
        <v>2466</v>
      </c>
      <c r="AC694" s="1"/>
      <c r="AD694" s="1"/>
      <c r="AE694" s="3">
        <v>45117</v>
      </c>
      <c r="AF694" s="194" t="s">
        <v>4552</v>
      </c>
      <c r="AG694" s="15" t="s">
        <v>192</v>
      </c>
      <c r="AH694" s="15" t="s">
        <v>191</v>
      </c>
    </row>
    <row r="695" spans="1:34" s="4" customFormat="1" x14ac:dyDescent="0.25">
      <c r="A695" s="16">
        <v>891780113</v>
      </c>
      <c r="B695" s="16" t="s">
        <v>54</v>
      </c>
      <c r="C695" s="14" t="s">
        <v>57</v>
      </c>
      <c r="D695" s="16" t="s">
        <v>60</v>
      </c>
      <c r="E695" s="1" t="s">
        <v>4553</v>
      </c>
      <c r="F695" s="16" t="s">
        <v>61</v>
      </c>
      <c r="G695" s="1" t="s">
        <v>69</v>
      </c>
      <c r="H695" s="1" t="s">
        <v>4465</v>
      </c>
      <c r="I695" s="9">
        <v>13200000</v>
      </c>
      <c r="J695" s="94"/>
      <c r="K695" s="2"/>
      <c r="L695" s="2"/>
      <c r="M695" s="40">
        <f t="shared" si="29"/>
        <v>13200000</v>
      </c>
      <c r="N695" s="1">
        <v>1083016785</v>
      </c>
      <c r="O695" s="1" t="s">
        <v>4554</v>
      </c>
      <c r="P695" s="1" t="s">
        <v>4555</v>
      </c>
      <c r="Q695" s="3">
        <v>45100</v>
      </c>
      <c r="R695" s="3">
        <v>45125</v>
      </c>
      <c r="S695" s="3">
        <v>45281</v>
      </c>
      <c r="T695" s="35"/>
      <c r="U695" s="3"/>
      <c r="V695" s="3"/>
      <c r="W695" s="50"/>
      <c r="X695" s="9">
        <v>0</v>
      </c>
      <c r="Y695" s="9">
        <v>13200000</v>
      </c>
      <c r="Z695" s="34">
        <v>0</v>
      </c>
      <c r="AA695" s="1">
        <v>85461685</v>
      </c>
      <c r="AB695" s="1" t="s">
        <v>4467</v>
      </c>
      <c r="AC695" s="1"/>
      <c r="AD695" s="1"/>
      <c r="AE695" s="3">
        <v>45125</v>
      </c>
      <c r="AF695" s="194" t="s">
        <v>4556</v>
      </c>
      <c r="AG695" s="15" t="s">
        <v>192</v>
      </c>
      <c r="AH695" s="15" t="s">
        <v>192</v>
      </c>
    </row>
    <row r="696" spans="1:34" s="4" customFormat="1" x14ac:dyDescent="0.25">
      <c r="A696" s="16">
        <v>891780113</v>
      </c>
      <c r="B696" s="16" t="s">
        <v>54</v>
      </c>
      <c r="C696" s="14" t="s">
        <v>57</v>
      </c>
      <c r="D696" s="16" t="s">
        <v>60</v>
      </c>
      <c r="E696" s="1" t="s">
        <v>4557</v>
      </c>
      <c r="F696" s="16" t="s">
        <v>61</v>
      </c>
      <c r="G696" s="1" t="s">
        <v>69</v>
      </c>
      <c r="H696" s="1" t="s">
        <v>4465</v>
      </c>
      <c r="I696" s="9">
        <v>100000000</v>
      </c>
      <c r="J696" s="94"/>
      <c r="K696" s="2"/>
      <c r="L696" s="2"/>
      <c r="M696" s="40">
        <f t="shared" si="29"/>
        <v>100000000</v>
      </c>
      <c r="N696" s="1" t="s">
        <v>4558</v>
      </c>
      <c r="O696" s="1" t="s">
        <v>4559</v>
      </c>
      <c r="P696" s="1" t="s">
        <v>4560</v>
      </c>
      <c r="Q696" s="3">
        <v>45100</v>
      </c>
      <c r="R696" s="3">
        <v>45107</v>
      </c>
      <c r="S696" s="3">
        <v>45473</v>
      </c>
      <c r="T696" s="35"/>
      <c r="U696" s="3"/>
      <c r="V696" s="3"/>
      <c r="W696" s="50"/>
      <c r="X696" s="9">
        <v>0</v>
      </c>
      <c r="Y696" s="9">
        <v>100000000</v>
      </c>
      <c r="Z696" s="34">
        <v>0</v>
      </c>
      <c r="AA696" s="1">
        <v>91156594</v>
      </c>
      <c r="AB696" s="1" t="s">
        <v>4290</v>
      </c>
      <c r="AC696" s="1" t="s">
        <v>192</v>
      </c>
      <c r="AD696" s="1" t="s">
        <v>192</v>
      </c>
      <c r="AE696" s="3">
        <v>45106</v>
      </c>
      <c r="AF696" s="194" t="s">
        <v>4561</v>
      </c>
      <c r="AG696" s="15" t="s">
        <v>192</v>
      </c>
      <c r="AH696" s="15" t="s">
        <v>191</v>
      </c>
    </row>
    <row r="697" spans="1:34" s="4" customFormat="1" x14ac:dyDescent="0.25">
      <c r="A697" s="16">
        <v>891780113</v>
      </c>
      <c r="B697" s="16" t="s">
        <v>54</v>
      </c>
      <c r="C697" s="14" t="s">
        <v>57</v>
      </c>
      <c r="D697" s="16" t="s">
        <v>60</v>
      </c>
      <c r="E697" s="1" t="s">
        <v>4562</v>
      </c>
      <c r="F697" s="16" t="s">
        <v>61</v>
      </c>
      <c r="G697" s="1" t="s">
        <v>69</v>
      </c>
      <c r="H697" s="1" t="s">
        <v>4465</v>
      </c>
      <c r="I697" s="9">
        <v>13200000</v>
      </c>
      <c r="J697" s="94"/>
      <c r="K697" s="2"/>
      <c r="L697" s="2"/>
      <c r="M697" s="40">
        <f t="shared" si="29"/>
        <v>13200000</v>
      </c>
      <c r="N697" s="1">
        <v>1103120398</v>
      </c>
      <c r="O697" s="1" t="s">
        <v>4563</v>
      </c>
      <c r="P697" s="1" t="s">
        <v>4564</v>
      </c>
      <c r="Q697" s="3">
        <v>45100</v>
      </c>
      <c r="R697" s="3">
        <v>45106</v>
      </c>
      <c r="S697" s="3">
        <v>45281</v>
      </c>
      <c r="T697" s="35"/>
      <c r="U697" s="3"/>
      <c r="V697" s="3"/>
      <c r="W697" s="50"/>
      <c r="X697" s="9">
        <v>0</v>
      </c>
      <c r="Y697" s="9">
        <v>13200000</v>
      </c>
      <c r="Z697" s="34">
        <v>0</v>
      </c>
      <c r="AA697" s="1">
        <v>85461685</v>
      </c>
      <c r="AB697" s="1" t="s">
        <v>4467</v>
      </c>
      <c r="AC697" s="1"/>
      <c r="AD697" s="1"/>
      <c r="AE697" s="3">
        <v>45106</v>
      </c>
      <c r="AF697" s="194" t="s">
        <v>4565</v>
      </c>
      <c r="AG697" s="15" t="s">
        <v>192</v>
      </c>
      <c r="AH697" s="15" t="s">
        <v>192</v>
      </c>
    </row>
    <row r="698" spans="1:34" s="4" customFormat="1" x14ac:dyDescent="0.25">
      <c r="A698" s="16">
        <v>891780114</v>
      </c>
      <c r="B698" s="16" t="s">
        <v>54</v>
      </c>
      <c r="C698" s="14" t="s">
        <v>57</v>
      </c>
      <c r="D698" s="16" t="s">
        <v>60</v>
      </c>
      <c r="E698" s="1" t="s">
        <v>4566</v>
      </c>
      <c r="F698" s="16" t="s">
        <v>61</v>
      </c>
      <c r="G698" s="1" t="s">
        <v>69</v>
      </c>
      <c r="H698" s="1" t="s">
        <v>4465</v>
      </c>
      <c r="I698" s="9">
        <v>61600000</v>
      </c>
      <c r="J698" s="94"/>
      <c r="K698" s="2"/>
      <c r="L698" s="2"/>
      <c r="M698" s="40">
        <f t="shared" si="29"/>
        <v>61600000</v>
      </c>
      <c r="N698" s="1" t="s">
        <v>4567</v>
      </c>
      <c r="O698" s="1" t="s">
        <v>4568</v>
      </c>
      <c r="P698" s="1" t="s">
        <v>4569</v>
      </c>
      <c r="Q698" s="3">
        <v>45104</v>
      </c>
      <c r="R698" s="3">
        <v>45105</v>
      </c>
      <c r="S698" s="3">
        <v>45197</v>
      </c>
      <c r="T698" s="35"/>
      <c r="U698" s="3"/>
      <c r="V698" s="3"/>
      <c r="W698" s="50"/>
      <c r="X698" s="9">
        <v>0</v>
      </c>
      <c r="Y698" s="9">
        <v>61600000</v>
      </c>
      <c r="Z698" s="34">
        <v>0</v>
      </c>
      <c r="AA698" s="1">
        <v>12564670</v>
      </c>
      <c r="AB698" s="1" t="s">
        <v>2466</v>
      </c>
      <c r="AC698" s="1"/>
      <c r="AD698" s="1"/>
      <c r="AE698" s="3">
        <v>45105</v>
      </c>
      <c r="AF698" s="194" t="s">
        <v>4570</v>
      </c>
      <c r="AG698" s="15" t="s">
        <v>192</v>
      </c>
      <c r="AH698" s="15" t="s">
        <v>191</v>
      </c>
    </row>
    <row r="699" spans="1:34" s="4" customFormat="1" x14ac:dyDescent="0.25">
      <c r="A699" s="16">
        <v>891780114</v>
      </c>
      <c r="B699" s="16" t="s">
        <v>54</v>
      </c>
      <c r="C699" s="14" t="s">
        <v>57</v>
      </c>
      <c r="D699" s="16" t="s">
        <v>60</v>
      </c>
      <c r="E699" s="1" t="s">
        <v>4571</v>
      </c>
      <c r="F699" s="16" t="s">
        <v>61</v>
      </c>
      <c r="G699" s="1" t="s">
        <v>69</v>
      </c>
      <c r="H699" s="1" t="s">
        <v>4465</v>
      </c>
      <c r="I699" s="9">
        <v>104615880</v>
      </c>
      <c r="J699" s="94"/>
      <c r="K699" s="2"/>
      <c r="L699" s="2"/>
      <c r="M699" s="40">
        <f t="shared" si="29"/>
        <v>104615880</v>
      </c>
      <c r="N699" s="1" t="s">
        <v>4572</v>
      </c>
      <c r="O699" s="1" t="s">
        <v>4573</v>
      </c>
      <c r="P699" s="1" t="s">
        <v>4574</v>
      </c>
      <c r="Q699" s="3">
        <v>45114</v>
      </c>
      <c r="R699" s="3">
        <v>45118</v>
      </c>
      <c r="S699" s="3">
        <v>45241</v>
      </c>
      <c r="T699" s="35"/>
      <c r="U699" s="3"/>
      <c r="V699" s="3"/>
      <c r="W699" s="50"/>
      <c r="X699" s="9">
        <v>0</v>
      </c>
      <c r="Y699" s="9">
        <v>104615880</v>
      </c>
      <c r="Z699" s="34">
        <v>0</v>
      </c>
      <c r="AA699" s="1">
        <v>5056184</v>
      </c>
      <c r="AB699" s="1" t="s">
        <v>4575</v>
      </c>
      <c r="AC699" s="1" t="s">
        <v>192</v>
      </c>
      <c r="AD699" s="1" t="s">
        <v>192</v>
      </c>
      <c r="AE699" s="3"/>
      <c r="AF699" s="194" t="s">
        <v>4576</v>
      </c>
      <c r="AG699" s="15" t="s">
        <v>192</v>
      </c>
      <c r="AH699" s="15" t="s">
        <v>191</v>
      </c>
    </row>
    <row r="700" spans="1:34" s="4" customFormat="1" x14ac:dyDescent="0.25">
      <c r="A700" s="16">
        <v>891780114</v>
      </c>
      <c r="B700" s="16" t="s">
        <v>54</v>
      </c>
      <c r="C700" s="14" t="s">
        <v>57</v>
      </c>
      <c r="D700" s="16" t="s">
        <v>60</v>
      </c>
      <c r="E700" s="1" t="s">
        <v>4577</v>
      </c>
      <c r="F700" s="16" t="s">
        <v>61</v>
      </c>
      <c r="G700" s="1" t="s">
        <v>69</v>
      </c>
      <c r="H700" s="1" t="s">
        <v>4465</v>
      </c>
      <c r="I700" s="9">
        <v>7495341</v>
      </c>
      <c r="J700" s="94"/>
      <c r="K700" s="2"/>
      <c r="L700" s="2"/>
      <c r="M700" s="40">
        <f t="shared" si="29"/>
        <v>7495341</v>
      </c>
      <c r="N700" s="1">
        <v>1083027986</v>
      </c>
      <c r="O700" s="1" t="s">
        <v>4578</v>
      </c>
      <c r="P700" s="1" t="s">
        <v>4579</v>
      </c>
      <c r="Q700" s="3">
        <v>45114</v>
      </c>
      <c r="R700" s="3">
        <v>45114</v>
      </c>
      <c r="S700" s="3">
        <v>45169</v>
      </c>
      <c r="T700" s="35"/>
      <c r="U700" s="3"/>
      <c r="V700" s="3"/>
      <c r="W700" s="50"/>
      <c r="X700" s="9">
        <v>0</v>
      </c>
      <c r="Y700" s="9">
        <v>7495341</v>
      </c>
      <c r="Z700" s="34">
        <v>0</v>
      </c>
      <c r="AA700" s="1">
        <v>7629414</v>
      </c>
      <c r="AB700" s="1" t="s">
        <v>4472</v>
      </c>
      <c r="AC700" s="1"/>
      <c r="AD700" s="1"/>
      <c r="AE700" s="3"/>
      <c r="AF700" s="194" t="s">
        <v>4580</v>
      </c>
      <c r="AG700" s="15" t="s">
        <v>192</v>
      </c>
      <c r="AH700" s="15" t="s">
        <v>192</v>
      </c>
    </row>
    <row r="701" spans="1:34" s="4" customFormat="1" x14ac:dyDescent="0.25">
      <c r="A701" s="16">
        <v>891780114</v>
      </c>
      <c r="B701" s="16" t="s">
        <v>54</v>
      </c>
      <c r="C701" s="14" t="s">
        <v>57</v>
      </c>
      <c r="D701" s="16" t="s">
        <v>60</v>
      </c>
      <c r="E701" s="1" t="s">
        <v>4581</v>
      </c>
      <c r="F701" s="16" t="s">
        <v>61</v>
      </c>
      <c r="G701" s="1" t="s">
        <v>69</v>
      </c>
      <c r="H701" s="1" t="s">
        <v>4465</v>
      </c>
      <c r="I701" s="9">
        <v>8584659</v>
      </c>
      <c r="J701" s="94"/>
      <c r="K701" s="2"/>
      <c r="L701" s="2"/>
      <c r="M701" s="40">
        <f t="shared" si="29"/>
        <v>8584659</v>
      </c>
      <c r="N701" s="1">
        <v>1045699393</v>
      </c>
      <c r="O701" s="1" t="s">
        <v>4582</v>
      </c>
      <c r="P701" s="1" t="s">
        <v>4583</v>
      </c>
      <c r="Q701" s="3">
        <v>45114</v>
      </c>
      <c r="R701" s="3">
        <v>45114</v>
      </c>
      <c r="S701" s="3">
        <v>45175</v>
      </c>
      <c r="T701" s="35"/>
      <c r="U701" s="3"/>
      <c r="V701" s="3"/>
      <c r="W701" s="50"/>
      <c r="X701" s="9">
        <v>0</v>
      </c>
      <c r="Y701" s="9">
        <v>8584659</v>
      </c>
      <c r="Z701" s="34">
        <v>0</v>
      </c>
      <c r="AA701" s="1">
        <v>7629414</v>
      </c>
      <c r="AB701" s="1" t="s">
        <v>4472</v>
      </c>
      <c r="AC701" s="1"/>
      <c r="AD701" s="1"/>
      <c r="AE701" s="3"/>
      <c r="AF701" s="194" t="s">
        <v>4584</v>
      </c>
      <c r="AG701" s="15" t="s">
        <v>192</v>
      </c>
      <c r="AH701" s="15" t="s">
        <v>192</v>
      </c>
    </row>
    <row r="702" spans="1:34" s="4" customFormat="1" x14ac:dyDescent="0.25">
      <c r="A702" s="16">
        <v>891780114</v>
      </c>
      <c r="B702" s="16" t="s">
        <v>54</v>
      </c>
      <c r="C702" s="14" t="s">
        <v>57</v>
      </c>
      <c r="D702" s="16" t="s">
        <v>60</v>
      </c>
      <c r="E702" s="1" t="s">
        <v>4585</v>
      </c>
      <c r="F702" s="16" t="s">
        <v>61</v>
      </c>
      <c r="G702" s="1" t="s">
        <v>69</v>
      </c>
      <c r="H702" s="1" t="s">
        <v>4465</v>
      </c>
      <c r="I702" s="9">
        <v>17000000</v>
      </c>
      <c r="J702" s="94"/>
      <c r="K702" s="2"/>
      <c r="L702" s="2"/>
      <c r="M702" s="40">
        <f t="shared" si="29"/>
        <v>17000000</v>
      </c>
      <c r="N702" s="1">
        <v>1083020695</v>
      </c>
      <c r="O702" s="1" t="s">
        <v>4586</v>
      </c>
      <c r="P702" s="1" t="s">
        <v>4587</v>
      </c>
      <c r="Q702" s="3">
        <v>45114</v>
      </c>
      <c r="R702" s="3">
        <v>45114</v>
      </c>
      <c r="S702" s="3">
        <v>45260</v>
      </c>
      <c r="T702" s="35"/>
      <c r="U702" s="3"/>
      <c r="V702" s="3"/>
      <c r="W702" s="50"/>
      <c r="X702" s="9">
        <v>0</v>
      </c>
      <c r="Y702" s="9">
        <v>17000000</v>
      </c>
      <c r="Z702" s="34">
        <v>0</v>
      </c>
      <c r="AA702" s="1">
        <v>12564670</v>
      </c>
      <c r="AB702" s="1" t="s">
        <v>2466</v>
      </c>
      <c r="AC702" s="1"/>
      <c r="AD702" s="1"/>
      <c r="AE702" s="3"/>
      <c r="AF702" s="194" t="s">
        <v>4588</v>
      </c>
      <c r="AG702" s="15" t="s">
        <v>192</v>
      </c>
      <c r="AH702" s="15" t="s">
        <v>192</v>
      </c>
    </row>
    <row r="703" spans="1:34" s="4" customFormat="1" x14ac:dyDescent="0.25">
      <c r="A703" s="16">
        <v>891780114</v>
      </c>
      <c r="B703" s="16" t="s">
        <v>54</v>
      </c>
      <c r="C703" s="14" t="s">
        <v>57</v>
      </c>
      <c r="D703" s="16" t="s">
        <v>60</v>
      </c>
      <c r="E703" s="1" t="s">
        <v>4589</v>
      </c>
      <c r="F703" s="16" t="s">
        <v>61</v>
      </c>
      <c r="G703" s="1" t="s">
        <v>69</v>
      </c>
      <c r="H703" s="1" t="s">
        <v>4465</v>
      </c>
      <c r="I703" s="9">
        <v>17000000</v>
      </c>
      <c r="J703" s="94"/>
      <c r="K703" s="2"/>
      <c r="L703" s="2"/>
      <c r="M703" s="40">
        <f t="shared" si="29"/>
        <v>17000000</v>
      </c>
      <c r="N703" s="1">
        <v>1083029075</v>
      </c>
      <c r="O703" s="1" t="s">
        <v>4590</v>
      </c>
      <c r="P703" s="1" t="s">
        <v>4591</v>
      </c>
      <c r="Q703" s="3">
        <v>45117</v>
      </c>
      <c r="R703" s="3">
        <v>45118</v>
      </c>
      <c r="S703" s="3">
        <v>45260</v>
      </c>
      <c r="T703" s="35"/>
      <c r="U703" s="3"/>
      <c r="V703" s="3"/>
      <c r="W703" s="50"/>
      <c r="X703" s="9">
        <v>0</v>
      </c>
      <c r="Y703" s="9">
        <v>17000000</v>
      </c>
      <c r="Z703" s="34">
        <v>0</v>
      </c>
      <c r="AA703" s="1">
        <v>12564670</v>
      </c>
      <c r="AB703" s="1" t="s">
        <v>2466</v>
      </c>
      <c r="AC703" s="1"/>
      <c r="AD703" s="1"/>
      <c r="AE703" s="3"/>
      <c r="AF703" s="194" t="s">
        <v>4592</v>
      </c>
      <c r="AG703" s="15" t="s">
        <v>192</v>
      </c>
      <c r="AH703" s="15" t="s">
        <v>192</v>
      </c>
    </row>
    <row r="704" spans="1:34" s="4" customFormat="1" x14ac:dyDescent="0.25">
      <c r="A704" s="16">
        <v>891780114</v>
      </c>
      <c r="B704" s="16" t="s">
        <v>54</v>
      </c>
      <c r="C704" s="14" t="s">
        <v>57</v>
      </c>
      <c r="D704" s="16" t="s">
        <v>60</v>
      </c>
      <c r="E704" s="1" t="s">
        <v>4593</v>
      </c>
      <c r="F704" s="16" t="s">
        <v>61</v>
      </c>
      <c r="G704" s="1" t="s">
        <v>69</v>
      </c>
      <c r="H704" s="1" t="s">
        <v>4465</v>
      </c>
      <c r="I704" s="9">
        <v>13800000</v>
      </c>
      <c r="J704" s="94"/>
      <c r="K704" s="2"/>
      <c r="L704" s="2"/>
      <c r="M704" s="40">
        <f t="shared" si="29"/>
        <v>13800000</v>
      </c>
      <c r="N704" s="1">
        <v>9738364</v>
      </c>
      <c r="O704" s="1" t="s">
        <v>4594</v>
      </c>
      <c r="P704" s="1" t="s">
        <v>4595</v>
      </c>
      <c r="Q704" s="3">
        <v>45119</v>
      </c>
      <c r="R704" s="3">
        <v>45119</v>
      </c>
      <c r="S704" s="3">
        <v>45153</v>
      </c>
      <c r="T704" s="35"/>
      <c r="U704" s="3"/>
      <c r="V704" s="3"/>
      <c r="W704" s="50"/>
      <c r="X704" s="9">
        <v>0</v>
      </c>
      <c r="Y704" s="9">
        <v>13800000</v>
      </c>
      <c r="Z704" s="34">
        <v>0</v>
      </c>
      <c r="AA704" s="1">
        <v>7629414</v>
      </c>
      <c r="AB704" s="1" t="s">
        <v>4472</v>
      </c>
      <c r="AC704" s="1"/>
      <c r="AD704" s="1"/>
      <c r="AE704" s="3"/>
      <c r="AF704" s="194" t="s">
        <v>4596</v>
      </c>
      <c r="AG704" s="15" t="s">
        <v>192</v>
      </c>
      <c r="AH704" s="15" t="s">
        <v>192</v>
      </c>
    </row>
    <row r="705" spans="1:34" s="4" customFormat="1" x14ac:dyDescent="0.25">
      <c r="A705" s="16">
        <v>891780114</v>
      </c>
      <c r="B705" s="16" t="s">
        <v>54</v>
      </c>
      <c r="C705" s="14" t="s">
        <v>57</v>
      </c>
      <c r="D705" s="16" t="s">
        <v>60</v>
      </c>
      <c r="E705" s="1" t="s">
        <v>4597</v>
      </c>
      <c r="F705" s="16" t="s">
        <v>61</v>
      </c>
      <c r="G705" s="1" t="s">
        <v>69</v>
      </c>
      <c r="H705" s="1" t="s">
        <v>4535</v>
      </c>
      <c r="I705" s="9">
        <v>24070103</v>
      </c>
      <c r="J705" s="94"/>
      <c r="K705" s="2"/>
      <c r="L705" s="2"/>
      <c r="M705" s="40">
        <f t="shared" si="29"/>
        <v>24070103</v>
      </c>
      <c r="N705" s="1" t="s">
        <v>4598</v>
      </c>
      <c r="O705" s="1" t="s">
        <v>4599</v>
      </c>
      <c r="P705" s="1" t="s">
        <v>4600</v>
      </c>
      <c r="Q705" s="3">
        <v>45119</v>
      </c>
      <c r="R705" s="3">
        <v>45125</v>
      </c>
      <c r="S705" s="3">
        <v>45248</v>
      </c>
      <c r="T705" s="35"/>
      <c r="U705" s="3"/>
      <c r="V705" s="3"/>
      <c r="W705" s="50"/>
      <c r="X705" s="9">
        <v>0</v>
      </c>
      <c r="Y705" s="9">
        <v>24070103</v>
      </c>
      <c r="Z705" s="34">
        <v>0</v>
      </c>
      <c r="AA705" s="1">
        <v>85461685</v>
      </c>
      <c r="AB705" s="1" t="s">
        <v>4467</v>
      </c>
      <c r="AC705" s="1"/>
      <c r="AD705" s="1"/>
      <c r="AE705" s="3">
        <v>45126</v>
      </c>
      <c r="AF705" s="194" t="s">
        <v>4601</v>
      </c>
      <c r="AG705" s="15" t="s">
        <v>192</v>
      </c>
      <c r="AH705" s="15" t="s">
        <v>191</v>
      </c>
    </row>
    <row r="706" spans="1:34" s="4" customFormat="1" x14ac:dyDescent="0.25">
      <c r="A706" s="16">
        <v>891780114</v>
      </c>
      <c r="B706" s="16" t="s">
        <v>54</v>
      </c>
      <c r="C706" s="14" t="s">
        <v>57</v>
      </c>
      <c r="D706" s="16" t="s">
        <v>60</v>
      </c>
      <c r="E706" s="1" t="s">
        <v>4602</v>
      </c>
      <c r="F706" s="16" t="s">
        <v>61</v>
      </c>
      <c r="G706" s="1" t="s">
        <v>69</v>
      </c>
      <c r="H706" s="1" t="s">
        <v>4465</v>
      </c>
      <c r="I706" s="9">
        <v>17000000</v>
      </c>
      <c r="J706" s="94"/>
      <c r="K706" s="2"/>
      <c r="L706" s="2"/>
      <c r="M706" s="40">
        <f t="shared" si="29"/>
        <v>17000000</v>
      </c>
      <c r="N706" s="1">
        <v>57299411</v>
      </c>
      <c r="O706" s="1" t="s">
        <v>4603</v>
      </c>
      <c r="P706" s="1" t="s">
        <v>4604</v>
      </c>
      <c r="Q706" s="3">
        <v>45119</v>
      </c>
      <c r="R706" s="3">
        <v>45120</v>
      </c>
      <c r="S706" s="3">
        <v>45260</v>
      </c>
      <c r="T706" s="35"/>
      <c r="U706" s="3"/>
      <c r="V706" s="3"/>
      <c r="W706" s="50"/>
      <c r="X706" s="9">
        <v>0</v>
      </c>
      <c r="Y706" s="9">
        <v>17000000</v>
      </c>
      <c r="Z706" s="34">
        <v>0</v>
      </c>
      <c r="AA706" s="1">
        <v>12564670</v>
      </c>
      <c r="AB706" s="1" t="s">
        <v>2466</v>
      </c>
      <c r="AC706" s="1"/>
      <c r="AD706" s="1"/>
      <c r="AE706" s="3"/>
      <c r="AF706" s="194" t="s">
        <v>4605</v>
      </c>
      <c r="AG706" s="15" t="s">
        <v>192</v>
      </c>
      <c r="AH706" s="15" t="s">
        <v>192</v>
      </c>
    </row>
    <row r="707" spans="1:34" s="4" customFormat="1" x14ac:dyDescent="0.25">
      <c r="A707" s="16">
        <v>891780114</v>
      </c>
      <c r="B707" s="16" t="s">
        <v>54</v>
      </c>
      <c r="C707" s="14" t="s">
        <v>57</v>
      </c>
      <c r="D707" s="16" t="s">
        <v>60</v>
      </c>
      <c r="E707" s="1" t="s">
        <v>4606</v>
      </c>
      <c r="F707" s="16" t="s">
        <v>61</v>
      </c>
      <c r="G707" s="1" t="s">
        <v>69</v>
      </c>
      <c r="H707" s="1" t="s">
        <v>4465</v>
      </c>
      <c r="I707" s="9">
        <v>17000000</v>
      </c>
      <c r="J707" s="94"/>
      <c r="K707" s="2"/>
      <c r="L707" s="2"/>
      <c r="M707" s="40">
        <f t="shared" si="29"/>
        <v>17000000</v>
      </c>
      <c r="N707" s="1">
        <v>1140877757</v>
      </c>
      <c r="O707" s="1" t="s">
        <v>4607</v>
      </c>
      <c r="P707" s="1" t="s">
        <v>4608</v>
      </c>
      <c r="Q707" s="3">
        <v>45119</v>
      </c>
      <c r="R707" s="3">
        <v>45120</v>
      </c>
      <c r="S707" s="3">
        <v>45260</v>
      </c>
      <c r="T707" s="35"/>
      <c r="U707" s="3"/>
      <c r="V707" s="3"/>
      <c r="W707" s="50"/>
      <c r="X707" s="9">
        <v>0</v>
      </c>
      <c r="Y707" s="9">
        <v>17000000</v>
      </c>
      <c r="Z707" s="34">
        <v>0</v>
      </c>
      <c r="AA707" s="1">
        <v>12564670</v>
      </c>
      <c r="AB707" s="1" t="s">
        <v>2466</v>
      </c>
      <c r="AC707" s="1"/>
      <c r="AD707" s="1"/>
      <c r="AE707" s="3"/>
      <c r="AF707" s="194" t="s">
        <v>4609</v>
      </c>
      <c r="AG707" s="15" t="s">
        <v>192</v>
      </c>
      <c r="AH707" s="15" t="s">
        <v>192</v>
      </c>
    </row>
    <row r="708" spans="1:34" s="4" customFormat="1" x14ac:dyDescent="0.25">
      <c r="A708" s="16">
        <v>891780114</v>
      </c>
      <c r="B708" s="16" t="s">
        <v>54</v>
      </c>
      <c r="C708" s="14" t="s">
        <v>57</v>
      </c>
      <c r="D708" s="16" t="s">
        <v>60</v>
      </c>
      <c r="E708" s="1" t="s">
        <v>4610</v>
      </c>
      <c r="F708" s="16" t="s">
        <v>61</v>
      </c>
      <c r="G708" s="1" t="s">
        <v>69</v>
      </c>
      <c r="H708" s="1" t="s">
        <v>4465</v>
      </c>
      <c r="I708" s="9">
        <v>11566596</v>
      </c>
      <c r="J708" s="94"/>
      <c r="K708" s="2"/>
      <c r="L708" s="2"/>
      <c r="M708" s="40">
        <f t="shared" si="29"/>
        <v>11566596</v>
      </c>
      <c r="N708" s="1">
        <v>10144321</v>
      </c>
      <c r="O708" s="1" t="s">
        <v>4611</v>
      </c>
      <c r="P708" s="1" t="s">
        <v>4612</v>
      </c>
      <c r="Q708" s="3">
        <v>45128</v>
      </c>
      <c r="R708" s="3">
        <v>45128</v>
      </c>
      <c r="S708" s="3">
        <v>45177</v>
      </c>
      <c r="T708" s="35"/>
      <c r="U708" s="3"/>
      <c r="V708" s="3"/>
      <c r="W708" s="50"/>
      <c r="X708" s="9">
        <v>0</v>
      </c>
      <c r="Y708" s="9">
        <v>11566596</v>
      </c>
      <c r="Z708" s="34">
        <v>0</v>
      </c>
      <c r="AA708" s="1">
        <v>7629414</v>
      </c>
      <c r="AB708" s="1" t="s">
        <v>4472</v>
      </c>
      <c r="AC708" s="1"/>
      <c r="AD708" s="1"/>
      <c r="AE708" s="3"/>
      <c r="AF708" s="194" t="s">
        <v>4613</v>
      </c>
      <c r="AG708" s="15" t="s">
        <v>192</v>
      </c>
      <c r="AH708" s="15" t="s">
        <v>192</v>
      </c>
    </row>
    <row r="709" spans="1:34" s="4" customFormat="1" x14ac:dyDescent="0.25">
      <c r="A709" s="16">
        <v>891780114</v>
      </c>
      <c r="B709" s="16" t="s">
        <v>54</v>
      </c>
      <c r="C709" s="14" t="s">
        <v>57</v>
      </c>
      <c r="D709" s="16" t="s">
        <v>60</v>
      </c>
      <c r="E709" s="1" t="s">
        <v>4614</v>
      </c>
      <c r="F709" s="16" t="s">
        <v>61</v>
      </c>
      <c r="G709" s="1" t="s">
        <v>69</v>
      </c>
      <c r="H709" s="1" t="s">
        <v>4465</v>
      </c>
      <c r="I709" s="9">
        <v>19535142</v>
      </c>
      <c r="J709" s="94"/>
      <c r="K709" s="2"/>
      <c r="L709" s="2"/>
      <c r="M709" s="40">
        <f t="shared" si="29"/>
        <v>19535142</v>
      </c>
      <c r="N709" s="1">
        <v>1116499850</v>
      </c>
      <c r="O709" s="1" t="s">
        <v>4615</v>
      </c>
      <c r="P709" s="1" t="s">
        <v>4616</v>
      </c>
      <c r="Q709" s="3">
        <v>45128</v>
      </c>
      <c r="R709" s="3">
        <v>45128</v>
      </c>
      <c r="S709" s="3">
        <v>45312</v>
      </c>
      <c r="T709" s="35"/>
      <c r="U709" s="3"/>
      <c r="V709" s="3"/>
      <c r="W709" s="50"/>
      <c r="X709" s="9">
        <v>0</v>
      </c>
      <c r="Y709" s="9">
        <v>19535142</v>
      </c>
      <c r="Z709" s="34">
        <v>0</v>
      </c>
      <c r="AA709" s="1">
        <v>8746547</v>
      </c>
      <c r="AB709" s="1" t="s">
        <v>4327</v>
      </c>
      <c r="AC709" s="1"/>
      <c r="AD709" s="1"/>
      <c r="AE709" s="3"/>
      <c r="AF709" s="194" t="s">
        <v>4617</v>
      </c>
      <c r="AG709" s="15" t="s">
        <v>192</v>
      </c>
      <c r="AH709" s="15" t="s">
        <v>192</v>
      </c>
    </row>
    <row r="710" spans="1:34" s="4" customFormat="1" x14ac:dyDescent="0.25">
      <c r="A710" s="16">
        <v>891780114</v>
      </c>
      <c r="B710" s="16" t="s">
        <v>54</v>
      </c>
      <c r="C710" s="14" t="s">
        <v>57</v>
      </c>
      <c r="D710" s="16" t="s">
        <v>60</v>
      </c>
      <c r="E710" s="1" t="s">
        <v>4618</v>
      </c>
      <c r="F710" s="16" t="s">
        <v>61</v>
      </c>
      <c r="G710" s="1" t="s">
        <v>69</v>
      </c>
      <c r="H710" s="1" t="s">
        <v>4465</v>
      </c>
      <c r="I710" s="9">
        <v>19535142</v>
      </c>
      <c r="J710" s="94"/>
      <c r="K710" s="2"/>
      <c r="L710" s="2"/>
      <c r="M710" s="40">
        <f t="shared" ref="M710:M772" si="30">I710+K710-L710</f>
        <v>19535142</v>
      </c>
      <c r="N710" s="1">
        <v>1081762923</v>
      </c>
      <c r="O710" s="1" t="s">
        <v>4619</v>
      </c>
      <c r="P710" s="1" t="s">
        <v>4620</v>
      </c>
      <c r="Q710" s="3">
        <v>45128</v>
      </c>
      <c r="R710" s="3">
        <v>45128</v>
      </c>
      <c r="S710" s="3">
        <v>45312</v>
      </c>
      <c r="T710" s="35"/>
      <c r="U710" s="3"/>
      <c r="V710" s="3"/>
      <c r="W710" s="50"/>
      <c r="X710" s="9">
        <v>0</v>
      </c>
      <c r="Y710" s="9">
        <v>19535142</v>
      </c>
      <c r="Z710" s="34">
        <v>0</v>
      </c>
      <c r="AA710" s="1">
        <v>8746547</v>
      </c>
      <c r="AB710" s="1" t="s">
        <v>4327</v>
      </c>
      <c r="AC710" s="1"/>
      <c r="AD710" s="1"/>
      <c r="AE710" s="3"/>
      <c r="AF710" s="194" t="s">
        <v>4621</v>
      </c>
      <c r="AG710" s="15" t="s">
        <v>192</v>
      </c>
      <c r="AH710" s="15" t="s">
        <v>192</v>
      </c>
    </row>
    <row r="711" spans="1:34" s="4" customFormat="1" x14ac:dyDescent="0.25">
      <c r="A711" s="16">
        <v>891780114</v>
      </c>
      <c r="B711" s="16" t="s">
        <v>54</v>
      </c>
      <c r="C711" s="14" t="s">
        <v>57</v>
      </c>
      <c r="D711" s="16" t="s">
        <v>60</v>
      </c>
      <c r="E711" s="1" t="s">
        <v>4622</v>
      </c>
      <c r="F711" s="16" t="s">
        <v>61</v>
      </c>
      <c r="G711" s="1" t="s">
        <v>69</v>
      </c>
      <c r="H711" s="1" t="s">
        <v>4465</v>
      </c>
      <c r="I711" s="9">
        <v>26046856</v>
      </c>
      <c r="J711" s="94"/>
      <c r="K711" s="2"/>
      <c r="L711" s="2"/>
      <c r="M711" s="40">
        <f t="shared" si="30"/>
        <v>26046856</v>
      </c>
      <c r="N711" s="1">
        <v>1082995339</v>
      </c>
      <c r="O711" s="1" t="s">
        <v>4325</v>
      </c>
      <c r="P711" s="1" t="s">
        <v>4623</v>
      </c>
      <c r="Q711" s="3">
        <v>45128</v>
      </c>
      <c r="R711" s="3">
        <v>45128</v>
      </c>
      <c r="S711" s="3">
        <v>45350</v>
      </c>
      <c r="T711" s="35"/>
      <c r="U711" s="3"/>
      <c r="V711" s="3"/>
      <c r="W711" s="50"/>
      <c r="X711" s="9">
        <v>0</v>
      </c>
      <c r="Y711" s="9">
        <v>26046856</v>
      </c>
      <c r="Z711" s="34">
        <v>0</v>
      </c>
      <c r="AA711" s="1">
        <v>8746547</v>
      </c>
      <c r="AB711" s="1" t="s">
        <v>4327</v>
      </c>
      <c r="AC711" s="1"/>
      <c r="AD711" s="1"/>
      <c r="AE711" s="3"/>
      <c r="AF711" s="194" t="s">
        <v>4624</v>
      </c>
      <c r="AG711" s="15" t="s">
        <v>192</v>
      </c>
      <c r="AH711" s="15" t="s">
        <v>192</v>
      </c>
    </row>
    <row r="712" spans="1:34" s="4" customFormat="1" x14ac:dyDescent="0.25">
      <c r="A712" s="16">
        <v>891780114</v>
      </c>
      <c r="B712" s="16" t="s">
        <v>54</v>
      </c>
      <c r="C712" s="14" t="s">
        <v>57</v>
      </c>
      <c r="D712" s="16" t="s">
        <v>60</v>
      </c>
      <c r="E712" s="1" t="s">
        <v>4625</v>
      </c>
      <c r="F712" s="16" t="s">
        <v>61</v>
      </c>
      <c r="G712" s="1" t="s">
        <v>69</v>
      </c>
      <c r="H712" s="1" t="s">
        <v>4465</v>
      </c>
      <c r="I712" s="9">
        <v>19535142</v>
      </c>
      <c r="J712" s="94"/>
      <c r="K712" s="2"/>
      <c r="L712" s="2"/>
      <c r="M712" s="40">
        <f t="shared" si="30"/>
        <v>19535142</v>
      </c>
      <c r="N712" s="1">
        <v>1083026359</v>
      </c>
      <c r="O712" s="1" t="s">
        <v>4626</v>
      </c>
      <c r="P712" s="1" t="s">
        <v>4627</v>
      </c>
      <c r="Q712" s="3">
        <v>45128</v>
      </c>
      <c r="R712" s="3">
        <v>45128</v>
      </c>
      <c r="S712" s="3">
        <v>45315</v>
      </c>
      <c r="T712" s="35"/>
      <c r="U712" s="3"/>
      <c r="V712" s="3"/>
      <c r="W712" s="50"/>
      <c r="X712" s="9">
        <v>0</v>
      </c>
      <c r="Y712" s="9">
        <v>19535142</v>
      </c>
      <c r="Z712" s="34">
        <v>0</v>
      </c>
      <c r="AA712" s="1">
        <v>8746547</v>
      </c>
      <c r="AB712" s="1" t="s">
        <v>4327</v>
      </c>
      <c r="AC712" s="1"/>
      <c r="AD712" s="1"/>
      <c r="AE712" s="3"/>
      <c r="AF712" s="194" t="s">
        <v>4628</v>
      </c>
      <c r="AG712" s="15" t="s">
        <v>192</v>
      </c>
      <c r="AH712" s="15" t="s">
        <v>192</v>
      </c>
    </row>
    <row r="713" spans="1:34" s="4" customFormat="1" x14ac:dyDescent="0.25">
      <c r="A713" s="16">
        <v>891780114</v>
      </c>
      <c r="B713" s="16" t="s">
        <v>54</v>
      </c>
      <c r="C713" s="14" t="s">
        <v>57</v>
      </c>
      <c r="D713" s="16" t="s">
        <v>60</v>
      </c>
      <c r="E713" s="1" t="s">
        <v>4629</v>
      </c>
      <c r="F713" s="16" t="s">
        <v>61</v>
      </c>
      <c r="G713" s="1" t="s">
        <v>69</v>
      </c>
      <c r="H713" s="1" t="s">
        <v>4465</v>
      </c>
      <c r="I713" s="9">
        <v>9767571</v>
      </c>
      <c r="J713" s="94"/>
      <c r="K713" s="2"/>
      <c r="L713" s="2"/>
      <c r="M713" s="40">
        <f t="shared" si="30"/>
        <v>9767571</v>
      </c>
      <c r="N713" s="1">
        <v>1045729776</v>
      </c>
      <c r="O713" s="1" t="s">
        <v>4346</v>
      </c>
      <c r="P713" s="1" t="s">
        <v>4630</v>
      </c>
      <c r="Q713" s="3">
        <v>45134</v>
      </c>
      <c r="R713" s="3">
        <v>45135</v>
      </c>
      <c r="S713" s="3">
        <v>45226</v>
      </c>
      <c r="T713" s="35"/>
      <c r="U713" s="3"/>
      <c r="V713" s="3"/>
      <c r="W713" s="50"/>
      <c r="X713" s="9">
        <v>0</v>
      </c>
      <c r="Y713" s="9">
        <v>9767571</v>
      </c>
      <c r="Z713" s="34">
        <v>0</v>
      </c>
      <c r="AA713" s="1">
        <v>8746547</v>
      </c>
      <c r="AB713" s="1" t="s">
        <v>4327</v>
      </c>
      <c r="AC713" s="1"/>
      <c r="AD713" s="1"/>
      <c r="AE713" s="3"/>
      <c r="AF713" s="194" t="s">
        <v>4631</v>
      </c>
      <c r="AG713" s="15" t="s">
        <v>192</v>
      </c>
      <c r="AH713" s="15" t="s">
        <v>192</v>
      </c>
    </row>
    <row r="714" spans="1:34" s="4" customFormat="1" x14ac:dyDescent="0.25">
      <c r="A714" s="16">
        <v>891780114</v>
      </c>
      <c r="B714" s="16" t="s">
        <v>54</v>
      </c>
      <c r="C714" s="14" t="s">
        <v>57</v>
      </c>
      <c r="D714" s="16" t="s">
        <v>60</v>
      </c>
      <c r="E714" s="1" t="s">
        <v>4632</v>
      </c>
      <c r="F714" s="16" t="s">
        <v>61</v>
      </c>
      <c r="G714" s="1" t="s">
        <v>69</v>
      </c>
      <c r="H714" s="1" t="s">
        <v>4465</v>
      </c>
      <c r="I714" s="9">
        <v>9767571</v>
      </c>
      <c r="J714" s="94"/>
      <c r="K714" s="2"/>
      <c r="L714" s="2"/>
      <c r="M714" s="40">
        <f t="shared" si="30"/>
        <v>9767571</v>
      </c>
      <c r="N714" s="1">
        <v>85468411</v>
      </c>
      <c r="O714" s="1" t="s">
        <v>4350</v>
      </c>
      <c r="P714" s="1" t="s">
        <v>4633</v>
      </c>
      <c r="Q714" s="3">
        <v>45134</v>
      </c>
      <c r="R714" s="3">
        <v>45135</v>
      </c>
      <c r="S714" s="3">
        <v>45227</v>
      </c>
      <c r="T714" s="35"/>
      <c r="U714" s="3"/>
      <c r="V714" s="3"/>
      <c r="W714" s="50"/>
      <c r="X714" s="9">
        <v>0</v>
      </c>
      <c r="Y714" s="9">
        <v>9767571</v>
      </c>
      <c r="Z714" s="34">
        <v>0</v>
      </c>
      <c r="AA714" s="1">
        <v>8746547</v>
      </c>
      <c r="AB714" s="195" t="s">
        <v>4327</v>
      </c>
      <c r="AC714" s="1"/>
      <c r="AD714" s="1"/>
      <c r="AE714" s="3"/>
      <c r="AF714" s="194" t="s">
        <v>4634</v>
      </c>
      <c r="AG714" s="15" t="s">
        <v>192</v>
      </c>
      <c r="AH714" s="15" t="s">
        <v>192</v>
      </c>
    </row>
    <row r="715" spans="1:34" s="4" customFormat="1" x14ac:dyDescent="0.25">
      <c r="A715" s="16">
        <v>891780536</v>
      </c>
      <c r="B715" s="16" t="s">
        <v>54</v>
      </c>
      <c r="C715" s="14" t="s">
        <v>56</v>
      </c>
      <c r="D715" s="16" t="s">
        <v>60</v>
      </c>
      <c r="E715" s="1" t="s">
        <v>4635</v>
      </c>
      <c r="F715" s="16" t="s">
        <v>61</v>
      </c>
      <c r="G715" s="1" t="s">
        <v>69</v>
      </c>
      <c r="H715" s="1" t="s">
        <v>73</v>
      </c>
      <c r="I715" s="9">
        <v>20000000</v>
      </c>
      <c r="J715" s="94"/>
      <c r="K715" s="2"/>
      <c r="L715" s="2"/>
      <c r="M715" s="40">
        <f t="shared" si="30"/>
        <v>20000000</v>
      </c>
      <c r="N715" s="1">
        <v>1081028294</v>
      </c>
      <c r="O715" s="1" t="s">
        <v>4636</v>
      </c>
      <c r="P715" s="1" t="s">
        <v>4637</v>
      </c>
      <c r="Q715" s="3">
        <v>44967</v>
      </c>
      <c r="R715" s="3">
        <v>44967</v>
      </c>
      <c r="S715" s="3">
        <v>45077</v>
      </c>
      <c r="T715" s="35"/>
      <c r="U715" s="3"/>
      <c r="V715" s="3"/>
      <c r="W715" s="50"/>
      <c r="X715" s="9">
        <v>20000000</v>
      </c>
      <c r="Y715" s="9">
        <f t="shared" ref="Y715:Y738" si="31">M715-X715</f>
        <v>0</v>
      </c>
      <c r="Z715" s="34">
        <v>1</v>
      </c>
      <c r="AA715" s="1">
        <v>85471791</v>
      </c>
      <c r="AB715" s="1" t="s">
        <v>4356</v>
      </c>
      <c r="AC715" s="1"/>
      <c r="AD715" s="1"/>
      <c r="AE715" s="3"/>
      <c r="AF715" s="194" t="s">
        <v>4638</v>
      </c>
      <c r="AG715" s="15" t="s">
        <v>192</v>
      </c>
      <c r="AH715" s="15" t="s">
        <v>192</v>
      </c>
    </row>
    <row r="716" spans="1:34" s="4" customFormat="1" x14ac:dyDescent="0.25">
      <c r="A716" s="16">
        <v>891780537</v>
      </c>
      <c r="B716" s="16" t="s">
        <v>54</v>
      </c>
      <c r="C716" s="14" t="s">
        <v>56</v>
      </c>
      <c r="D716" s="16" t="s">
        <v>60</v>
      </c>
      <c r="E716" s="1" t="s">
        <v>4639</v>
      </c>
      <c r="F716" s="16" t="s">
        <v>61</v>
      </c>
      <c r="G716" s="1" t="s">
        <v>69</v>
      </c>
      <c r="H716" s="1" t="s">
        <v>73</v>
      </c>
      <c r="I716" s="9">
        <v>20000000</v>
      </c>
      <c r="J716" s="94"/>
      <c r="K716" s="2"/>
      <c r="L716" s="2"/>
      <c r="M716" s="40">
        <f t="shared" si="30"/>
        <v>20000000</v>
      </c>
      <c r="N716" s="1">
        <v>7601791</v>
      </c>
      <c r="O716" s="1" t="s">
        <v>4640</v>
      </c>
      <c r="P716" s="1" t="s">
        <v>4641</v>
      </c>
      <c r="Q716" s="3">
        <v>44967</v>
      </c>
      <c r="R716" s="3">
        <v>44967</v>
      </c>
      <c r="S716" s="3">
        <v>45077</v>
      </c>
      <c r="T716" s="35"/>
      <c r="U716" s="3"/>
      <c r="V716" s="3"/>
      <c r="W716" s="50"/>
      <c r="X716" s="9">
        <v>20000000</v>
      </c>
      <c r="Y716" s="9">
        <f t="shared" si="31"/>
        <v>0</v>
      </c>
      <c r="Z716" s="34">
        <v>1</v>
      </c>
      <c r="AA716" s="1">
        <v>85471791</v>
      </c>
      <c r="AB716" s="1" t="s">
        <v>4356</v>
      </c>
      <c r="AC716" s="1"/>
      <c r="AD716" s="1"/>
      <c r="AE716" s="3"/>
      <c r="AF716" s="194" t="s">
        <v>4642</v>
      </c>
      <c r="AG716" s="15" t="s">
        <v>192</v>
      </c>
      <c r="AH716" s="15" t="s">
        <v>192</v>
      </c>
    </row>
    <row r="717" spans="1:34" s="4" customFormat="1" x14ac:dyDescent="0.25">
      <c r="A717" s="16">
        <v>891780538</v>
      </c>
      <c r="B717" s="16" t="s">
        <v>54</v>
      </c>
      <c r="C717" s="14" t="s">
        <v>56</v>
      </c>
      <c r="D717" s="16" t="s">
        <v>60</v>
      </c>
      <c r="E717" s="1" t="s">
        <v>4643</v>
      </c>
      <c r="F717" s="16" t="s">
        <v>61</v>
      </c>
      <c r="G717" s="1" t="s">
        <v>69</v>
      </c>
      <c r="H717" s="1" t="s">
        <v>73</v>
      </c>
      <c r="I717" s="9">
        <v>18000000</v>
      </c>
      <c r="J717" s="94"/>
      <c r="K717" s="2"/>
      <c r="L717" s="2"/>
      <c r="M717" s="40">
        <f t="shared" si="30"/>
        <v>18000000</v>
      </c>
      <c r="N717" s="1">
        <v>1091662627</v>
      </c>
      <c r="O717" s="1" t="s">
        <v>4644</v>
      </c>
      <c r="P717" s="1" t="s">
        <v>4645</v>
      </c>
      <c r="Q717" s="3">
        <v>44967</v>
      </c>
      <c r="R717" s="3">
        <v>44971</v>
      </c>
      <c r="S717" s="3">
        <v>45077</v>
      </c>
      <c r="T717" s="35"/>
      <c r="U717" s="3"/>
      <c r="V717" s="3"/>
      <c r="W717" s="50"/>
      <c r="X717" s="9">
        <v>18000000</v>
      </c>
      <c r="Y717" s="9">
        <f t="shared" si="31"/>
        <v>0</v>
      </c>
      <c r="Z717" s="34">
        <v>1</v>
      </c>
      <c r="AA717" s="1">
        <v>85471791</v>
      </c>
      <c r="AB717" s="1" t="s">
        <v>4356</v>
      </c>
      <c r="AC717" s="1"/>
      <c r="AD717" s="1"/>
      <c r="AE717" s="3"/>
      <c r="AF717" s="194" t="s">
        <v>4646</v>
      </c>
      <c r="AG717" s="15" t="s">
        <v>192</v>
      </c>
      <c r="AH717" s="15" t="s">
        <v>192</v>
      </c>
    </row>
    <row r="718" spans="1:34" s="4" customFormat="1" x14ac:dyDescent="0.25">
      <c r="A718" s="16">
        <v>891780539</v>
      </c>
      <c r="B718" s="16" t="s">
        <v>54</v>
      </c>
      <c r="C718" s="14" t="s">
        <v>56</v>
      </c>
      <c r="D718" s="16" t="s">
        <v>60</v>
      </c>
      <c r="E718" s="1" t="s">
        <v>4647</v>
      </c>
      <c r="F718" s="16" t="s">
        <v>61</v>
      </c>
      <c r="G718" s="1" t="s">
        <v>69</v>
      </c>
      <c r="H718" s="1" t="s">
        <v>73</v>
      </c>
      <c r="I718" s="9">
        <v>20000000</v>
      </c>
      <c r="J718" s="94"/>
      <c r="K718" s="2"/>
      <c r="L718" s="2"/>
      <c r="M718" s="40">
        <f t="shared" si="30"/>
        <v>20000000</v>
      </c>
      <c r="N718" s="1">
        <v>6910909</v>
      </c>
      <c r="O718" s="1" t="s">
        <v>4648</v>
      </c>
      <c r="P718" s="1" t="s">
        <v>4641</v>
      </c>
      <c r="Q718" s="3">
        <v>44967</v>
      </c>
      <c r="R718" s="3">
        <v>44967</v>
      </c>
      <c r="S718" s="3">
        <v>45077</v>
      </c>
      <c r="T718" s="35"/>
      <c r="U718" s="3"/>
      <c r="V718" s="3"/>
      <c r="W718" s="50"/>
      <c r="X718" s="9">
        <v>20000000</v>
      </c>
      <c r="Y718" s="9">
        <f t="shared" si="31"/>
        <v>0</v>
      </c>
      <c r="Z718" s="34">
        <v>1</v>
      </c>
      <c r="AA718" s="1">
        <v>85471791</v>
      </c>
      <c r="AB718" s="1" t="s">
        <v>4356</v>
      </c>
      <c r="AC718" s="1"/>
      <c r="AD718" s="1"/>
      <c r="AE718" s="3"/>
      <c r="AF718" s="194" t="s">
        <v>4649</v>
      </c>
      <c r="AG718" s="15" t="s">
        <v>192</v>
      </c>
      <c r="AH718" s="15" t="s">
        <v>192</v>
      </c>
    </row>
    <row r="719" spans="1:34" s="4" customFormat="1" x14ac:dyDescent="0.25">
      <c r="A719" s="16">
        <v>891780540</v>
      </c>
      <c r="B719" s="16" t="s">
        <v>54</v>
      </c>
      <c r="C719" s="14" t="s">
        <v>56</v>
      </c>
      <c r="D719" s="16" t="s">
        <v>60</v>
      </c>
      <c r="E719" s="1" t="s">
        <v>4650</v>
      </c>
      <c r="F719" s="16" t="s">
        <v>61</v>
      </c>
      <c r="G719" s="1" t="s">
        <v>69</v>
      </c>
      <c r="H719" s="1" t="s">
        <v>73</v>
      </c>
      <c r="I719" s="9">
        <v>20000000</v>
      </c>
      <c r="J719" s="94"/>
      <c r="K719" s="2"/>
      <c r="L719" s="2"/>
      <c r="M719" s="40">
        <f t="shared" si="30"/>
        <v>20000000</v>
      </c>
      <c r="N719" s="1">
        <v>85462048</v>
      </c>
      <c r="O719" s="1" t="s">
        <v>4651</v>
      </c>
      <c r="P719" s="1" t="s">
        <v>4652</v>
      </c>
      <c r="Q719" s="3">
        <v>44967</v>
      </c>
      <c r="R719" s="3">
        <v>44967</v>
      </c>
      <c r="S719" s="3">
        <v>45077</v>
      </c>
      <c r="T719" s="35"/>
      <c r="U719" s="3"/>
      <c r="V719" s="3"/>
      <c r="W719" s="50"/>
      <c r="X719" s="9">
        <v>20000000</v>
      </c>
      <c r="Y719" s="9">
        <f t="shared" si="31"/>
        <v>0</v>
      </c>
      <c r="Z719" s="34">
        <v>1</v>
      </c>
      <c r="AA719" s="1">
        <v>85471791</v>
      </c>
      <c r="AB719" s="1" t="s">
        <v>4356</v>
      </c>
      <c r="AC719" s="1"/>
      <c r="AD719" s="1"/>
      <c r="AE719" s="3"/>
      <c r="AF719" s="194" t="s">
        <v>4653</v>
      </c>
      <c r="AG719" s="15" t="s">
        <v>192</v>
      </c>
      <c r="AH719" s="15" t="s">
        <v>192</v>
      </c>
    </row>
    <row r="720" spans="1:34" s="4" customFormat="1" x14ac:dyDescent="0.25">
      <c r="A720" s="16">
        <v>891780541</v>
      </c>
      <c r="B720" s="16" t="s">
        <v>54</v>
      </c>
      <c r="C720" s="14" t="s">
        <v>56</v>
      </c>
      <c r="D720" s="16" t="s">
        <v>60</v>
      </c>
      <c r="E720" s="1" t="s">
        <v>4654</v>
      </c>
      <c r="F720" s="16" t="s">
        <v>61</v>
      </c>
      <c r="G720" s="1" t="s">
        <v>69</v>
      </c>
      <c r="H720" s="1" t="s">
        <v>73</v>
      </c>
      <c r="I720" s="9">
        <v>15500000</v>
      </c>
      <c r="J720" s="94"/>
      <c r="K720" s="2"/>
      <c r="L720" s="2"/>
      <c r="M720" s="40">
        <f t="shared" si="30"/>
        <v>15500000</v>
      </c>
      <c r="N720" s="1">
        <v>1083008562</v>
      </c>
      <c r="O720" s="1" t="s">
        <v>4655</v>
      </c>
      <c r="P720" s="1" t="s">
        <v>4656</v>
      </c>
      <c r="Q720" s="3">
        <v>44970</v>
      </c>
      <c r="R720" s="3">
        <v>44970</v>
      </c>
      <c r="S720" s="3">
        <v>45107</v>
      </c>
      <c r="T720" s="35"/>
      <c r="U720" s="3"/>
      <c r="V720" s="3"/>
      <c r="W720" s="50"/>
      <c r="X720" s="9">
        <v>15500000</v>
      </c>
      <c r="Y720" s="9">
        <f t="shared" si="31"/>
        <v>0</v>
      </c>
      <c r="Z720" s="34">
        <v>1</v>
      </c>
      <c r="AA720" s="1">
        <v>1192791759</v>
      </c>
      <c r="AB720" s="1" t="s">
        <v>4657</v>
      </c>
      <c r="AC720" s="1"/>
      <c r="AD720" s="1"/>
      <c r="AE720" s="3"/>
      <c r="AF720" s="194" t="s">
        <v>4658</v>
      </c>
      <c r="AG720" s="15" t="s">
        <v>192</v>
      </c>
      <c r="AH720" s="15" t="s">
        <v>192</v>
      </c>
    </row>
    <row r="721" spans="1:34" s="4" customFormat="1" x14ac:dyDescent="0.25">
      <c r="A721" s="16">
        <v>891780542</v>
      </c>
      <c r="B721" s="16" t="s">
        <v>54</v>
      </c>
      <c r="C721" s="14" t="s">
        <v>56</v>
      </c>
      <c r="D721" s="16" t="s">
        <v>60</v>
      </c>
      <c r="E721" s="1" t="s">
        <v>4659</v>
      </c>
      <c r="F721" s="16" t="s">
        <v>61</v>
      </c>
      <c r="G721" s="1" t="s">
        <v>69</v>
      </c>
      <c r="H721" s="1" t="s">
        <v>73</v>
      </c>
      <c r="I721" s="9">
        <v>15500000</v>
      </c>
      <c r="J721" s="94"/>
      <c r="K721" s="2"/>
      <c r="L721" s="2"/>
      <c r="M721" s="40">
        <f t="shared" si="30"/>
        <v>15500000</v>
      </c>
      <c r="N721" s="1">
        <v>1082862417</v>
      </c>
      <c r="O721" s="1" t="s">
        <v>4660</v>
      </c>
      <c r="P721" s="1" t="s">
        <v>4661</v>
      </c>
      <c r="Q721" s="3">
        <v>44970</v>
      </c>
      <c r="R721" s="3">
        <v>44970</v>
      </c>
      <c r="S721" s="3">
        <v>45107</v>
      </c>
      <c r="T721" s="35"/>
      <c r="U721" s="3"/>
      <c r="V721" s="3"/>
      <c r="W721" s="50"/>
      <c r="X721" s="9">
        <v>15500000</v>
      </c>
      <c r="Y721" s="9">
        <f t="shared" si="31"/>
        <v>0</v>
      </c>
      <c r="Z721" s="34">
        <v>1</v>
      </c>
      <c r="AA721" s="1">
        <v>1192791759</v>
      </c>
      <c r="AB721" s="1" t="s">
        <v>4657</v>
      </c>
      <c r="AC721" s="1"/>
      <c r="AD721" s="1"/>
      <c r="AE721" s="3"/>
      <c r="AF721" s="194" t="s">
        <v>4662</v>
      </c>
      <c r="AG721" s="15" t="s">
        <v>192</v>
      </c>
      <c r="AH721" s="15" t="s">
        <v>192</v>
      </c>
    </row>
    <row r="722" spans="1:34" s="4" customFormat="1" x14ac:dyDescent="0.25">
      <c r="A722" s="16">
        <v>891780543</v>
      </c>
      <c r="B722" s="16" t="s">
        <v>54</v>
      </c>
      <c r="C722" s="14" t="s">
        <v>56</v>
      </c>
      <c r="D722" s="16" t="s">
        <v>60</v>
      </c>
      <c r="E722" s="1" t="s">
        <v>4663</v>
      </c>
      <c r="F722" s="16" t="s">
        <v>61</v>
      </c>
      <c r="G722" s="1" t="s">
        <v>69</v>
      </c>
      <c r="H722" s="1" t="s">
        <v>73</v>
      </c>
      <c r="I722" s="9">
        <v>15500000</v>
      </c>
      <c r="J722" s="94"/>
      <c r="K722" s="2"/>
      <c r="L722" s="2"/>
      <c r="M722" s="40">
        <f t="shared" si="30"/>
        <v>15500000</v>
      </c>
      <c r="N722" s="1">
        <v>18955666</v>
      </c>
      <c r="O722" s="1" t="s">
        <v>4664</v>
      </c>
      <c r="P722" s="1" t="s">
        <v>4665</v>
      </c>
      <c r="Q722" s="3">
        <v>44970</v>
      </c>
      <c r="R722" s="3">
        <v>44970</v>
      </c>
      <c r="S722" s="3">
        <v>45107</v>
      </c>
      <c r="T722" s="35"/>
      <c r="U722" s="3"/>
      <c r="V722" s="3"/>
      <c r="W722" s="50"/>
      <c r="X722" s="9">
        <v>15500000</v>
      </c>
      <c r="Y722" s="9">
        <f t="shared" si="31"/>
        <v>0</v>
      </c>
      <c r="Z722" s="34">
        <v>1</v>
      </c>
      <c r="AA722" s="1">
        <v>36669284</v>
      </c>
      <c r="AB722" s="1" t="s">
        <v>2501</v>
      </c>
      <c r="AC722" s="1"/>
      <c r="AD722" s="1"/>
      <c r="AE722" s="3"/>
      <c r="AF722" s="194" t="s">
        <v>4666</v>
      </c>
      <c r="AG722" s="15" t="s">
        <v>192</v>
      </c>
      <c r="AH722" s="15" t="s">
        <v>192</v>
      </c>
    </row>
    <row r="723" spans="1:34" s="4" customFormat="1" x14ac:dyDescent="0.25">
      <c r="A723" s="16">
        <v>891780544</v>
      </c>
      <c r="B723" s="16" t="s">
        <v>54</v>
      </c>
      <c r="C723" s="14" t="s">
        <v>56</v>
      </c>
      <c r="D723" s="16" t="s">
        <v>60</v>
      </c>
      <c r="E723" s="1" t="s">
        <v>4667</v>
      </c>
      <c r="F723" s="16" t="s">
        <v>61</v>
      </c>
      <c r="G723" s="1" t="s">
        <v>69</v>
      </c>
      <c r="H723" s="1" t="s">
        <v>73</v>
      </c>
      <c r="I723" s="9">
        <v>13200000</v>
      </c>
      <c r="J723" s="94"/>
      <c r="K723" s="2"/>
      <c r="L723" s="2"/>
      <c r="M723" s="40">
        <f t="shared" si="30"/>
        <v>13200000</v>
      </c>
      <c r="N723" s="1">
        <v>19620951</v>
      </c>
      <c r="O723" s="1" t="s">
        <v>4668</v>
      </c>
      <c r="P723" s="1" t="s">
        <v>4669</v>
      </c>
      <c r="Q723" s="3">
        <v>44970</v>
      </c>
      <c r="R723" s="3">
        <v>44970</v>
      </c>
      <c r="S723" s="3">
        <v>45107</v>
      </c>
      <c r="T723" s="35"/>
      <c r="U723" s="3"/>
      <c r="V723" s="3"/>
      <c r="W723" s="50"/>
      <c r="X723" s="9">
        <v>13200000</v>
      </c>
      <c r="Y723" s="9">
        <f t="shared" si="31"/>
        <v>0</v>
      </c>
      <c r="Z723" s="34">
        <v>1</v>
      </c>
      <c r="AA723" s="1">
        <v>36669284</v>
      </c>
      <c r="AB723" s="1" t="s">
        <v>2501</v>
      </c>
      <c r="AC723" s="1"/>
      <c r="AD723" s="1"/>
      <c r="AE723" s="3"/>
      <c r="AF723" s="194" t="s">
        <v>4670</v>
      </c>
      <c r="AG723" s="15" t="s">
        <v>192</v>
      </c>
      <c r="AH723" s="15" t="s">
        <v>192</v>
      </c>
    </row>
    <row r="724" spans="1:34" s="4" customFormat="1" x14ac:dyDescent="0.25">
      <c r="A724" s="16">
        <v>891780545</v>
      </c>
      <c r="B724" s="16" t="s">
        <v>54</v>
      </c>
      <c r="C724" s="14" t="s">
        <v>56</v>
      </c>
      <c r="D724" s="16" t="s">
        <v>60</v>
      </c>
      <c r="E724" s="1" t="s">
        <v>4671</v>
      </c>
      <c r="F724" s="16" t="s">
        <v>61</v>
      </c>
      <c r="G724" s="1" t="s">
        <v>69</v>
      </c>
      <c r="H724" s="1" t="s">
        <v>73</v>
      </c>
      <c r="I724" s="9">
        <v>14000000</v>
      </c>
      <c r="J724" s="94"/>
      <c r="K724" s="2"/>
      <c r="L724" s="2"/>
      <c r="M724" s="40">
        <f t="shared" si="30"/>
        <v>14000000</v>
      </c>
      <c r="N724" s="1">
        <v>1082045208</v>
      </c>
      <c r="O724" s="1" t="s">
        <v>4672</v>
      </c>
      <c r="P724" s="1" t="s">
        <v>4673</v>
      </c>
      <c r="Q724" s="3">
        <v>44970</v>
      </c>
      <c r="R724" s="3">
        <v>44970</v>
      </c>
      <c r="S724" s="3">
        <v>45107</v>
      </c>
      <c r="T724" s="35"/>
      <c r="U724" s="3"/>
      <c r="V724" s="3"/>
      <c r="W724" s="50"/>
      <c r="X724" s="9">
        <v>14000000</v>
      </c>
      <c r="Y724" s="9">
        <f t="shared" si="31"/>
        <v>0</v>
      </c>
      <c r="Z724" s="34">
        <v>1</v>
      </c>
      <c r="AA724" s="1">
        <v>1192791759</v>
      </c>
      <c r="AB724" s="1" t="s">
        <v>4657</v>
      </c>
      <c r="AC724" s="1"/>
      <c r="AD724" s="1"/>
      <c r="AE724" s="3"/>
      <c r="AF724" s="194" t="s">
        <v>4674</v>
      </c>
      <c r="AG724" s="15" t="s">
        <v>192</v>
      </c>
      <c r="AH724" s="15" t="s">
        <v>192</v>
      </c>
    </row>
    <row r="725" spans="1:34" s="4" customFormat="1" x14ac:dyDescent="0.25">
      <c r="A725" s="16">
        <v>891780546</v>
      </c>
      <c r="B725" s="16" t="s">
        <v>54</v>
      </c>
      <c r="C725" s="14" t="s">
        <v>56</v>
      </c>
      <c r="D725" s="16" t="s">
        <v>60</v>
      </c>
      <c r="E725" s="1" t="s">
        <v>4675</v>
      </c>
      <c r="F725" s="16" t="s">
        <v>61</v>
      </c>
      <c r="G725" s="1" t="s">
        <v>69</v>
      </c>
      <c r="H725" s="1" t="s">
        <v>73</v>
      </c>
      <c r="I725" s="9">
        <v>14000000</v>
      </c>
      <c r="J725" s="94"/>
      <c r="K725" s="2"/>
      <c r="L725" s="2"/>
      <c r="M725" s="40">
        <f t="shared" si="30"/>
        <v>14000000</v>
      </c>
      <c r="N725" s="1">
        <v>85448155</v>
      </c>
      <c r="O725" s="1" t="s">
        <v>4676</v>
      </c>
      <c r="P725" s="1" t="s">
        <v>4677</v>
      </c>
      <c r="Q725" s="3">
        <v>44970</v>
      </c>
      <c r="R725" s="3">
        <v>44970</v>
      </c>
      <c r="S725" s="3">
        <v>45107</v>
      </c>
      <c r="T725" s="35"/>
      <c r="U725" s="3"/>
      <c r="V725" s="3"/>
      <c r="W725" s="50"/>
      <c r="X725" s="9">
        <v>14000000</v>
      </c>
      <c r="Y725" s="9">
        <f t="shared" si="31"/>
        <v>0</v>
      </c>
      <c r="Z725" s="34">
        <v>1</v>
      </c>
      <c r="AA725" s="1">
        <v>85471791</v>
      </c>
      <c r="AB725" s="1" t="s">
        <v>4356</v>
      </c>
      <c r="AC725" s="1"/>
      <c r="AD725" s="1"/>
      <c r="AE725" s="3"/>
      <c r="AF725" s="194" t="s">
        <v>4678</v>
      </c>
      <c r="AG725" s="15" t="s">
        <v>192</v>
      </c>
      <c r="AH725" s="15" t="s">
        <v>192</v>
      </c>
    </row>
    <row r="726" spans="1:34" s="4" customFormat="1" x14ac:dyDescent="0.25">
      <c r="A726" s="16">
        <v>891780547</v>
      </c>
      <c r="B726" s="16" t="s">
        <v>54</v>
      </c>
      <c r="C726" s="14" t="s">
        <v>56</v>
      </c>
      <c r="D726" s="16" t="s">
        <v>60</v>
      </c>
      <c r="E726" s="1" t="s">
        <v>4679</v>
      </c>
      <c r="F726" s="16" t="s">
        <v>61</v>
      </c>
      <c r="G726" s="1" t="s">
        <v>69</v>
      </c>
      <c r="H726" s="1" t="s">
        <v>73</v>
      </c>
      <c r="I726" s="9">
        <v>15500000</v>
      </c>
      <c r="J726" s="94"/>
      <c r="K726" s="2"/>
      <c r="L726" s="2"/>
      <c r="M726" s="40">
        <f t="shared" si="30"/>
        <v>15500000</v>
      </c>
      <c r="N726" s="1">
        <v>1082977854</v>
      </c>
      <c r="O726" s="1" t="s">
        <v>4680</v>
      </c>
      <c r="P726" s="1" t="s">
        <v>4681</v>
      </c>
      <c r="Q726" s="3">
        <v>44970</v>
      </c>
      <c r="R726" s="3">
        <v>44970</v>
      </c>
      <c r="S726" s="3">
        <v>45107</v>
      </c>
      <c r="T726" s="35"/>
      <c r="U726" s="3"/>
      <c r="V726" s="3"/>
      <c r="W726" s="50"/>
      <c r="X726" s="9">
        <v>15500000</v>
      </c>
      <c r="Y726" s="9">
        <f t="shared" si="31"/>
        <v>0</v>
      </c>
      <c r="Z726" s="34">
        <v>1</v>
      </c>
      <c r="AA726" s="1">
        <v>1192791759</v>
      </c>
      <c r="AB726" s="1" t="s">
        <v>4657</v>
      </c>
      <c r="AC726" s="1"/>
      <c r="AD726" s="1"/>
      <c r="AE726" s="3"/>
      <c r="AF726" s="194" t="s">
        <v>4682</v>
      </c>
      <c r="AG726" s="15" t="s">
        <v>192</v>
      </c>
      <c r="AH726" s="15" t="s">
        <v>192</v>
      </c>
    </row>
    <row r="727" spans="1:34" s="4" customFormat="1" x14ac:dyDescent="0.25">
      <c r="A727" s="16">
        <v>891780548</v>
      </c>
      <c r="B727" s="16" t="s">
        <v>54</v>
      </c>
      <c r="C727" s="14" t="s">
        <v>56</v>
      </c>
      <c r="D727" s="16" t="s">
        <v>60</v>
      </c>
      <c r="E727" s="1" t="s">
        <v>4683</v>
      </c>
      <c r="F727" s="16" t="s">
        <v>61</v>
      </c>
      <c r="G727" s="1" t="s">
        <v>69</v>
      </c>
      <c r="H727" s="1" t="s">
        <v>73</v>
      </c>
      <c r="I727" s="9">
        <v>17000000</v>
      </c>
      <c r="J727" s="94"/>
      <c r="K727" s="2"/>
      <c r="L727" s="2"/>
      <c r="M727" s="40">
        <f t="shared" si="30"/>
        <v>17000000</v>
      </c>
      <c r="N727" s="1">
        <v>1083029075</v>
      </c>
      <c r="O727" s="1" t="s">
        <v>4590</v>
      </c>
      <c r="P727" s="1" t="s">
        <v>4684</v>
      </c>
      <c r="Q727" s="3">
        <v>44970</v>
      </c>
      <c r="R727" s="3">
        <v>44970</v>
      </c>
      <c r="S727" s="3">
        <v>45107</v>
      </c>
      <c r="T727" s="35"/>
      <c r="U727" s="3"/>
      <c r="V727" s="3"/>
      <c r="W727" s="50"/>
      <c r="X727" s="9">
        <v>17000000</v>
      </c>
      <c r="Y727" s="9">
        <f t="shared" si="31"/>
        <v>0</v>
      </c>
      <c r="Z727" s="34">
        <v>1</v>
      </c>
      <c r="AA727" s="1">
        <v>85471791</v>
      </c>
      <c r="AB727" s="1" t="s">
        <v>4356</v>
      </c>
      <c r="AC727" s="1"/>
      <c r="AD727" s="1"/>
      <c r="AE727" s="3"/>
      <c r="AF727" s="194" t="s">
        <v>4685</v>
      </c>
      <c r="AG727" s="15" t="s">
        <v>192</v>
      </c>
      <c r="AH727" s="15" t="s">
        <v>192</v>
      </c>
    </row>
    <row r="728" spans="1:34" s="4" customFormat="1" x14ac:dyDescent="0.25">
      <c r="A728" s="16">
        <v>891780549</v>
      </c>
      <c r="B728" s="16" t="s">
        <v>54</v>
      </c>
      <c r="C728" s="14" t="s">
        <v>56</v>
      </c>
      <c r="D728" s="16" t="s">
        <v>60</v>
      </c>
      <c r="E728" s="1" t="s">
        <v>4686</v>
      </c>
      <c r="F728" s="16" t="s">
        <v>61</v>
      </c>
      <c r="G728" s="1" t="s">
        <v>69</v>
      </c>
      <c r="H728" s="1" t="s">
        <v>73</v>
      </c>
      <c r="I728" s="9">
        <v>14000000</v>
      </c>
      <c r="J728" s="94"/>
      <c r="K728" s="2"/>
      <c r="L728" s="2"/>
      <c r="M728" s="40">
        <f t="shared" si="30"/>
        <v>14000000</v>
      </c>
      <c r="N728" s="1">
        <v>12537790</v>
      </c>
      <c r="O728" s="1" t="s">
        <v>4687</v>
      </c>
      <c r="P728" s="1" t="s">
        <v>4688</v>
      </c>
      <c r="Q728" s="3">
        <v>44970</v>
      </c>
      <c r="R728" s="3">
        <v>44970</v>
      </c>
      <c r="S728" s="3">
        <v>45107</v>
      </c>
      <c r="T728" s="35"/>
      <c r="U728" s="3"/>
      <c r="V728" s="3"/>
      <c r="W728" s="50"/>
      <c r="X728" s="9">
        <v>14000000</v>
      </c>
      <c r="Y728" s="9">
        <f t="shared" si="31"/>
        <v>0</v>
      </c>
      <c r="Z728" s="34">
        <v>1</v>
      </c>
      <c r="AA728" s="1">
        <v>36669284</v>
      </c>
      <c r="AB728" s="1" t="s">
        <v>2501</v>
      </c>
      <c r="AC728" s="1"/>
      <c r="AD728" s="1"/>
      <c r="AE728" s="3"/>
      <c r="AF728" s="194" t="s">
        <v>4689</v>
      </c>
      <c r="AG728" s="15" t="s">
        <v>192</v>
      </c>
      <c r="AH728" s="15" t="s">
        <v>192</v>
      </c>
    </row>
    <row r="729" spans="1:34" s="4" customFormat="1" x14ac:dyDescent="0.25">
      <c r="A729" s="16">
        <v>891780550</v>
      </c>
      <c r="B729" s="16" t="s">
        <v>54</v>
      </c>
      <c r="C729" s="14" t="s">
        <v>56</v>
      </c>
      <c r="D729" s="16" t="s">
        <v>60</v>
      </c>
      <c r="E729" s="1" t="s">
        <v>4690</v>
      </c>
      <c r="F729" s="16" t="s">
        <v>61</v>
      </c>
      <c r="G729" s="1" t="s">
        <v>69</v>
      </c>
      <c r="H729" s="1" t="s">
        <v>73</v>
      </c>
      <c r="I729" s="9">
        <v>11000000</v>
      </c>
      <c r="J729" s="94"/>
      <c r="K729" s="2"/>
      <c r="L729" s="2"/>
      <c r="M729" s="40">
        <f t="shared" si="30"/>
        <v>11000000</v>
      </c>
      <c r="N729" s="1">
        <v>1082952509</v>
      </c>
      <c r="O729" s="1" t="s">
        <v>4691</v>
      </c>
      <c r="P729" s="1" t="s">
        <v>4692</v>
      </c>
      <c r="Q729" s="3">
        <v>44971</v>
      </c>
      <c r="R729" s="3">
        <v>44971</v>
      </c>
      <c r="S729" s="3">
        <v>45107</v>
      </c>
      <c r="T729" s="35"/>
      <c r="U729" s="3"/>
      <c r="V729" s="3"/>
      <c r="W729" s="50"/>
      <c r="X729" s="9">
        <v>11000000</v>
      </c>
      <c r="Y729" s="9">
        <f t="shared" si="31"/>
        <v>0</v>
      </c>
      <c r="Z729" s="34">
        <v>1</v>
      </c>
      <c r="AA729" s="1">
        <v>85467461</v>
      </c>
      <c r="AB729" s="1" t="s">
        <v>4693</v>
      </c>
      <c r="AC729" s="1"/>
      <c r="AD729" s="1"/>
      <c r="AE729" s="3"/>
      <c r="AF729" s="194" t="s">
        <v>4694</v>
      </c>
      <c r="AG729" s="15" t="s">
        <v>192</v>
      </c>
      <c r="AH729" s="15" t="s">
        <v>192</v>
      </c>
    </row>
    <row r="730" spans="1:34" s="4" customFormat="1" x14ac:dyDescent="0.25">
      <c r="A730" s="16">
        <v>891780551</v>
      </c>
      <c r="B730" s="16" t="s">
        <v>54</v>
      </c>
      <c r="C730" s="14" t="s">
        <v>56</v>
      </c>
      <c r="D730" s="16" t="s">
        <v>60</v>
      </c>
      <c r="E730" s="1" t="s">
        <v>4695</v>
      </c>
      <c r="F730" s="16" t="s">
        <v>61</v>
      </c>
      <c r="G730" s="1" t="s">
        <v>69</v>
      </c>
      <c r="H730" s="1" t="s">
        <v>73</v>
      </c>
      <c r="I730" s="9">
        <v>11000000</v>
      </c>
      <c r="J730" s="94"/>
      <c r="K730" s="2"/>
      <c r="L730" s="2"/>
      <c r="M730" s="40">
        <f t="shared" si="30"/>
        <v>11000000</v>
      </c>
      <c r="N730" s="1">
        <v>1082990692</v>
      </c>
      <c r="O730" s="1" t="s">
        <v>4696</v>
      </c>
      <c r="P730" s="1" t="s">
        <v>4697</v>
      </c>
      <c r="Q730" s="3">
        <v>44971</v>
      </c>
      <c r="R730" s="3">
        <v>44971</v>
      </c>
      <c r="S730" s="3">
        <v>45107</v>
      </c>
      <c r="T730" s="35"/>
      <c r="U730" s="3"/>
      <c r="V730" s="3"/>
      <c r="W730" s="50"/>
      <c r="X730" s="9">
        <v>11000000</v>
      </c>
      <c r="Y730" s="9">
        <f t="shared" si="31"/>
        <v>0</v>
      </c>
      <c r="Z730" s="34">
        <v>1</v>
      </c>
      <c r="AA730" s="1">
        <v>85467461</v>
      </c>
      <c r="AB730" s="1" t="s">
        <v>4693</v>
      </c>
      <c r="AC730" s="1"/>
      <c r="AD730" s="1"/>
      <c r="AE730" s="3"/>
      <c r="AF730" s="194" t="s">
        <v>4698</v>
      </c>
      <c r="AG730" s="15" t="s">
        <v>192</v>
      </c>
      <c r="AH730" s="15" t="s">
        <v>192</v>
      </c>
    </row>
    <row r="731" spans="1:34" s="4" customFormat="1" x14ac:dyDescent="0.25">
      <c r="A731" s="16">
        <v>891780552</v>
      </c>
      <c r="B731" s="16" t="s">
        <v>54</v>
      </c>
      <c r="C731" s="14" t="s">
        <v>56</v>
      </c>
      <c r="D731" s="16" t="s">
        <v>60</v>
      </c>
      <c r="E731" s="1" t="s">
        <v>4699</v>
      </c>
      <c r="F731" s="16" t="s">
        <v>61</v>
      </c>
      <c r="G731" s="1" t="s">
        <v>69</v>
      </c>
      <c r="H731" s="1" t="s">
        <v>73</v>
      </c>
      <c r="I731" s="9">
        <v>17000000</v>
      </c>
      <c r="J731" s="94"/>
      <c r="K731" s="2"/>
      <c r="L731" s="2"/>
      <c r="M731" s="40">
        <f t="shared" si="30"/>
        <v>17000000</v>
      </c>
      <c r="N731" s="1">
        <v>57461707</v>
      </c>
      <c r="O731" s="1" t="s">
        <v>4700</v>
      </c>
      <c r="P731" s="1" t="s">
        <v>4701</v>
      </c>
      <c r="Q731" s="3">
        <v>44971</v>
      </c>
      <c r="R731" s="3">
        <v>44971</v>
      </c>
      <c r="S731" s="3">
        <v>45107</v>
      </c>
      <c r="T731" s="35"/>
      <c r="U731" s="3"/>
      <c r="V731" s="3"/>
      <c r="W731" s="50"/>
      <c r="X731" s="9">
        <v>17000000</v>
      </c>
      <c r="Y731" s="9">
        <f t="shared" si="31"/>
        <v>0</v>
      </c>
      <c r="Z731" s="34">
        <v>1</v>
      </c>
      <c r="AA731" s="1">
        <v>85471791</v>
      </c>
      <c r="AB731" s="1" t="s">
        <v>4356</v>
      </c>
      <c r="AC731" s="1"/>
      <c r="AD731" s="1"/>
      <c r="AE731" s="3"/>
      <c r="AF731" s="194" t="s">
        <v>4702</v>
      </c>
      <c r="AG731" s="15" t="s">
        <v>192</v>
      </c>
      <c r="AH731" s="15" t="s">
        <v>192</v>
      </c>
    </row>
    <row r="732" spans="1:34" s="4" customFormat="1" x14ac:dyDescent="0.25">
      <c r="A732" s="16">
        <v>891780553</v>
      </c>
      <c r="B732" s="16" t="s">
        <v>54</v>
      </c>
      <c r="C732" s="14" t="s">
        <v>56</v>
      </c>
      <c r="D732" s="16" t="s">
        <v>60</v>
      </c>
      <c r="E732" s="1" t="s">
        <v>4703</v>
      </c>
      <c r="F732" s="16" t="s">
        <v>61</v>
      </c>
      <c r="G732" s="1" t="s">
        <v>69</v>
      </c>
      <c r="H732" s="1" t="s">
        <v>73</v>
      </c>
      <c r="I732" s="9">
        <v>15500000</v>
      </c>
      <c r="J732" s="94"/>
      <c r="K732" s="2"/>
      <c r="L732" s="2"/>
      <c r="M732" s="40">
        <f t="shared" si="30"/>
        <v>15500000</v>
      </c>
      <c r="N732" s="1">
        <v>57437669</v>
      </c>
      <c r="O732" s="1" t="s">
        <v>4704</v>
      </c>
      <c r="P732" s="1" t="s">
        <v>4705</v>
      </c>
      <c r="Q732" s="3">
        <v>44971</v>
      </c>
      <c r="R732" s="3">
        <v>44971</v>
      </c>
      <c r="S732" s="3">
        <v>45107</v>
      </c>
      <c r="T732" s="35"/>
      <c r="U732" s="3"/>
      <c r="V732" s="3"/>
      <c r="W732" s="50"/>
      <c r="X732" s="9">
        <v>15500000</v>
      </c>
      <c r="Y732" s="9">
        <f t="shared" si="31"/>
        <v>0</v>
      </c>
      <c r="Z732" s="34">
        <v>1</v>
      </c>
      <c r="AA732" s="1">
        <v>85467461</v>
      </c>
      <c r="AB732" s="1" t="s">
        <v>4693</v>
      </c>
      <c r="AC732" s="1"/>
      <c r="AD732" s="1"/>
      <c r="AE732" s="3"/>
      <c r="AF732" s="194" t="s">
        <v>4706</v>
      </c>
      <c r="AG732" s="15" t="s">
        <v>192</v>
      </c>
      <c r="AH732" s="15" t="s">
        <v>192</v>
      </c>
    </row>
    <row r="733" spans="1:34" s="4" customFormat="1" x14ac:dyDescent="0.25">
      <c r="A733" s="16">
        <v>891780554</v>
      </c>
      <c r="B733" s="16" t="s">
        <v>54</v>
      </c>
      <c r="C733" s="14" t="s">
        <v>57</v>
      </c>
      <c r="D733" s="16" t="s">
        <v>60</v>
      </c>
      <c r="E733" s="1" t="s">
        <v>4707</v>
      </c>
      <c r="F733" s="16" t="s">
        <v>61</v>
      </c>
      <c r="G733" s="1" t="s">
        <v>69</v>
      </c>
      <c r="H733" s="1" t="s">
        <v>73</v>
      </c>
      <c r="I733" s="9">
        <v>26600000</v>
      </c>
      <c r="J733" s="94"/>
      <c r="K733" s="2"/>
      <c r="L733" s="2"/>
      <c r="M733" s="40">
        <f t="shared" si="30"/>
        <v>26600000</v>
      </c>
      <c r="N733" s="1">
        <v>84088532</v>
      </c>
      <c r="O733" s="1" t="s">
        <v>4708</v>
      </c>
      <c r="P733" s="1" t="s">
        <v>4709</v>
      </c>
      <c r="Q733" s="3">
        <v>44971</v>
      </c>
      <c r="R733" s="3">
        <v>44971</v>
      </c>
      <c r="S733" s="3">
        <v>45138</v>
      </c>
      <c r="T733" s="35"/>
      <c r="U733" s="3"/>
      <c r="V733" s="3"/>
      <c r="W733" s="50"/>
      <c r="X733" s="9">
        <v>26600000</v>
      </c>
      <c r="Y733" s="9">
        <f t="shared" si="31"/>
        <v>0</v>
      </c>
      <c r="Z733" s="34">
        <v>1</v>
      </c>
      <c r="AA733" s="1">
        <v>57294316</v>
      </c>
      <c r="AB733" s="1" t="s">
        <v>2434</v>
      </c>
      <c r="AC733" s="1"/>
      <c r="AD733" s="1"/>
      <c r="AE733" s="3"/>
      <c r="AF733" s="194" t="s">
        <v>4710</v>
      </c>
      <c r="AG733" s="15" t="s">
        <v>192</v>
      </c>
      <c r="AH733" s="15" t="s">
        <v>192</v>
      </c>
    </row>
    <row r="734" spans="1:34" s="4" customFormat="1" x14ac:dyDescent="0.25">
      <c r="A734" s="16">
        <v>891780555</v>
      </c>
      <c r="B734" s="16" t="s">
        <v>54</v>
      </c>
      <c r="C734" s="14" t="s">
        <v>56</v>
      </c>
      <c r="D734" s="16" t="s">
        <v>60</v>
      </c>
      <c r="E734" s="1" t="s">
        <v>4711</v>
      </c>
      <c r="F734" s="16" t="s">
        <v>61</v>
      </c>
      <c r="G734" s="1" t="s">
        <v>69</v>
      </c>
      <c r="H734" s="1" t="s">
        <v>73</v>
      </c>
      <c r="I734" s="9">
        <v>11200000</v>
      </c>
      <c r="J734" s="94"/>
      <c r="K734" s="2"/>
      <c r="L734" s="2"/>
      <c r="M734" s="40">
        <f t="shared" si="30"/>
        <v>11200000</v>
      </c>
      <c r="N734" s="1">
        <v>1062402254</v>
      </c>
      <c r="O734" s="1" t="s">
        <v>4712</v>
      </c>
      <c r="P734" s="1" t="s">
        <v>4713</v>
      </c>
      <c r="Q734" s="3">
        <v>44980</v>
      </c>
      <c r="R734" s="3">
        <v>44980</v>
      </c>
      <c r="S734" s="3">
        <v>45077</v>
      </c>
      <c r="T734" s="35"/>
      <c r="U734" s="3"/>
      <c r="V734" s="3"/>
      <c r="W734" s="50"/>
      <c r="X734" s="9">
        <v>11200000</v>
      </c>
      <c r="Y734" s="9">
        <f t="shared" si="31"/>
        <v>0</v>
      </c>
      <c r="Z734" s="34">
        <v>1</v>
      </c>
      <c r="AA734" s="1">
        <v>57294316</v>
      </c>
      <c r="AB734" s="1" t="s">
        <v>2434</v>
      </c>
      <c r="AC734" s="1"/>
      <c r="AD734" s="1"/>
      <c r="AE734" s="3"/>
      <c r="AF734" s="194" t="s">
        <v>4714</v>
      </c>
      <c r="AG734" s="15" t="s">
        <v>192</v>
      </c>
      <c r="AH734" s="15" t="s">
        <v>192</v>
      </c>
    </row>
    <row r="735" spans="1:34" s="4" customFormat="1" x14ac:dyDescent="0.25">
      <c r="A735" s="16">
        <v>891780556</v>
      </c>
      <c r="B735" s="16" t="s">
        <v>54</v>
      </c>
      <c r="C735" s="14" t="s">
        <v>56</v>
      </c>
      <c r="D735" s="16" t="s">
        <v>60</v>
      </c>
      <c r="E735" s="1" t="s">
        <v>4715</v>
      </c>
      <c r="F735" s="16" t="s">
        <v>61</v>
      </c>
      <c r="G735" s="1" t="s">
        <v>69</v>
      </c>
      <c r="H735" s="1" t="s">
        <v>73</v>
      </c>
      <c r="I735" s="9">
        <v>14000000</v>
      </c>
      <c r="J735" s="94"/>
      <c r="K735" s="2"/>
      <c r="L735" s="2"/>
      <c r="M735" s="40">
        <f t="shared" si="30"/>
        <v>14000000</v>
      </c>
      <c r="N735" s="1">
        <v>1082920511</v>
      </c>
      <c r="O735" s="1" t="s">
        <v>4716</v>
      </c>
      <c r="P735" s="1" t="s">
        <v>4717</v>
      </c>
      <c r="Q735" s="3">
        <v>44986</v>
      </c>
      <c r="R735" s="3">
        <v>44986</v>
      </c>
      <c r="S735" s="3">
        <v>45107</v>
      </c>
      <c r="T735" s="35"/>
      <c r="U735" s="3"/>
      <c r="V735" s="3"/>
      <c r="W735" s="50"/>
      <c r="X735" s="9">
        <v>14000000</v>
      </c>
      <c r="Y735" s="9">
        <f t="shared" si="31"/>
        <v>0</v>
      </c>
      <c r="Z735" s="34">
        <v>1</v>
      </c>
      <c r="AA735" s="1">
        <v>57428039</v>
      </c>
      <c r="AB735" s="1" t="s">
        <v>4718</v>
      </c>
      <c r="AC735" s="1"/>
      <c r="AD735" s="1"/>
      <c r="AE735" s="3"/>
      <c r="AF735" s="194" t="s">
        <v>4719</v>
      </c>
      <c r="AG735" s="15" t="s">
        <v>192</v>
      </c>
      <c r="AH735" s="15" t="s">
        <v>192</v>
      </c>
    </row>
    <row r="736" spans="1:34" s="4" customFormat="1" x14ac:dyDescent="0.25">
      <c r="A736" s="16">
        <v>891780557</v>
      </c>
      <c r="B736" s="16" t="s">
        <v>54</v>
      </c>
      <c r="C736" s="14" t="s">
        <v>56</v>
      </c>
      <c r="D736" s="16" t="s">
        <v>60</v>
      </c>
      <c r="E736" s="1" t="s">
        <v>4720</v>
      </c>
      <c r="F736" s="16" t="s">
        <v>61</v>
      </c>
      <c r="G736" s="1" t="s">
        <v>69</v>
      </c>
      <c r="H736" s="1" t="s">
        <v>73</v>
      </c>
      <c r="I736" s="9">
        <v>14000000</v>
      </c>
      <c r="J736" s="94"/>
      <c r="K736" s="2"/>
      <c r="L736" s="2"/>
      <c r="M736" s="40">
        <f t="shared" si="30"/>
        <v>14000000</v>
      </c>
      <c r="N736" s="1">
        <v>1081825579</v>
      </c>
      <c r="O736" s="1" t="s">
        <v>4721</v>
      </c>
      <c r="P736" s="1" t="s">
        <v>4722</v>
      </c>
      <c r="Q736" s="3">
        <v>44986</v>
      </c>
      <c r="R736" s="3">
        <v>44986</v>
      </c>
      <c r="S736" s="3">
        <v>45107</v>
      </c>
      <c r="T736" s="35"/>
      <c r="U736" s="3"/>
      <c r="V736" s="3"/>
      <c r="W736" s="50"/>
      <c r="X736" s="9">
        <v>14000000</v>
      </c>
      <c r="Y736" s="9">
        <f t="shared" si="31"/>
        <v>0</v>
      </c>
      <c r="Z736" s="34">
        <v>1</v>
      </c>
      <c r="AA736" s="1">
        <v>85467461</v>
      </c>
      <c r="AB736" s="1" t="s">
        <v>4693</v>
      </c>
      <c r="AC736" s="1"/>
      <c r="AD736" s="1"/>
      <c r="AE736" s="3"/>
      <c r="AF736" s="194" t="s">
        <v>4723</v>
      </c>
      <c r="AG736" s="15" t="s">
        <v>192</v>
      </c>
      <c r="AH736" s="15" t="s">
        <v>192</v>
      </c>
    </row>
    <row r="737" spans="1:34" s="4" customFormat="1" x14ac:dyDescent="0.25">
      <c r="A737" s="16">
        <v>891780558</v>
      </c>
      <c r="B737" s="16" t="s">
        <v>54</v>
      </c>
      <c r="C737" s="14" t="s">
        <v>56</v>
      </c>
      <c r="D737" s="16" t="s">
        <v>60</v>
      </c>
      <c r="E737" s="1" t="s">
        <v>4724</v>
      </c>
      <c r="F737" s="16" t="s">
        <v>61</v>
      </c>
      <c r="G737" s="1" t="s">
        <v>69</v>
      </c>
      <c r="H737" s="1" t="s">
        <v>73</v>
      </c>
      <c r="I737" s="9">
        <v>14400000</v>
      </c>
      <c r="J737" s="94"/>
      <c r="K737" s="2"/>
      <c r="L737" s="2"/>
      <c r="M737" s="40">
        <f t="shared" si="30"/>
        <v>14400000</v>
      </c>
      <c r="N737" s="1">
        <v>7601537</v>
      </c>
      <c r="O737" s="1" t="s">
        <v>4725</v>
      </c>
      <c r="P737" s="1" t="s">
        <v>4726</v>
      </c>
      <c r="Q737" s="3">
        <v>44986</v>
      </c>
      <c r="R737" s="3">
        <v>44986</v>
      </c>
      <c r="S737" s="3">
        <v>45077</v>
      </c>
      <c r="T737" s="35"/>
      <c r="U737" s="3"/>
      <c r="V737" s="3"/>
      <c r="W737" s="50"/>
      <c r="X737" s="9">
        <v>14400000</v>
      </c>
      <c r="Y737" s="9">
        <f t="shared" si="31"/>
        <v>0</v>
      </c>
      <c r="Z737" s="34">
        <v>1</v>
      </c>
      <c r="AA737" s="1">
        <v>85467461</v>
      </c>
      <c r="AB737" s="1" t="s">
        <v>4693</v>
      </c>
      <c r="AC737" s="1"/>
      <c r="AD737" s="1"/>
      <c r="AE737" s="3"/>
      <c r="AF737" s="194" t="s">
        <v>4727</v>
      </c>
      <c r="AG737" s="15" t="s">
        <v>192</v>
      </c>
      <c r="AH737" s="15" t="s">
        <v>192</v>
      </c>
    </row>
    <row r="738" spans="1:34" s="4" customFormat="1" x14ac:dyDescent="0.25">
      <c r="A738" s="16">
        <v>891780559</v>
      </c>
      <c r="B738" s="16" t="s">
        <v>54</v>
      </c>
      <c r="C738" s="14" t="s">
        <v>56</v>
      </c>
      <c r="D738" s="16" t="s">
        <v>60</v>
      </c>
      <c r="E738" s="1" t="s">
        <v>4728</v>
      </c>
      <c r="F738" s="16" t="s">
        <v>61</v>
      </c>
      <c r="G738" s="1" t="s">
        <v>69</v>
      </c>
      <c r="H738" s="1" t="s">
        <v>73</v>
      </c>
      <c r="I738" s="9">
        <v>13600000</v>
      </c>
      <c r="J738" s="94"/>
      <c r="K738" s="2"/>
      <c r="L738" s="2"/>
      <c r="M738" s="40">
        <f t="shared" si="30"/>
        <v>13600000</v>
      </c>
      <c r="N738" s="1">
        <v>1082921716</v>
      </c>
      <c r="O738" s="1" t="s">
        <v>4729</v>
      </c>
      <c r="P738" s="1" t="s">
        <v>4730</v>
      </c>
      <c r="Q738" s="3">
        <v>44993</v>
      </c>
      <c r="R738" s="3">
        <v>44993</v>
      </c>
      <c r="S738" s="3">
        <v>45107</v>
      </c>
      <c r="T738" s="35"/>
      <c r="U738" s="3"/>
      <c r="V738" s="3"/>
      <c r="W738" s="50"/>
      <c r="X738" s="9">
        <v>13600000</v>
      </c>
      <c r="Y738" s="9">
        <f t="shared" si="31"/>
        <v>0</v>
      </c>
      <c r="Z738" s="34">
        <v>1</v>
      </c>
      <c r="AA738" s="1">
        <v>57428039</v>
      </c>
      <c r="AB738" s="1" t="s">
        <v>4718</v>
      </c>
      <c r="AC738" s="1"/>
      <c r="AD738" s="1"/>
      <c r="AE738" s="3"/>
      <c r="AF738" s="194" t="s">
        <v>4731</v>
      </c>
      <c r="AG738" s="15" t="s">
        <v>192</v>
      </c>
      <c r="AH738" s="15" t="s">
        <v>192</v>
      </c>
    </row>
    <row r="739" spans="1:34" s="4" customFormat="1" x14ac:dyDescent="0.25">
      <c r="A739" s="16">
        <v>891780560</v>
      </c>
      <c r="B739" s="16" t="s">
        <v>54</v>
      </c>
      <c r="C739" s="14" t="s">
        <v>57</v>
      </c>
      <c r="D739" s="16" t="s">
        <v>60</v>
      </c>
      <c r="E739" s="1" t="s">
        <v>4732</v>
      </c>
      <c r="F739" s="16" t="s">
        <v>61</v>
      </c>
      <c r="G739" s="1" t="s">
        <v>69</v>
      </c>
      <c r="H739" s="1" t="s">
        <v>73</v>
      </c>
      <c r="I739" s="9">
        <v>14400000</v>
      </c>
      <c r="J739" s="94"/>
      <c r="K739" s="2"/>
      <c r="L739" s="2"/>
      <c r="M739" s="40">
        <f t="shared" si="30"/>
        <v>14400000</v>
      </c>
      <c r="N739" s="1">
        <v>36718181</v>
      </c>
      <c r="O739" s="1" t="s">
        <v>4733</v>
      </c>
      <c r="P739" s="1" t="s">
        <v>4734</v>
      </c>
      <c r="Q739" s="3">
        <v>44994</v>
      </c>
      <c r="R739" s="3">
        <v>44994</v>
      </c>
      <c r="S739" s="3">
        <v>45107</v>
      </c>
      <c r="T739" s="35"/>
      <c r="U739" s="3"/>
      <c r="V739" s="3"/>
      <c r="W739" s="50"/>
      <c r="X739" s="9">
        <v>10800000</v>
      </c>
      <c r="Y739" s="9">
        <v>3600000</v>
      </c>
      <c r="Z739" s="34">
        <v>0.75</v>
      </c>
      <c r="AA739" s="1">
        <v>85471791</v>
      </c>
      <c r="AB739" s="1" t="s">
        <v>4356</v>
      </c>
      <c r="AC739" s="1"/>
      <c r="AD739" s="1"/>
      <c r="AE739" s="3"/>
      <c r="AF739" s="194" t="s">
        <v>4735</v>
      </c>
      <c r="AG739" s="15" t="s">
        <v>192</v>
      </c>
      <c r="AH739" s="15" t="s">
        <v>192</v>
      </c>
    </row>
    <row r="740" spans="1:34" s="4" customFormat="1" x14ac:dyDescent="0.25">
      <c r="A740" s="16">
        <v>891780561</v>
      </c>
      <c r="B740" s="16" t="s">
        <v>54</v>
      </c>
      <c r="C740" s="14" t="s">
        <v>56</v>
      </c>
      <c r="D740" s="16" t="s">
        <v>60</v>
      </c>
      <c r="E740" s="1" t="s">
        <v>4736</v>
      </c>
      <c r="F740" s="16" t="s">
        <v>61</v>
      </c>
      <c r="G740" s="1" t="s">
        <v>69</v>
      </c>
      <c r="H740" s="1" t="s">
        <v>73</v>
      </c>
      <c r="I740" s="9">
        <v>14000000</v>
      </c>
      <c r="J740" s="94"/>
      <c r="K740" s="2"/>
      <c r="L740" s="2"/>
      <c r="M740" s="40">
        <f t="shared" si="30"/>
        <v>14000000</v>
      </c>
      <c r="N740" s="1">
        <v>80826918</v>
      </c>
      <c r="O740" s="1" t="s">
        <v>4737</v>
      </c>
      <c r="P740" s="1" t="s">
        <v>4738</v>
      </c>
      <c r="Q740" s="3">
        <v>45008</v>
      </c>
      <c r="R740" s="3">
        <v>45008</v>
      </c>
      <c r="S740" s="3">
        <v>45122</v>
      </c>
      <c r="T740" s="35"/>
      <c r="U740" s="3"/>
      <c r="V740" s="3"/>
      <c r="W740" s="50"/>
      <c r="X740" s="9">
        <v>14000000</v>
      </c>
      <c r="Y740" s="9">
        <f t="shared" ref="Y740:Y742" si="32">M740-X740</f>
        <v>0</v>
      </c>
      <c r="Z740" s="34">
        <v>1</v>
      </c>
      <c r="AA740" s="1">
        <v>85471791</v>
      </c>
      <c r="AB740" s="1" t="s">
        <v>4356</v>
      </c>
      <c r="AC740" s="1"/>
      <c r="AD740" s="1"/>
      <c r="AE740" s="3"/>
      <c r="AF740" s="194" t="s">
        <v>4739</v>
      </c>
      <c r="AG740" s="15" t="s">
        <v>192</v>
      </c>
      <c r="AH740" s="15" t="s">
        <v>192</v>
      </c>
    </row>
    <row r="741" spans="1:34" s="4" customFormat="1" x14ac:dyDescent="0.25">
      <c r="A741" s="16">
        <v>891780562</v>
      </c>
      <c r="B741" s="16" t="s">
        <v>54</v>
      </c>
      <c r="C741" s="14" t="s">
        <v>57</v>
      </c>
      <c r="D741" s="16" t="s">
        <v>60</v>
      </c>
      <c r="E741" s="1" t="s">
        <v>4740</v>
      </c>
      <c r="F741" s="16" t="s">
        <v>61</v>
      </c>
      <c r="G741" s="1" t="s">
        <v>69</v>
      </c>
      <c r="H741" s="1" t="s">
        <v>73</v>
      </c>
      <c r="I741" s="9">
        <v>11200000</v>
      </c>
      <c r="J741" s="94"/>
      <c r="K741" s="2"/>
      <c r="L741" s="2"/>
      <c r="M741" s="40">
        <f t="shared" si="30"/>
        <v>11200000</v>
      </c>
      <c r="N741" s="1">
        <v>1082897369</v>
      </c>
      <c r="O741" s="1" t="s">
        <v>4741</v>
      </c>
      <c r="P741" s="1" t="s">
        <v>4742</v>
      </c>
      <c r="Q741" s="3">
        <v>45015</v>
      </c>
      <c r="R741" s="3">
        <v>45015</v>
      </c>
      <c r="S741" s="3">
        <v>45092</v>
      </c>
      <c r="T741" s="35"/>
      <c r="U741" s="3"/>
      <c r="V741" s="3"/>
      <c r="W741" s="50"/>
      <c r="X741" s="9">
        <v>11200000</v>
      </c>
      <c r="Y741" s="9">
        <f t="shared" si="32"/>
        <v>0</v>
      </c>
      <c r="Z741" s="34">
        <v>1</v>
      </c>
      <c r="AA741" s="1">
        <v>36669284</v>
      </c>
      <c r="AB741" s="1" t="s">
        <v>2501</v>
      </c>
      <c r="AC741" s="1"/>
      <c r="AD741" s="1"/>
      <c r="AE741" s="3"/>
      <c r="AF741" s="194" t="s">
        <v>4743</v>
      </c>
      <c r="AG741" s="15" t="s">
        <v>192</v>
      </c>
      <c r="AH741" s="15" t="s">
        <v>192</v>
      </c>
    </row>
    <row r="742" spans="1:34" s="4" customFormat="1" x14ac:dyDescent="0.25">
      <c r="A742" s="16">
        <v>891780563</v>
      </c>
      <c r="B742" s="16" t="s">
        <v>54</v>
      </c>
      <c r="C742" s="14" t="s">
        <v>57</v>
      </c>
      <c r="D742" s="16" t="s">
        <v>60</v>
      </c>
      <c r="E742" s="1" t="s">
        <v>4744</v>
      </c>
      <c r="F742" s="16" t="s">
        <v>61</v>
      </c>
      <c r="G742" s="1" t="s">
        <v>69</v>
      </c>
      <c r="H742" s="1" t="s">
        <v>73</v>
      </c>
      <c r="I742" s="9">
        <v>12400000</v>
      </c>
      <c r="J742" s="94"/>
      <c r="K742" s="2"/>
      <c r="L742" s="2"/>
      <c r="M742" s="40">
        <f t="shared" si="30"/>
        <v>12400000</v>
      </c>
      <c r="N742" s="1">
        <v>1083023448</v>
      </c>
      <c r="O742" s="1" t="s">
        <v>4745</v>
      </c>
      <c r="P742" s="1" t="s">
        <v>4746</v>
      </c>
      <c r="Q742" s="3">
        <v>45016</v>
      </c>
      <c r="R742" s="3">
        <v>45016</v>
      </c>
      <c r="S742" s="3">
        <v>45077</v>
      </c>
      <c r="T742" s="35"/>
      <c r="U742" s="3"/>
      <c r="V742" s="3"/>
      <c r="W742" s="50"/>
      <c r="X742" s="9">
        <v>12400000</v>
      </c>
      <c r="Y742" s="9">
        <f t="shared" si="32"/>
        <v>0</v>
      </c>
      <c r="Z742" s="34">
        <v>1</v>
      </c>
      <c r="AA742" s="1">
        <v>85471791</v>
      </c>
      <c r="AB742" s="1" t="s">
        <v>4356</v>
      </c>
      <c r="AC742" s="1"/>
      <c r="AD742" s="1"/>
      <c r="AE742" s="3"/>
      <c r="AF742" s="194" t="s">
        <v>4747</v>
      </c>
      <c r="AG742" s="15" t="s">
        <v>192</v>
      </c>
      <c r="AH742" s="15" t="s">
        <v>192</v>
      </c>
    </row>
    <row r="743" spans="1:34" s="4" customFormat="1" x14ac:dyDescent="0.25">
      <c r="A743" s="16">
        <v>891780564</v>
      </c>
      <c r="B743" s="16" t="s">
        <v>54</v>
      </c>
      <c r="C743" s="14" t="s">
        <v>57</v>
      </c>
      <c r="D743" s="16" t="s">
        <v>60</v>
      </c>
      <c r="E743" s="1" t="s">
        <v>4748</v>
      </c>
      <c r="F743" s="16" t="s">
        <v>61</v>
      </c>
      <c r="G743" s="1" t="s">
        <v>69</v>
      </c>
      <c r="H743" s="1" t="s">
        <v>73</v>
      </c>
      <c r="I743" s="9">
        <v>20400000</v>
      </c>
      <c r="J743" s="94"/>
      <c r="K743" s="2"/>
      <c r="L743" s="2"/>
      <c r="M743" s="40">
        <f t="shared" si="30"/>
        <v>20400000</v>
      </c>
      <c r="N743" s="1">
        <v>36722894</v>
      </c>
      <c r="O743" s="1" t="s">
        <v>4749</v>
      </c>
      <c r="P743" s="1" t="s">
        <v>4750</v>
      </c>
      <c r="Q743" s="3">
        <v>45016</v>
      </c>
      <c r="R743" s="3">
        <v>45016</v>
      </c>
      <c r="S743" s="3">
        <v>45156</v>
      </c>
      <c r="T743" s="35"/>
      <c r="U743" s="3"/>
      <c r="V743" s="3"/>
      <c r="W743" s="50"/>
      <c r="X743" s="9">
        <v>4080000</v>
      </c>
      <c r="Y743" s="9">
        <v>16320000</v>
      </c>
      <c r="Z743" s="34">
        <v>0.2</v>
      </c>
      <c r="AA743" s="1">
        <v>72221403</v>
      </c>
      <c r="AB743" s="1" t="s">
        <v>2259</v>
      </c>
      <c r="AC743" s="1"/>
      <c r="AD743" s="1"/>
      <c r="AE743" s="3"/>
      <c r="AF743" s="194" t="s">
        <v>4751</v>
      </c>
      <c r="AG743" s="15" t="s">
        <v>192</v>
      </c>
      <c r="AH743" s="15" t="s">
        <v>192</v>
      </c>
    </row>
    <row r="744" spans="1:34" s="4" customFormat="1" x14ac:dyDescent="0.25">
      <c r="A744" s="16">
        <v>891780565</v>
      </c>
      <c r="B744" s="16" t="s">
        <v>54</v>
      </c>
      <c r="C744" s="14" t="s">
        <v>57</v>
      </c>
      <c r="D744" s="16" t="s">
        <v>60</v>
      </c>
      <c r="E744" s="1" t="s">
        <v>4752</v>
      </c>
      <c r="F744" s="16" t="s">
        <v>61</v>
      </c>
      <c r="G744" s="1" t="s">
        <v>69</v>
      </c>
      <c r="H744" s="1" t="s">
        <v>73</v>
      </c>
      <c r="I744" s="9">
        <v>15600000</v>
      </c>
      <c r="J744" s="94">
        <v>1</v>
      </c>
      <c r="K744" s="2">
        <v>4000000</v>
      </c>
      <c r="L744" s="2"/>
      <c r="M744" s="40">
        <f t="shared" si="30"/>
        <v>19600000</v>
      </c>
      <c r="N744" s="1">
        <v>1081761255</v>
      </c>
      <c r="O744" s="1" t="s">
        <v>4753</v>
      </c>
      <c r="P744" s="1" t="s">
        <v>4754</v>
      </c>
      <c r="Q744" s="3">
        <v>45016</v>
      </c>
      <c r="R744" s="3">
        <v>45016</v>
      </c>
      <c r="S744" s="3">
        <v>45156</v>
      </c>
      <c r="T744" s="35"/>
      <c r="U744" s="3"/>
      <c r="V744" s="3"/>
      <c r="W744" s="50"/>
      <c r="X744" s="9">
        <v>16000000</v>
      </c>
      <c r="Y744" s="9">
        <v>3600000</v>
      </c>
      <c r="Z744" s="34">
        <v>0.81632653061224492</v>
      </c>
      <c r="AA744" s="1">
        <v>72221403</v>
      </c>
      <c r="AB744" s="1" t="s">
        <v>2259</v>
      </c>
      <c r="AC744" s="1"/>
      <c r="AD744" s="1"/>
      <c r="AE744" s="3"/>
      <c r="AF744" s="194" t="s">
        <v>4755</v>
      </c>
      <c r="AG744" s="15" t="s">
        <v>192</v>
      </c>
      <c r="AH744" s="15" t="s">
        <v>192</v>
      </c>
    </row>
    <row r="745" spans="1:34" s="4" customFormat="1" x14ac:dyDescent="0.25">
      <c r="A745" s="16">
        <v>891780566</v>
      </c>
      <c r="B745" s="16" t="s">
        <v>54</v>
      </c>
      <c r="C745" s="14" t="s">
        <v>57</v>
      </c>
      <c r="D745" s="16" t="s">
        <v>60</v>
      </c>
      <c r="E745" s="1" t="s">
        <v>4756</v>
      </c>
      <c r="F745" s="16" t="s">
        <v>61</v>
      </c>
      <c r="G745" s="1" t="s">
        <v>69</v>
      </c>
      <c r="H745" s="1" t="s">
        <v>73</v>
      </c>
      <c r="I745" s="9">
        <v>21600000</v>
      </c>
      <c r="J745" s="94"/>
      <c r="K745" s="2"/>
      <c r="L745" s="2"/>
      <c r="M745" s="40">
        <f t="shared" si="30"/>
        <v>21600000</v>
      </c>
      <c r="N745" s="1">
        <v>1065884773</v>
      </c>
      <c r="O745" s="1" t="s">
        <v>1114</v>
      </c>
      <c r="P745" s="1" t="s">
        <v>4757</v>
      </c>
      <c r="Q745" s="3">
        <v>45016</v>
      </c>
      <c r="R745" s="3">
        <v>45016</v>
      </c>
      <c r="S745" s="3">
        <v>45156</v>
      </c>
      <c r="T745" s="35"/>
      <c r="U745" s="3"/>
      <c r="V745" s="3"/>
      <c r="W745" s="50"/>
      <c r="X745" s="9">
        <v>5400000</v>
      </c>
      <c r="Y745" s="9">
        <v>16200000</v>
      </c>
      <c r="Z745" s="34">
        <v>0.25</v>
      </c>
      <c r="AA745" s="1">
        <v>72221403</v>
      </c>
      <c r="AB745" s="1" t="s">
        <v>2259</v>
      </c>
      <c r="AC745" s="1"/>
      <c r="AD745" s="1"/>
      <c r="AE745" s="3"/>
      <c r="AF745" s="194" t="s">
        <v>4758</v>
      </c>
      <c r="AG745" s="15" t="s">
        <v>192</v>
      </c>
      <c r="AH745" s="15" t="s">
        <v>192</v>
      </c>
    </row>
    <row r="746" spans="1:34" s="4" customFormat="1" x14ac:dyDescent="0.25">
      <c r="A746" s="16">
        <v>891780567</v>
      </c>
      <c r="B746" s="16" t="s">
        <v>54</v>
      </c>
      <c r="C746" s="14" t="s">
        <v>57</v>
      </c>
      <c r="D746" s="16" t="s">
        <v>60</v>
      </c>
      <c r="E746" s="1" t="s">
        <v>4759</v>
      </c>
      <c r="F746" s="16" t="s">
        <v>61</v>
      </c>
      <c r="G746" s="1" t="s">
        <v>69</v>
      </c>
      <c r="H746" s="1" t="s">
        <v>73</v>
      </c>
      <c r="I746" s="9">
        <v>15600000</v>
      </c>
      <c r="J746" s="94">
        <v>1</v>
      </c>
      <c r="K746" s="2"/>
      <c r="L746" s="2">
        <v>10400000</v>
      </c>
      <c r="M746" s="40">
        <f t="shared" si="30"/>
        <v>5200000</v>
      </c>
      <c r="N746" s="1">
        <v>43760150</v>
      </c>
      <c r="O746" s="1" t="s">
        <v>4760</v>
      </c>
      <c r="P746" s="1" t="s">
        <v>4761</v>
      </c>
      <c r="Q746" s="3">
        <v>45016</v>
      </c>
      <c r="R746" s="3">
        <v>45016</v>
      </c>
      <c r="S746" s="3">
        <v>45156</v>
      </c>
      <c r="T746" s="35"/>
      <c r="U746" s="3"/>
      <c r="V746" s="3"/>
      <c r="W746" s="50"/>
      <c r="X746" s="9">
        <v>5200000</v>
      </c>
      <c r="Y746" s="9">
        <f>M746-X746</f>
        <v>0</v>
      </c>
      <c r="Z746" s="34">
        <v>1</v>
      </c>
      <c r="AA746" s="1">
        <v>72221403</v>
      </c>
      <c r="AB746" s="1" t="s">
        <v>2259</v>
      </c>
      <c r="AC746" s="1"/>
      <c r="AD746" s="1"/>
      <c r="AE746" s="3"/>
      <c r="AF746" s="194" t="s">
        <v>4762</v>
      </c>
      <c r="AG746" s="15" t="s">
        <v>192</v>
      </c>
      <c r="AH746" s="15" t="s">
        <v>192</v>
      </c>
    </row>
    <row r="747" spans="1:34" s="4" customFormat="1" x14ac:dyDescent="0.25">
      <c r="A747" s="16">
        <v>891780568</v>
      </c>
      <c r="B747" s="16" t="s">
        <v>54</v>
      </c>
      <c r="C747" s="14" t="s">
        <v>57</v>
      </c>
      <c r="D747" s="16" t="s">
        <v>60</v>
      </c>
      <c r="E747" s="1" t="s">
        <v>4763</v>
      </c>
      <c r="F747" s="16" t="s">
        <v>61</v>
      </c>
      <c r="G747" s="1" t="s">
        <v>69</v>
      </c>
      <c r="H747" s="1" t="s">
        <v>73</v>
      </c>
      <c r="I747" s="9">
        <v>40737600</v>
      </c>
      <c r="J747" s="94"/>
      <c r="K747" s="2"/>
      <c r="L747" s="2"/>
      <c r="M747" s="40">
        <f t="shared" si="30"/>
        <v>40737600</v>
      </c>
      <c r="N747" s="1">
        <v>7144737</v>
      </c>
      <c r="O747" s="1" t="s">
        <v>4764</v>
      </c>
      <c r="P747" s="1" t="s">
        <v>4765</v>
      </c>
      <c r="Q747" s="3">
        <v>45016</v>
      </c>
      <c r="R747" s="3">
        <v>45016</v>
      </c>
      <c r="S747" s="3">
        <v>45156</v>
      </c>
      <c r="T747" s="35"/>
      <c r="U747" s="3"/>
      <c r="V747" s="3"/>
      <c r="W747" s="50"/>
      <c r="X747" s="9">
        <v>8147520</v>
      </c>
      <c r="Y747" s="9">
        <v>32590080</v>
      </c>
      <c r="Z747" s="34">
        <v>0.2</v>
      </c>
      <c r="AA747" s="1">
        <v>72221403</v>
      </c>
      <c r="AB747" s="1" t="s">
        <v>2259</v>
      </c>
      <c r="AC747" s="1"/>
      <c r="AD747" s="1"/>
      <c r="AE747" s="3"/>
      <c r="AF747" s="194" t="s">
        <v>4766</v>
      </c>
      <c r="AG747" s="15" t="s">
        <v>192</v>
      </c>
      <c r="AH747" s="15" t="s">
        <v>192</v>
      </c>
    </row>
    <row r="748" spans="1:34" s="4" customFormat="1" x14ac:dyDescent="0.25">
      <c r="A748" s="16">
        <v>891780569</v>
      </c>
      <c r="B748" s="16" t="s">
        <v>54</v>
      </c>
      <c r="C748" s="14" t="s">
        <v>57</v>
      </c>
      <c r="D748" s="16" t="s">
        <v>60</v>
      </c>
      <c r="E748" s="1" t="s">
        <v>4767</v>
      </c>
      <c r="F748" s="16" t="s">
        <v>61</v>
      </c>
      <c r="G748" s="1" t="s">
        <v>69</v>
      </c>
      <c r="H748" s="1" t="s">
        <v>73</v>
      </c>
      <c r="I748" s="9">
        <v>3400000</v>
      </c>
      <c r="J748" s="94"/>
      <c r="K748" s="2"/>
      <c r="L748" s="2"/>
      <c r="M748" s="40">
        <f t="shared" si="30"/>
        <v>3400000</v>
      </c>
      <c r="N748" s="1">
        <v>7601537</v>
      </c>
      <c r="O748" s="1" t="s">
        <v>4725</v>
      </c>
      <c r="P748" s="1" t="s">
        <v>4768</v>
      </c>
      <c r="Q748" s="3">
        <v>45016</v>
      </c>
      <c r="R748" s="3">
        <v>45016</v>
      </c>
      <c r="S748" s="3">
        <v>45032</v>
      </c>
      <c r="T748" s="35"/>
      <c r="U748" s="3"/>
      <c r="V748" s="3"/>
      <c r="W748" s="50"/>
      <c r="X748" s="9">
        <v>0</v>
      </c>
      <c r="Y748" s="9">
        <v>3400000</v>
      </c>
      <c r="Z748" s="34">
        <v>0</v>
      </c>
      <c r="AA748" s="1">
        <v>72221403</v>
      </c>
      <c r="AB748" s="1" t="s">
        <v>2259</v>
      </c>
      <c r="AC748" s="1"/>
      <c r="AD748" s="1"/>
      <c r="AE748" s="3"/>
      <c r="AF748" s="194" t="s">
        <v>4769</v>
      </c>
      <c r="AG748" s="15" t="s">
        <v>192</v>
      </c>
      <c r="AH748" s="15" t="s">
        <v>192</v>
      </c>
    </row>
    <row r="749" spans="1:34" s="4" customFormat="1" x14ac:dyDescent="0.25">
      <c r="A749" s="16">
        <v>891780570</v>
      </c>
      <c r="B749" s="16" t="s">
        <v>54</v>
      </c>
      <c r="C749" s="14" t="s">
        <v>57</v>
      </c>
      <c r="D749" s="16" t="s">
        <v>60</v>
      </c>
      <c r="E749" s="1" t="s">
        <v>4770</v>
      </c>
      <c r="F749" s="16" t="s">
        <v>61</v>
      </c>
      <c r="G749" s="1" t="s">
        <v>69</v>
      </c>
      <c r="H749" s="1" t="s">
        <v>73</v>
      </c>
      <c r="I749" s="9">
        <v>20400000</v>
      </c>
      <c r="J749" s="94"/>
      <c r="K749" s="2"/>
      <c r="L749" s="2"/>
      <c r="M749" s="40">
        <f t="shared" si="30"/>
        <v>20400000</v>
      </c>
      <c r="N749" s="1">
        <v>1121336275</v>
      </c>
      <c r="O749" s="1" t="s">
        <v>4771</v>
      </c>
      <c r="P749" s="1" t="s">
        <v>4772</v>
      </c>
      <c r="Q749" s="3">
        <v>45016</v>
      </c>
      <c r="R749" s="3">
        <v>45016</v>
      </c>
      <c r="S749" s="3">
        <v>45156</v>
      </c>
      <c r="T749" s="35"/>
      <c r="U749" s="3"/>
      <c r="V749" s="3"/>
      <c r="W749" s="50"/>
      <c r="X749" s="9">
        <v>4080000</v>
      </c>
      <c r="Y749" s="9">
        <v>16320000</v>
      </c>
      <c r="Z749" s="34">
        <v>0.2</v>
      </c>
      <c r="AA749" s="1">
        <v>72221403</v>
      </c>
      <c r="AB749" s="1" t="s">
        <v>2259</v>
      </c>
      <c r="AC749" s="1"/>
      <c r="AD749" s="1"/>
      <c r="AE749" s="3"/>
      <c r="AF749" s="194" t="s">
        <v>4773</v>
      </c>
      <c r="AG749" s="15" t="s">
        <v>192</v>
      </c>
      <c r="AH749" s="15" t="s">
        <v>192</v>
      </c>
    </row>
    <row r="750" spans="1:34" s="4" customFormat="1" x14ac:dyDescent="0.25">
      <c r="A750" s="16">
        <v>891780571</v>
      </c>
      <c r="B750" s="16" t="s">
        <v>54</v>
      </c>
      <c r="C750" s="14" t="s">
        <v>57</v>
      </c>
      <c r="D750" s="16" t="s">
        <v>60</v>
      </c>
      <c r="E750" s="1" t="s">
        <v>4774</v>
      </c>
      <c r="F750" s="16" t="s">
        <v>61</v>
      </c>
      <c r="G750" s="1" t="s">
        <v>69</v>
      </c>
      <c r="H750" s="1" t="s">
        <v>73</v>
      </c>
      <c r="I750" s="9">
        <v>20400000</v>
      </c>
      <c r="J750" s="94"/>
      <c r="K750" s="2"/>
      <c r="L750" s="2"/>
      <c r="M750" s="40">
        <f t="shared" si="30"/>
        <v>20400000</v>
      </c>
      <c r="N750" s="1">
        <v>1083028827</v>
      </c>
      <c r="O750" s="1" t="s">
        <v>4775</v>
      </c>
      <c r="P750" s="1" t="s">
        <v>4776</v>
      </c>
      <c r="Q750" s="3">
        <v>45033</v>
      </c>
      <c r="R750" s="3">
        <v>45033</v>
      </c>
      <c r="S750" s="3">
        <v>45156</v>
      </c>
      <c r="T750" s="35"/>
      <c r="U750" s="3"/>
      <c r="V750" s="3"/>
      <c r="W750" s="50"/>
      <c r="X750" s="9">
        <v>4080000</v>
      </c>
      <c r="Y750" s="9">
        <v>16320000</v>
      </c>
      <c r="Z750" s="34">
        <v>0.2</v>
      </c>
      <c r="AA750" s="1">
        <v>72221403</v>
      </c>
      <c r="AB750" s="1" t="s">
        <v>2259</v>
      </c>
      <c r="AC750" s="1"/>
      <c r="AD750" s="1"/>
      <c r="AE750" s="3"/>
      <c r="AF750" s="194" t="s">
        <v>4777</v>
      </c>
      <c r="AG750" s="15" t="s">
        <v>192</v>
      </c>
      <c r="AH750" s="15" t="s">
        <v>192</v>
      </c>
    </row>
    <row r="751" spans="1:34" s="4" customFormat="1" x14ac:dyDescent="0.25">
      <c r="A751" s="16">
        <v>891780572</v>
      </c>
      <c r="B751" s="16" t="s">
        <v>54</v>
      </c>
      <c r="C751" s="14" t="s">
        <v>57</v>
      </c>
      <c r="D751" s="16" t="s">
        <v>60</v>
      </c>
      <c r="E751" s="1" t="s">
        <v>4778</v>
      </c>
      <c r="F751" s="16" t="s">
        <v>61</v>
      </c>
      <c r="G751" s="1" t="s">
        <v>69</v>
      </c>
      <c r="H751" s="1" t="s">
        <v>73</v>
      </c>
      <c r="I751" s="9">
        <v>9960000</v>
      </c>
      <c r="J751" s="94"/>
      <c r="K751" s="2"/>
      <c r="L751" s="2"/>
      <c r="M751" s="40">
        <f t="shared" si="30"/>
        <v>9960000</v>
      </c>
      <c r="N751" s="1">
        <v>1006713449</v>
      </c>
      <c r="O751" s="1" t="s">
        <v>4779</v>
      </c>
      <c r="P751" s="1" t="s">
        <v>4780</v>
      </c>
      <c r="Q751" s="3">
        <v>45042</v>
      </c>
      <c r="R751" s="3">
        <v>45042</v>
      </c>
      <c r="S751" s="3">
        <v>45156</v>
      </c>
      <c r="T751" s="35"/>
      <c r="U751" s="3"/>
      <c r="V751" s="3"/>
      <c r="W751" s="50"/>
      <c r="X751" s="9">
        <v>1992000</v>
      </c>
      <c r="Y751" s="9">
        <v>7968000</v>
      </c>
      <c r="Z751" s="34">
        <v>0.2</v>
      </c>
      <c r="AA751" s="1">
        <v>72221403</v>
      </c>
      <c r="AB751" s="1" t="s">
        <v>2259</v>
      </c>
      <c r="AC751" s="1"/>
      <c r="AD751" s="1"/>
      <c r="AE751" s="3"/>
      <c r="AF751" s="194" t="s">
        <v>4781</v>
      </c>
      <c r="AG751" s="15" t="s">
        <v>192</v>
      </c>
      <c r="AH751" s="15" t="s">
        <v>192</v>
      </c>
    </row>
    <row r="752" spans="1:34" s="4" customFormat="1" x14ac:dyDescent="0.25">
      <c r="A752" s="16">
        <v>891780573</v>
      </c>
      <c r="B752" s="16" t="s">
        <v>54</v>
      </c>
      <c r="C752" s="14" t="s">
        <v>57</v>
      </c>
      <c r="D752" s="16" t="s">
        <v>60</v>
      </c>
      <c r="E752" s="1" t="s">
        <v>4782</v>
      </c>
      <c r="F752" s="16" t="s">
        <v>61</v>
      </c>
      <c r="G752" s="1" t="s">
        <v>69</v>
      </c>
      <c r="H752" s="1" t="s">
        <v>73</v>
      </c>
      <c r="I752" s="9">
        <v>9960000</v>
      </c>
      <c r="J752" s="94"/>
      <c r="K752" s="2"/>
      <c r="L752" s="2"/>
      <c r="M752" s="40">
        <f t="shared" si="30"/>
        <v>9960000</v>
      </c>
      <c r="N752" s="1">
        <v>1004354533</v>
      </c>
      <c r="O752" s="1" t="s">
        <v>4783</v>
      </c>
      <c r="P752" s="1" t="s">
        <v>4784</v>
      </c>
      <c r="Q752" s="3">
        <v>45042</v>
      </c>
      <c r="R752" s="3">
        <v>45042</v>
      </c>
      <c r="S752" s="3">
        <v>45156</v>
      </c>
      <c r="T752" s="35"/>
      <c r="U752" s="3"/>
      <c r="V752" s="3"/>
      <c r="W752" s="50"/>
      <c r="X752" s="9">
        <v>1992000</v>
      </c>
      <c r="Y752" s="9">
        <v>7968000</v>
      </c>
      <c r="Z752" s="34">
        <v>0.2</v>
      </c>
      <c r="AA752" s="1">
        <v>72221403</v>
      </c>
      <c r="AB752" s="1" t="s">
        <v>2259</v>
      </c>
      <c r="AC752" s="1"/>
      <c r="AD752" s="1"/>
      <c r="AE752" s="3"/>
      <c r="AF752" s="194" t="s">
        <v>4785</v>
      </c>
      <c r="AG752" s="15" t="s">
        <v>192</v>
      </c>
      <c r="AH752" s="15" t="s">
        <v>192</v>
      </c>
    </row>
    <row r="753" spans="1:34" s="4" customFormat="1" x14ac:dyDescent="0.25">
      <c r="A753" s="16">
        <v>891780574</v>
      </c>
      <c r="B753" s="16" t="s">
        <v>54</v>
      </c>
      <c r="C753" s="14" t="s">
        <v>56</v>
      </c>
      <c r="D753" s="16" t="s">
        <v>60</v>
      </c>
      <c r="E753" s="1" t="s">
        <v>4786</v>
      </c>
      <c r="F753" s="16" t="s">
        <v>61</v>
      </c>
      <c r="G753" s="1" t="s">
        <v>69</v>
      </c>
      <c r="H753" s="1" t="s">
        <v>73</v>
      </c>
      <c r="I753" s="9">
        <v>13600000</v>
      </c>
      <c r="J753" s="94"/>
      <c r="K753" s="2"/>
      <c r="L753" s="2"/>
      <c r="M753" s="40">
        <f t="shared" si="30"/>
        <v>13600000</v>
      </c>
      <c r="N753" s="1">
        <v>85476075</v>
      </c>
      <c r="O753" s="1" t="s">
        <v>4787</v>
      </c>
      <c r="P753" s="1" t="s">
        <v>4788</v>
      </c>
      <c r="Q753" s="3">
        <v>45036</v>
      </c>
      <c r="R753" s="3">
        <v>45036</v>
      </c>
      <c r="S753" s="3">
        <v>45149</v>
      </c>
      <c r="T753" s="35"/>
      <c r="U753" s="3"/>
      <c r="V753" s="3"/>
      <c r="W753" s="50"/>
      <c r="X753" s="9">
        <v>6800000</v>
      </c>
      <c r="Y753" s="9">
        <v>6800000</v>
      </c>
      <c r="Z753" s="34">
        <v>0.5</v>
      </c>
      <c r="AA753" s="1">
        <v>85471791</v>
      </c>
      <c r="AB753" s="1" t="s">
        <v>4356</v>
      </c>
      <c r="AC753" s="1"/>
      <c r="AD753" s="1"/>
      <c r="AE753" s="3"/>
      <c r="AF753" s="194" t="s">
        <v>4789</v>
      </c>
      <c r="AG753" s="15" t="s">
        <v>192</v>
      </c>
      <c r="AH753" s="15" t="s">
        <v>192</v>
      </c>
    </row>
    <row r="754" spans="1:34" s="4" customFormat="1" x14ac:dyDescent="0.25">
      <c r="A754" s="16">
        <v>891780575</v>
      </c>
      <c r="B754" s="16" t="s">
        <v>54</v>
      </c>
      <c r="C754" s="14" t="s">
        <v>56</v>
      </c>
      <c r="D754" s="16" t="s">
        <v>60</v>
      </c>
      <c r="E754" s="1" t="s">
        <v>4790</v>
      </c>
      <c r="F754" s="16" t="s">
        <v>61</v>
      </c>
      <c r="G754" s="1" t="s">
        <v>69</v>
      </c>
      <c r="H754" s="1" t="s">
        <v>73</v>
      </c>
      <c r="I754" s="9">
        <v>17000000</v>
      </c>
      <c r="J754" s="94"/>
      <c r="K754" s="2"/>
      <c r="L754" s="2"/>
      <c r="M754" s="40">
        <f t="shared" si="30"/>
        <v>17000000</v>
      </c>
      <c r="N754" s="1">
        <v>1004369998</v>
      </c>
      <c r="O754" s="1" t="s">
        <v>1552</v>
      </c>
      <c r="P754" s="1" t="s">
        <v>4791</v>
      </c>
      <c r="Q754" s="3">
        <v>44974</v>
      </c>
      <c r="R754" s="3">
        <v>44974</v>
      </c>
      <c r="S754" s="3">
        <v>45107</v>
      </c>
      <c r="T754" s="35"/>
      <c r="U754" s="3"/>
      <c r="V754" s="3"/>
      <c r="W754" s="50"/>
      <c r="X754" s="9">
        <v>13600000</v>
      </c>
      <c r="Y754" s="9">
        <v>3400000</v>
      </c>
      <c r="Z754" s="34">
        <v>0.8</v>
      </c>
      <c r="AA754" s="1">
        <v>85467461</v>
      </c>
      <c r="AB754" s="1" t="s">
        <v>4693</v>
      </c>
      <c r="AC754" s="1"/>
      <c r="AD754" s="1"/>
      <c r="AE754" s="3"/>
      <c r="AF754" s="194" t="s">
        <v>4792</v>
      </c>
      <c r="AG754" s="15" t="s">
        <v>192</v>
      </c>
      <c r="AH754" s="15" t="s">
        <v>192</v>
      </c>
    </row>
    <row r="755" spans="1:34" s="4" customFormat="1" x14ac:dyDescent="0.25">
      <c r="A755" s="16">
        <v>891780576</v>
      </c>
      <c r="B755" s="16" t="s">
        <v>54</v>
      </c>
      <c r="C755" s="14" t="s">
        <v>57</v>
      </c>
      <c r="D755" s="16" t="s">
        <v>60</v>
      </c>
      <c r="E755" s="1" t="s">
        <v>4793</v>
      </c>
      <c r="F755" s="16" t="s">
        <v>61</v>
      </c>
      <c r="G755" s="1" t="s">
        <v>69</v>
      </c>
      <c r="H755" s="1" t="s">
        <v>73</v>
      </c>
      <c r="I755" s="9">
        <v>141525844</v>
      </c>
      <c r="J755" s="94"/>
      <c r="K755" s="2"/>
      <c r="L755" s="2"/>
      <c r="M755" s="40">
        <f t="shared" si="30"/>
        <v>141525844</v>
      </c>
      <c r="N755" s="1" t="s">
        <v>4794</v>
      </c>
      <c r="O755" s="1" t="s">
        <v>4795</v>
      </c>
      <c r="P755" s="1" t="s">
        <v>4796</v>
      </c>
      <c r="Q755" s="3">
        <v>45072</v>
      </c>
      <c r="R755" s="3">
        <v>45072</v>
      </c>
      <c r="S755" s="3">
        <v>45156</v>
      </c>
      <c r="T755" s="35"/>
      <c r="U755" s="3"/>
      <c r="V755" s="3"/>
      <c r="W755" s="50"/>
      <c r="X755" s="9">
        <v>0</v>
      </c>
      <c r="Y755" s="9">
        <v>141525844</v>
      </c>
      <c r="Z755" s="34">
        <v>0</v>
      </c>
      <c r="AA755" s="1">
        <v>72221403</v>
      </c>
      <c r="AB755" s="1" t="s">
        <v>2259</v>
      </c>
      <c r="AC755" s="1"/>
      <c r="AD755" s="1"/>
      <c r="AE755" s="3"/>
      <c r="AF755" s="194" t="s">
        <v>4797</v>
      </c>
      <c r="AG755" s="15" t="s">
        <v>192</v>
      </c>
      <c r="AH755" s="15" t="s">
        <v>191</v>
      </c>
    </row>
    <row r="756" spans="1:34" s="4" customFormat="1" x14ac:dyDescent="0.25">
      <c r="A756" s="16">
        <v>891780577</v>
      </c>
      <c r="B756" s="16" t="s">
        <v>54</v>
      </c>
      <c r="C756" s="14" t="s">
        <v>57</v>
      </c>
      <c r="D756" s="16" t="s">
        <v>60</v>
      </c>
      <c r="E756" s="1" t="s">
        <v>4798</v>
      </c>
      <c r="F756" s="16" t="s">
        <v>61</v>
      </c>
      <c r="G756" s="1" t="s">
        <v>69</v>
      </c>
      <c r="H756" s="1" t="s">
        <v>73</v>
      </c>
      <c r="I756" s="9">
        <v>101838673</v>
      </c>
      <c r="J756" s="94"/>
      <c r="K756" s="2"/>
      <c r="L756" s="2"/>
      <c r="M756" s="40">
        <f t="shared" si="30"/>
        <v>101838673</v>
      </c>
      <c r="N756" s="1">
        <v>1082841741</v>
      </c>
      <c r="O756" s="1" t="s">
        <v>4799</v>
      </c>
      <c r="P756" s="1" t="s">
        <v>4800</v>
      </c>
      <c r="Q756" s="3">
        <v>45072</v>
      </c>
      <c r="R756" s="3">
        <v>45083</v>
      </c>
      <c r="S756" s="3">
        <v>45156</v>
      </c>
      <c r="T756" s="35"/>
      <c r="U756" s="3"/>
      <c r="V756" s="3"/>
      <c r="W756" s="50"/>
      <c r="X756" s="9">
        <v>43330171</v>
      </c>
      <c r="Y756" s="9">
        <v>58508502</v>
      </c>
      <c r="Z756" s="34">
        <v>0.42547855076626934</v>
      </c>
      <c r="AA756" s="1">
        <v>72221403</v>
      </c>
      <c r="AB756" s="1" t="s">
        <v>2259</v>
      </c>
      <c r="AC756" s="1"/>
      <c r="AD756" s="1"/>
      <c r="AE756" s="3"/>
      <c r="AF756" s="194" t="s">
        <v>4801</v>
      </c>
      <c r="AG756" s="15" t="s">
        <v>192</v>
      </c>
      <c r="AH756" s="15" t="s">
        <v>191</v>
      </c>
    </row>
    <row r="757" spans="1:34" s="4" customFormat="1" x14ac:dyDescent="0.25">
      <c r="A757" s="16">
        <v>891780578</v>
      </c>
      <c r="B757" s="16" t="s">
        <v>54</v>
      </c>
      <c r="C757" s="14" t="s">
        <v>56</v>
      </c>
      <c r="D757" s="16" t="s">
        <v>60</v>
      </c>
      <c r="E757" s="1" t="s">
        <v>4802</v>
      </c>
      <c r="F757" s="16" t="s">
        <v>61</v>
      </c>
      <c r="G757" s="1" t="s">
        <v>69</v>
      </c>
      <c r="H757" s="1" t="s">
        <v>73</v>
      </c>
      <c r="I757" s="9">
        <v>2800000</v>
      </c>
      <c r="J757" s="94"/>
      <c r="K757" s="2"/>
      <c r="L757" s="2"/>
      <c r="M757" s="40">
        <f t="shared" si="30"/>
        <v>2800000</v>
      </c>
      <c r="N757" s="1">
        <v>1062402254</v>
      </c>
      <c r="O757" s="1" t="s">
        <v>4712</v>
      </c>
      <c r="P757" s="1" t="s">
        <v>4803</v>
      </c>
      <c r="Q757" s="3">
        <v>45079</v>
      </c>
      <c r="R757" s="3">
        <v>45079</v>
      </c>
      <c r="S757" s="3">
        <v>45107</v>
      </c>
      <c r="T757" s="35"/>
      <c r="U757" s="3"/>
      <c r="V757" s="3"/>
      <c r="W757" s="50"/>
      <c r="X757" s="9">
        <v>2800000</v>
      </c>
      <c r="Y757" s="9">
        <f>M757-X757</f>
        <v>0</v>
      </c>
      <c r="Z757" s="34">
        <v>1</v>
      </c>
      <c r="AA757" s="1">
        <v>57294316</v>
      </c>
      <c r="AB757" s="1" t="s">
        <v>2434</v>
      </c>
      <c r="AC757" s="1"/>
      <c r="AD757" s="1"/>
      <c r="AE757" s="3"/>
      <c r="AF757" s="194" t="s">
        <v>4804</v>
      </c>
      <c r="AG757" s="15" t="s">
        <v>192</v>
      </c>
      <c r="AH757" s="15" t="s">
        <v>192</v>
      </c>
    </row>
    <row r="758" spans="1:34" s="4" customFormat="1" x14ac:dyDescent="0.25">
      <c r="A758" s="16">
        <v>891780579</v>
      </c>
      <c r="B758" s="16" t="s">
        <v>54</v>
      </c>
      <c r="C758" s="14" t="s">
        <v>57</v>
      </c>
      <c r="D758" s="16" t="s">
        <v>60</v>
      </c>
      <c r="E758" s="1" t="s">
        <v>4805</v>
      </c>
      <c r="F758" s="16" t="s">
        <v>61</v>
      </c>
      <c r="G758" s="1" t="s">
        <v>69</v>
      </c>
      <c r="H758" s="1" t="s">
        <v>73</v>
      </c>
      <c r="I758" s="9">
        <v>21217500</v>
      </c>
      <c r="J758" s="94"/>
      <c r="K758" s="2"/>
      <c r="L758" s="2"/>
      <c r="M758" s="40">
        <f t="shared" si="30"/>
        <v>21217500</v>
      </c>
      <c r="N758" s="1">
        <v>85473784</v>
      </c>
      <c r="O758" s="1" t="s">
        <v>4806</v>
      </c>
      <c r="P758" s="1" t="s">
        <v>4807</v>
      </c>
      <c r="Q758" s="3">
        <v>45084</v>
      </c>
      <c r="R758" s="3">
        <v>45084</v>
      </c>
      <c r="S758" s="3">
        <v>45156</v>
      </c>
      <c r="T758" s="35"/>
      <c r="U758" s="3"/>
      <c r="V758" s="3"/>
      <c r="W758" s="50"/>
      <c r="X758" s="9">
        <v>0</v>
      </c>
      <c r="Y758" s="9">
        <v>21217500</v>
      </c>
      <c r="Z758" s="34">
        <v>0</v>
      </c>
      <c r="AA758" s="1">
        <v>72221403</v>
      </c>
      <c r="AB758" s="1" t="s">
        <v>2259</v>
      </c>
      <c r="AC758" s="1"/>
      <c r="AD758" s="1"/>
      <c r="AE758" s="3"/>
      <c r="AF758" s="194" t="s">
        <v>4808</v>
      </c>
      <c r="AG758" s="15" t="s">
        <v>192</v>
      </c>
      <c r="AH758" s="15"/>
    </row>
    <row r="759" spans="1:34" s="4" customFormat="1" x14ac:dyDescent="0.25">
      <c r="A759" s="16">
        <v>891780579</v>
      </c>
      <c r="B759" s="16" t="s">
        <v>54</v>
      </c>
      <c r="C759" s="14" t="s">
        <v>56</v>
      </c>
      <c r="D759" s="16" t="s">
        <v>60</v>
      </c>
      <c r="E759" s="1" t="s">
        <v>4809</v>
      </c>
      <c r="F759" s="16" t="s">
        <v>61</v>
      </c>
      <c r="G759" s="1" t="s">
        <v>69</v>
      </c>
      <c r="H759" s="1" t="s">
        <v>73</v>
      </c>
      <c r="I759" s="9">
        <v>2800000</v>
      </c>
      <c r="J759" s="94"/>
      <c r="K759" s="2"/>
      <c r="L759" s="2"/>
      <c r="M759" s="40">
        <f t="shared" si="30"/>
        <v>2800000</v>
      </c>
      <c r="N759" s="1">
        <v>11200000</v>
      </c>
      <c r="O759" s="1" t="s">
        <v>4712</v>
      </c>
      <c r="P759" s="1" t="s">
        <v>4810</v>
      </c>
      <c r="Q759" s="3">
        <v>45113</v>
      </c>
      <c r="R759" s="3">
        <v>45114</v>
      </c>
      <c r="S759" s="3">
        <v>45138</v>
      </c>
      <c r="T759" s="35"/>
      <c r="U759" s="3"/>
      <c r="V759" s="3"/>
      <c r="W759" s="50"/>
      <c r="X759" s="9">
        <v>2800000</v>
      </c>
      <c r="Y759" s="9">
        <f>M759-X759</f>
        <v>0</v>
      </c>
      <c r="Z759" s="34">
        <v>1</v>
      </c>
      <c r="AA759" s="1">
        <v>57294316</v>
      </c>
      <c r="AB759" s="1" t="s">
        <v>2434</v>
      </c>
      <c r="AC759" s="1"/>
      <c r="AD759" s="1"/>
      <c r="AE759" s="3"/>
      <c r="AF759" s="194" t="s">
        <v>4811</v>
      </c>
      <c r="AG759" s="15" t="s">
        <v>192</v>
      </c>
      <c r="AH759" s="15" t="s">
        <v>192</v>
      </c>
    </row>
    <row r="760" spans="1:34" s="4" customFormat="1" x14ac:dyDescent="0.25">
      <c r="A760" s="16">
        <v>891780579</v>
      </c>
      <c r="B760" s="16" t="s">
        <v>54</v>
      </c>
      <c r="C760" s="14" t="s">
        <v>56</v>
      </c>
      <c r="D760" s="16" t="s">
        <v>60</v>
      </c>
      <c r="E760" s="1" t="s">
        <v>4812</v>
      </c>
      <c r="F760" s="16" t="s">
        <v>61</v>
      </c>
      <c r="G760" s="1" t="s">
        <v>69</v>
      </c>
      <c r="H760" s="1" t="s">
        <v>73</v>
      </c>
      <c r="I760" s="9">
        <v>4000000</v>
      </c>
      <c r="J760" s="94"/>
      <c r="K760" s="2"/>
      <c r="L760" s="2"/>
      <c r="M760" s="40">
        <f t="shared" si="30"/>
        <v>4000000</v>
      </c>
      <c r="N760" s="1">
        <v>1091662627</v>
      </c>
      <c r="O760" s="1" t="s">
        <v>4644</v>
      </c>
      <c r="P760" s="1" t="s">
        <v>4813</v>
      </c>
      <c r="Q760" s="3">
        <v>45119</v>
      </c>
      <c r="R760" s="3">
        <v>45119</v>
      </c>
      <c r="S760" s="3">
        <v>45138</v>
      </c>
      <c r="T760" s="35"/>
      <c r="U760" s="3"/>
      <c r="V760" s="3"/>
      <c r="W760" s="50"/>
      <c r="X760" s="9">
        <v>0</v>
      </c>
      <c r="Y760" s="9">
        <v>4000000</v>
      </c>
      <c r="Z760" s="34">
        <v>0</v>
      </c>
      <c r="AA760" s="1">
        <v>85471791</v>
      </c>
      <c r="AB760" s="1" t="s">
        <v>4356</v>
      </c>
      <c r="AC760" s="1"/>
      <c r="AD760" s="1"/>
      <c r="AE760" s="3"/>
      <c r="AF760" s="194" t="s">
        <v>4814</v>
      </c>
      <c r="AG760" s="15" t="s">
        <v>192</v>
      </c>
      <c r="AH760" s="15" t="s">
        <v>192</v>
      </c>
    </row>
    <row r="761" spans="1:34" s="4" customFormat="1" x14ac:dyDescent="0.25">
      <c r="A761" s="16">
        <v>891780579</v>
      </c>
      <c r="B761" s="16" t="s">
        <v>54</v>
      </c>
      <c r="C761" s="14" t="s">
        <v>56</v>
      </c>
      <c r="D761" s="16" t="s">
        <v>60</v>
      </c>
      <c r="E761" s="1" t="s">
        <v>4815</v>
      </c>
      <c r="F761" s="16" t="s">
        <v>61</v>
      </c>
      <c r="G761" s="1" t="s">
        <v>69</v>
      </c>
      <c r="H761" s="1" t="s">
        <v>73</v>
      </c>
      <c r="I761" s="9">
        <v>4000000</v>
      </c>
      <c r="J761" s="94"/>
      <c r="K761" s="2"/>
      <c r="L761" s="2"/>
      <c r="M761" s="40">
        <f t="shared" si="30"/>
        <v>4000000</v>
      </c>
      <c r="N761" s="1">
        <v>6910909</v>
      </c>
      <c r="O761" s="1" t="s">
        <v>4648</v>
      </c>
      <c r="P761" s="1" t="s">
        <v>4813</v>
      </c>
      <c r="Q761" s="3">
        <v>45119</v>
      </c>
      <c r="R761" s="3">
        <v>45119</v>
      </c>
      <c r="S761" s="3">
        <v>45138</v>
      </c>
      <c r="T761" s="35"/>
      <c r="U761" s="3"/>
      <c r="V761" s="3"/>
      <c r="W761" s="50"/>
      <c r="X761" s="9">
        <v>0</v>
      </c>
      <c r="Y761" s="9">
        <v>4000000</v>
      </c>
      <c r="Z761" s="34">
        <v>0</v>
      </c>
      <c r="AA761" s="1">
        <v>85471791</v>
      </c>
      <c r="AB761" s="1" t="s">
        <v>4356</v>
      </c>
      <c r="AC761" s="1"/>
      <c r="AD761" s="1"/>
      <c r="AE761" s="3"/>
      <c r="AF761" s="194" t="s">
        <v>4816</v>
      </c>
      <c r="AG761" s="15" t="s">
        <v>192</v>
      </c>
      <c r="AH761" s="15" t="s">
        <v>192</v>
      </c>
    </row>
    <row r="762" spans="1:34" s="4" customFormat="1" x14ac:dyDescent="0.25">
      <c r="A762" s="16">
        <v>891780579</v>
      </c>
      <c r="B762" s="16" t="s">
        <v>54</v>
      </c>
      <c r="C762" s="14" t="s">
        <v>57</v>
      </c>
      <c r="D762" s="16" t="s">
        <v>60</v>
      </c>
      <c r="E762" s="1" t="s">
        <v>4817</v>
      </c>
      <c r="F762" s="16" t="s">
        <v>61</v>
      </c>
      <c r="G762" s="1" t="s">
        <v>69</v>
      </c>
      <c r="H762" s="1" t="s">
        <v>73</v>
      </c>
      <c r="I762" s="9">
        <v>3600000</v>
      </c>
      <c r="J762" s="94"/>
      <c r="K762" s="2"/>
      <c r="L762" s="2"/>
      <c r="M762" s="40">
        <f t="shared" si="30"/>
        <v>3600000</v>
      </c>
      <c r="N762" s="1">
        <v>57432322</v>
      </c>
      <c r="O762" s="1" t="s">
        <v>4818</v>
      </c>
      <c r="P762" s="1" t="s">
        <v>4819</v>
      </c>
      <c r="Q762" s="3">
        <v>45126</v>
      </c>
      <c r="R762" s="3">
        <v>45126</v>
      </c>
      <c r="S762" s="3">
        <v>45143</v>
      </c>
      <c r="T762" s="35"/>
      <c r="U762" s="3"/>
      <c r="V762" s="3"/>
      <c r="W762" s="50"/>
      <c r="X762" s="9">
        <v>0</v>
      </c>
      <c r="Y762" s="9">
        <v>3600000</v>
      </c>
      <c r="Z762" s="34">
        <v>0</v>
      </c>
      <c r="AA762" s="1">
        <v>72221403</v>
      </c>
      <c r="AB762" s="1" t="s">
        <v>2259</v>
      </c>
      <c r="AC762" s="1"/>
      <c r="AD762" s="1"/>
      <c r="AE762" s="3"/>
      <c r="AF762" s="194" t="s">
        <v>4820</v>
      </c>
      <c r="AG762" s="15" t="s">
        <v>192</v>
      </c>
      <c r="AH762" s="15" t="s">
        <v>192</v>
      </c>
    </row>
    <row r="763" spans="1:34" s="4" customFormat="1" x14ac:dyDescent="0.25">
      <c r="A763" s="16">
        <v>891780579</v>
      </c>
      <c r="B763" s="16" t="s">
        <v>54</v>
      </c>
      <c r="C763" s="14" t="s">
        <v>57</v>
      </c>
      <c r="D763" s="16" t="s">
        <v>60</v>
      </c>
      <c r="E763" s="1" t="s">
        <v>4821</v>
      </c>
      <c r="F763" s="16" t="s">
        <v>61</v>
      </c>
      <c r="G763" s="1" t="s">
        <v>69</v>
      </c>
      <c r="H763" s="1" t="s">
        <v>73</v>
      </c>
      <c r="I763" s="9">
        <v>3320000</v>
      </c>
      <c r="J763" s="94"/>
      <c r="K763" s="2"/>
      <c r="L763" s="2"/>
      <c r="M763" s="40">
        <f t="shared" si="30"/>
        <v>3320000</v>
      </c>
      <c r="N763" s="1">
        <v>1082993170</v>
      </c>
      <c r="O763" s="1" t="s">
        <v>4822</v>
      </c>
      <c r="P763" s="1" t="s">
        <v>4823</v>
      </c>
      <c r="Q763" s="3">
        <v>45126</v>
      </c>
      <c r="R763" s="3">
        <v>45126</v>
      </c>
      <c r="S763" s="3">
        <v>45156</v>
      </c>
      <c r="T763" s="35"/>
      <c r="U763" s="3"/>
      <c r="V763" s="3"/>
      <c r="W763" s="50"/>
      <c r="X763" s="9">
        <v>0</v>
      </c>
      <c r="Y763" s="9">
        <v>3320000</v>
      </c>
      <c r="Z763" s="34">
        <v>0</v>
      </c>
      <c r="AA763" s="1">
        <v>72221403</v>
      </c>
      <c r="AB763" s="1" t="s">
        <v>2259</v>
      </c>
      <c r="AC763" s="1"/>
      <c r="AD763" s="1"/>
      <c r="AE763" s="3"/>
      <c r="AF763" s="194" t="s">
        <v>4824</v>
      </c>
      <c r="AG763" s="15" t="s">
        <v>192</v>
      </c>
      <c r="AH763" s="15" t="s">
        <v>192</v>
      </c>
    </row>
    <row r="764" spans="1:34" s="4" customFormat="1" x14ac:dyDescent="0.25">
      <c r="A764" s="16">
        <v>891780579</v>
      </c>
      <c r="B764" s="16" t="s">
        <v>54</v>
      </c>
      <c r="C764" s="14" t="s">
        <v>56</v>
      </c>
      <c r="D764" s="16" t="s">
        <v>60</v>
      </c>
      <c r="E764" s="1" t="s">
        <v>4825</v>
      </c>
      <c r="F764" s="16" t="s">
        <v>61</v>
      </c>
      <c r="G764" s="1" t="s">
        <v>69</v>
      </c>
      <c r="H764" s="1" t="s">
        <v>73</v>
      </c>
      <c r="I764" s="9">
        <v>17000000</v>
      </c>
      <c r="J764" s="94"/>
      <c r="K764" s="2"/>
      <c r="L764" s="2"/>
      <c r="M764" s="40">
        <f t="shared" si="30"/>
        <v>17000000</v>
      </c>
      <c r="N764" s="1">
        <v>57461707</v>
      </c>
      <c r="O764" s="1" t="s">
        <v>4700</v>
      </c>
      <c r="P764" s="1" t="s">
        <v>4826</v>
      </c>
      <c r="Q764" s="3">
        <v>45126</v>
      </c>
      <c r="R764" s="3">
        <v>45126</v>
      </c>
      <c r="S764" s="3">
        <v>45275</v>
      </c>
      <c r="T764" s="35"/>
      <c r="U764" s="3"/>
      <c r="V764" s="3"/>
      <c r="W764" s="50"/>
      <c r="X764" s="9">
        <v>0</v>
      </c>
      <c r="Y764" s="9">
        <v>17000000</v>
      </c>
      <c r="Z764" s="34">
        <v>0</v>
      </c>
      <c r="AA764" s="1">
        <v>85471791</v>
      </c>
      <c r="AB764" s="1" t="s">
        <v>4356</v>
      </c>
      <c r="AC764" s="1"/>
      <c r="AD764" s="1"/>
      <c r="AE764" s="3"/>
      <c r="AF764" s="194" t="s">
        <v>4827</v>
      </c>
      <c r="AG764" s="15" t="s">
        <v>192</v>
      </c>
      <c r="AH764" s="15" t="s">
        <v>192</v>
      </c>
    </row>
    <row r="765" spans="1:34" s="4" customFormat="1" x14ac:dyDescent="0.25">
      <c r="A765" s="16">
        <v>891780579</v>
      </c>
      <c r="B765" s="16" t="s">
        <v>54</v>
      </c>
      <c r="C765" s="14" t="s">
        <v>56</v>
      </c>
      <c r="D765" s="16" t="s">
        <v>60</v>
      </c>
      <c r="E765" s="1" t="s">
        <v>4828</v>
      </c>
      <c r="F765" s="16" t="s">
        <v>61</v>
      </c>
      <c r="G765" s="1" t="s">
        <v>69</v>
      </c>
      <c r="H765" s="1" t="s">
        <v>73</v>
      </c>
      <c r="I765" s="9">
        <v>20000000</v>
      </c>
      <c r="J765" s="94"/>
      <c r="K765" s="2"/>
      <c r="L765" s="2"/>
      <c r="M765" s="40">
        <f t="shared" si="30"/>
        <v>20000000</v>
      </c>
      <c r="N765" s="1">
        <v>85462048</v>
      </c>
      <c r="O765" s="1" t="s">
        <v>4829</v>
      </c>
      <c r="P765" s="1" t="s">
        <v>4738</v>
      </c>
      <c r="Q765" s="3">
        <v>45128</v>
      </c>
      <c r="R765" s="3">
        <v>45128</v>
      </c>
      <c r="S765" s="3">
        <v>45275</v>
      </c>
      <c r="T765" s="35"/>
      <c r="U765" s="3"/>
      <c r="V765" s="3"/>
      <c r="W765" s="50"/>
      <c r="X765" s="9">
        <v>0</v>
      </c>
      <c r="Y765" s="9">
        <v>20000000</v>
      </c>
      <c r="Z765" s="34">
        <v>0</v>
      </c>
      <c r="AA765" s="1">
        <v>85471791</v>
      </c>
      <c r="AB765" s="1" t="s">
        <v>4356</v>
      </c>
      <c r="AC765" s="1"/>
      <c r="AD765" s="1"/>
      <c r="AE765" s="3"/>
      <c r="AF765" s="194" t="s">
        <v>4830</v>
      </c>
      <c r="AG765" s="15" t="s">
        <v>192</v>
      </c>
      <c r="AH765" s="15" t="s">
        <v>192</v>
      </c>
    </row>
    <row r="766" spans="1:34" s="4" customFormat="1" x14ac:dyDescent="0.25">
      <c r="A766" s="16">
        <v>891780111</v>
      </c>
      <c r="B766" s="16" t="s">
        <v>54</v>
      </c>
      <c r="C766" s="14" t="s">
        <v>56</v>
      </c>
      <c r="D766" s="16" t="s">
        <v>60</v>
      </c>
      <c r="E766" s="1" t="s">
        <v>5269</v>
      </c>
      <c r="F766" s="16" t="s">
        <v>61</v>
      </c>
      <c r="G766" s="1" t="s">
        <v>61</v>
      </c>
      <c r="H766" s="1" t="s">
        <v>73</v>
      </c>
      <c r="I766" s="9">
        <v>66971291</v>
      </c>
      <c r="J766" s="94"/>
      <c r="K766" s="2"/>
      <c r="L766" s="2"/>
      <c r="M766" s="40">
        <v>66971291</v>
      </c>
      <c r="N766" s="1" t="s">
        <v>5270</v>
      </c>
      <c r="O766" s="1" t="s">
        <v>5271</v>
      </c>
      <c r="P766" s="1" t="s">
        <v>5272</v>
      </c>
      <c r="Q766" s="3">
        <v>45091</v>
      </c>
      <c r="R766" s="3">
        <v>45100</v>
      </c>
      <c r="S766" s="3">
        <v>45146</v>
      </c>
      <c r="T766" s="35"/>
      <c r="U766" s="3"/>
      <c r="V766" s="3"/>
      <c r="W766" s="50"/>
      <c r="X766" s="9">
        <v>0</v>
      </c>
      <c r="Y766" s="9">
        <v>66971291</v>
      </c>
      <c r="Z766" s="34">
        <v>0</v>
      </c>
      <c r="AA766" s="1">
        <v>12564670</v>
      </c>
      <c r="AB766" s="1" t="s">
        <v>2466</v>
      </c>
      <c r="AC766" s="1" t="s">
        <v>196</v>
      </c>
      <c r="AD766" s="1" t="s">
        <v>196</v>
      </c>
      <c r="AE766" s="3">
        <v>45091</v>
      </c>
      <c r="AF766" s="194" t="s">
        <v>5273</v>
      </c>
      <c r="AG766" s="15" t="s">
        <v>192</v>
      </c>
      <c r="AH766" s="15"/>
    </row>
    <row r="767" spans="1:34" s="4" customFormat="1" x14ac:dyDescent="0.25">
      <c r="A767" s="16">
        <v>891780111</v>
      </c>
      <c r="B767" s="16" t="s">
        <v>54</v>
      </c>
      <c r="C767" s="14" t="s">
        <v>56</v>
      </c>
      <c r="D767" s="16" t="s">
        <v>60</v>
      </c>
      <c r="E767" s="1" t="s">
        <v>5274</v>
      </c>
      <c r="F767" s="16" t="s">
        <v>61</v>
      </c>
      <c r="G767" s="1" t="s">
        <v>61</v>
      </c>
      <c r="H767" s="1" t="s">
        <v>73</v>
      </c>
      <c r="I767" s="9">
        <v>12000000</v>
      </c>
      <c r="J767" s="94"/>
      <c r="K767" s="2"/>
      <c r="L767" s="2"/>
      <c r="M767" s="40">
        <v>12000000</v>
      </c>
      <c r="N767" s="1">
        <v>1003489251</v>
      </c>
      <c r="O767" s="1" t="s">
        <v>5275</v>
      </c>
      <c r="P767" s="1" t="s">
        <v>5276</v>
      </c>
      <c r="Q767" s="3">
        <v>45117</v>
      </c>
      <c r="R767" s="3">
        <v>45121</v>
      </c>
      <c r="S767" s="3">
        <v>45229</v>
      </c>
      <c r="T767" s="35"/>
      <c r="U767" s="3"/>
      <c r="V767" s="3"/>
      <c r="W767" s="50"/>
      <c r="X767" s="9">
        <v>0</v>
      </c>
      <c r="Y767" s="9">
        <v>12000000</v>
      </c>
      <c r="Z767" s="34">
        <v>0</v>
      </c>
      <c r="AA767" s="1">
        <v>12564670</v>
      </c>
      <c r="AB767" s="1" t="s">
        <v>2466</v>
      </c>
      <c r="AC767" s="1" t="s">
        <v>196</v>
      </c>
      <c r="AD767" s="1" t="s">
        <v>196</v>
      </c>
      <c r="AE767" s="3"/>
      <c r="AF767" s="194" t="s">
        <v>5277</v>
      </c>
      <c r="AG767" s="15" t="s">
        <v>192</v>
      </c>
      <c r="AH767" s="15"/>
    </row>
    <row r="768" spans="1:34" s="4" customFormat="1" x14ac:dyDescent="0.25">
      <c r="A768" s="16">
        <v>891780111</v>
      </c>
      <c r="B768" s="16" t="s">
        <v>54</v>
      </c>
      <c r="C768" s="14" t="s">
        <v>56</v>
      </c>
      <c r="D768" s="16" t="s">
        <v>60</v>
      </c>
      <c r="E768" s="1" t="s">
        <v>5278</v>
      </c>
      <c r="F768" s="16" t="s">
        <v>61</v>
      </c>
      <c r="G768" s="1" t="s">
        <v>61</v>
      </c>
      <c r="H768" s="1" t="s">
        <v>73</v>
      </c>
      <c r="I768" s="9">
        <v>12000000</v>
      </c>
      <c r="J768" s="94"/>
      <c r="K768" s="2"/>
      <c r="L768" s="2"/>
      <c r="M768" s="40">
        <v>12000000</v>
      </c>
      <c r="N768" s="1">
        <v>1087107254</v>
      </c>
      <c r="O768" s="1" t="s">
        <v>5279</v>
      </c>
      <c r="P768" s="1" t="s">
        <v>5280</v>
      </c>
      <c r="Q768" s="3">
        <v>45133</v>
      </c>
      <c r="R768" s="3">
        <v>45133</v>
      </c>
      <c r="S768" s="3">
        <v>45275</v>
      </c>
      <c r="T768" s="35"/>
      <c r="U768" s="3"/>
      <c r="V768" s="3"/>
      <c r="W768" s="50"/>
      <c r="X768" s="9">
        <v>0</v>
      </c>
      <c r="Y768" s="9">
        <v>12000000</v>
      </c>
      <c r="Z768" s="34">
        <v>0</v>
      </c>
      <c r="AA768" s="1">
        <v>12533448</v>
      </c>
      <c r="AB768" s="1" t="s">
        <v>5281</v>
      </c>
      <c r="AC768" s="1" t="s">
        <v>196</v>
      </c>
      <c r="AD768" s="1" t="s">
        <v>196</v>
      </c>
      <c r="AE768" s="3"/>
      <c r="AF768" s="194" t="s">
        <v>5282</v>
      </c>
      <c r="AG768" s="15" t="s">
        <v>192</v>
      </c>
      <c r="AH768" s="15"/>
    </row>
    <row r="769" spans="1:34" s="4" customFormat="1" x14ac:dyDescent="0.25">
      <c r="A769" s="16">
        <v>891780111</v>
      </c>
      <c r="B769" s="16" t="s">
        <v>54</v>
      </c>
      <c r="C769" s="14" t="s">
        <v>56</v>
      </c>
      <c r="D769" s="16" t="s">
        <v>60</v>
      </c>
      <c r="E769" s="1" t="s">
        <v>5283</v>
      </c>
      <c r="F769" s="16" t="s">
        <v>61</v>
      </c>
      <c r="G769" s="1" t="s">
        <v>61</v>
      </c>
      <c r="H769" s="1" t="s">
        <v>73</v>
      </c>
      <c r="I769" s="9">
        <v>81705127</v>
      </c>
      <c r="J769" s="94"/>
      <c r="K769" s="2"/>
      <c r="L769" s="2"/>
      <c r="M769" s="40">
        <v>81705127</v>
      </c>
      <c r="N769" s="1" t="s">
        <v>4549</v>
      </c>
      <c r="O769" s="1" t="s">
        <v>4550</v>
      </c>
      <c r="P769" s="1" t="s">
        <v>5284</v>
      </c>
      <c r="Q769" s="3">
        <v>45134</v>
      </c>
      <c r="R769" s="3">
        <v>45135</v>
      </c>
      <c r="S769" s="3">
        <v>45155</v>
      </c>
      <c r="T769" s="35"/>
      <c r="U769" s="3"/>
      <c r="V769" s="3"/>
      <c r="W769" s="50"/>
      <c r="X769" s="9">
        <v>0</v>
      </c>
      <c r="Y769" s="9">
        <v>81705127</v>
      </c>
      <c r="Z769" s="34">
        <v>0</v>
      </c>
      <c r="AA769" s="1">
        <v>12564670</v>
      </c>
      <c r="AB769" s="1" t="s">
        <v>2466</v>
      </c>
      <c r="AC769" s="1" t="s">
        <v>196</v>
      </c>
      <c r="AD769" s="1" t="s">
        <v>196</v>
      </c>
      <c r="AE769" s="3">
        <v>45134</v>
      </c>
      <c r="AF769" s="194" t="s">
        <v>5285</v>
      </c>
      <c r="AG769" s="15" t="s">
        <v>192</v>
      </c>
      <c r="AH769" s="15"/>
    </row>
    <row r="770" spans="1:34" s="4" customFormat="1" x14ac:dyDescent="0.25">
      <c r="A770" s="16">
        <v>891780111</v>
      </c>
      <c r="B770" s="16" t="s">
        <v>54</v>
      </c>
      <c r="C770" s="14" t="s">
        <v>56</v>
      </c>
      <c r="D770" s="16" t="s">
        <v>60</v>
      </c>
      <c r="E770" s="1" t="s">
        <v>5286</v>
      </c>
      <c r="F770" s="16" t="s">
        <v>61</v>
      </c>
      <c r="G770" s="1" t="s">
        <v>61</v>
      </c>
      <c r="H770" s="1" t="s">
        <v>73</v>
      </c>
      <c r="I770" s="9">
        <v>12000000</v>
      </c>
      <c r="J770" s="94"/>
      <c r="K770" s="2"/>
      <c r="L770" s="2"/>
      <c r="M770" s="40">
        <v>12000000</v>
      </c>
      <c r="N770" s="1">
        <v>1087124597</v>
      </c>
      <c r="O770" s="1" t="s">
        <v>5287</v>
      </c>
      <c r="P770" s="1" t="s">
        <v>5288</v>
      </c>
      <c r="Q770" s="3">
        <v>45133</v>
      </c>
      <c r="R770" s="3">
        <v>45135</v>
      </c>
      <c r="S770" s="3">
        <v>45275</v>
      </c>
      <c r="T770" s="35"/>
      <c r="U770" s="3"/>
      <c r="V770" s="3"/>
      <c r="W770" s="50"/>
      <c r="X770" s="9">
        <v>0</v>
      </c>
      <c r="Y770" s="9">
        <v>12000000</v>
      </c>
      <c r="Z770" s="34">
        <v>0</v>
      </c>
      <c r="AA770" s="1">
        <v>12533448</v>
      </c>
      <c r="AB770" s="1" t="s">
        <v>5281</v>
      </c>
      <c r="AC770" s="1" t="s">
        <v>196</v>
      </c>
      <c r="AD770" s="1" t="s">
        <v>196</v>
      </c>
      <c r="AE770" s="3"/>
      <c r="AF770" s="194" t="s">
        <v>5289</v>
      </c>
      <c r="AG770" s="15" t="s">
        <v>192</v>
      </c>
      <c r="AH770" s="15"/>
    </row>
    <row r="771" spans="1:34" s="4" customFormat="1" x14ac:dyDescent="0.25">
      <c r="A771" s="16">
        <v>891780111</v>
      </c>
      <c r="B771" s="16" t="s">
        <v>54</v>
      </c>
      <c r="C771" s="14" t="s">
        <v>56</v>
      </c>
      <c r="D771" s="16" t="s">
        <v>60</v>
      </c>
      <c r="E771" s="1" t="s">
        <v>5290</v>
      </c>
      <c r="F771" s="16" t="s">
        <v>61</v>
      </c>
      <c r="G771" s="1" t="s">
        <v>61</v>
      </c>
      <c r="H771" s="1" t="s">
        <v>73</v>
      </c>
      <c r="I771" s="9">
        <v>20000000</v>
      </c>
      <c r="J771" s="94"/>
      <c r="K771" s="2"/>
      <c r="L771" s="2"/>
      <c r="M771" s="40">
        <v>20000000</v>
      </c>
      <c r="N771" s="1">
        <v>1082948831</v>
      </c>
      <c r="O771" s="1" t="s">
        <v>2387</v>
      </c>
      <c r="P771" s="1" t="s">
        <v>5291</v>
      </c>
      <c r="Q771" s="3">
        <v>45134</v>
      </c>
      <c r="R771" s="3">
        <v>45135</v>
      </c>
      <c r="S771" s="3">
        <v>45260</v>
      </c>
      <c r="T771" s="35"/>
      <c r="U771" s="3"/>
      <c r="V771" s="3"/>
      <c r="W771" s="50"/>
      <c r="X771" s="9">
        <v>0</v>
      </c>
      <c r="Y771" s="9">
        <v>20000000</v>
      </c>
      <c r="Z771" s="34">
        <v>0</v>
      </c>
      <c r="AA771" s="1">
        <v>12564670</v>
      </c>
      <c r="AB771" s="1" t="s">
        <v>2466</v>
      </c>
      <c r="AC771" s="1" t="s">
        <v>196</v>
      </c>
      <c r="AD771" s="1" t="s">
        <v>196</v>
      </c>
      <c r="AE771" s="3"/>
      <c r="AF771" s="194" t="s">
        <v>5292</v>
      </c>
      <c r="AG771" s="15" t="s">
        <v>192</v>
      </c>
      <c r="AH771" s="15"/>
    </row>
    <row r="772" spans="1:34" s="5" customFormat="1" x14ac:dyDescent="0.25">
      <c r="A772" s="16">
        <v>891780780</v>
      </c>
      <c r="B772" s="16" t="s">
        <v>54</v>
      </c>
      <c r="C772" s="10" t="s">
        <v>311</v>
      </c>
      <c r="D772" s="12"/>
      <c r="E772" s="188">
        <f>COUNTA(E5:E771)</f>
        <v>767</v>
      </c>
      <c r="F772" s="11"/>
      <c r="G772" s="11"/>
      <c r="H772" s="12"/>
      <c r="I772" s="13">
        <f>SUM(I5:I771)</f>
        <v>17593013660.970001</v>
      </c>
      <c r="J772" s="188">
        <f>COUNTA(J5:J771)</f>
        <v>28</v>
      </c>
      <c r="K772" s="196">
        <f>SUM(K5:K771)</f>
        <v>80378976</v>
      </c>
      <c r="L772" s="196">
        <f>SUM(L5:L771)</f>
        <v>146302010</v>
      </c>
      <c r="M772" s="196">
        <f t="shared" si="30"/>
        <v>17527090626.970001</v>
      </c>
      <c r="N772" s="11"/>
      <c r="O772" s="11"/>
      <c r="P772" s="11"/>
      <c r="Q772" s="11"/>
      <c r="R772" s="11"/>
      <c r="S772" s="11"/>
      <c r="T772" s="187"/>
      <c r="U772" s="187"/>
      <c r="V772" s="187"/>
      <c r="W772" s="197"/>
      <c r="X772" s="13">
        <f>SUM(X5:X771)</f>
        <v>6579987658.2700005</v>
      </c>
      <c r="Y772" s="13">
        <f>SUM(Y5:Y771)</f>
        <v>10947102968.700001</v>
      </c>
      <c r="Z772" s="69">
        <f>+(X772/M772)</f>
        <v>0.37541813403674495</v>
      </c>
      <c r="AA772" s="11"/>
      <c r="AB772" s="11"/>
      <c r="AC772" s="11"/>
      <c r="AD772" s="11"/>
      <c r="AE772" s="11"/>
      <c r="AF772" s="11"/>
      <c r="AG772" s="11"/>
      <c r="AH772" s="11"/>
    </row>
    <row r="774" spans="1:34" x14ac:dyDescent="0.25">
      <c r="L774" s="198"/>
      <c r="M774" s="8"/>
    </row>
  </sheetData>
  <mergeCells count="7">
    <mergeCell ref="AF3:AH3"/>
    <mergeCell ref="A1:D1"/>
    <mergeCell ref="G1:H1"/>
    <mergeCell ref="A2:C2"/>
    <mergeCell ref="D2:F2"/>
    <mergeCell ref="G2:H3"/>
    <mergeCell ref="K2:P3"/>
  </mergeCells>
  <conditionalFormatting sqref="D2">
    <cfRule type="containsText" dxfId="5" priority="2" operator="containsText" text="Seleccione Ordenador">
      <formula>NOT(ISERROR(SEARCH("Seleccione Ordenador",D2)))</formula>
    </cfRule>
  </conditionalFormatting>
  <conditionalFormatting sqref="E1">
    <cfRule type="containsText" dxfId="4" priority="1" operator="containsText" text="Seleccione Periodo">
      <formula>NOT(ISERROR(SEARCH("Seleccione Periodo",E1)))</formula>
    </cfRule>
  </conditionalFormatting>
  <dataValidations count="9">
    <dataValidation type="list" allowBlank="1" showInputMessage="1" showErrorMessage="1" sqref="C5:C771" xr:uid="{6A9F57FF-7B6C-4AFE-BB7C-5FD8400BFA82}">
      <formula1>rubro</formula1>
    </dataValidation>
    <dataValidation type="list" allowBlank="1" showInputMessage="1" showErrorMessage="1" sqref="G5:G771" xr:uid="{BB43BFAB-2909-4D8E-9291-4C42D6DDE81D}">
      <formula1>modalidad</formula1>
    </dataValidation>
    <dataValidation type="list" allowBlank="1" showInputMessage="1" showErrorMessage="1" sqref="H5:H771" xr:uid="{ED16F9E0-882A-4577-83D5-B8A950647C4D}">
      <formula1>tipologia</formula1>
    </dataValidation>
    <dataValidation type="list" allowBlank="1" showInputMessage="1" showErrorMessage="1" sqref="T5:T771" xr:uid="{B10BBECD-06FA-44CF-809B-013FF43052E5}">
      <formula1>"SI,N/A"</formula1>
    </dataValidation>
    <dataValidation type="list" allowBlank="1" showInputMessage="1" showErrorMessage="1" sqref="AG5:AG51 AF52:AF83 AG84:AG771" xr:uid="{9258A8EA-653A-407B-87B3-A4739524F353}">
      <formula1>"SI,NO HA INICIADO"</formula1>
    </dataValidation>
    <dataValidation type="list" allowBlank="1" showInputMessage="1" showErrorMessage="1" sqref="AH5:AH51 AG52:AG83 AH84:AH771" xr:uid="{1159AA0E-372C-4104-9871-7B00B4BA714F}">
      <formula1>"SI,NA por TIPO Contrato"</formula1>
    </dataValidation>
    <dataValidation type="list" allowBlank="1" showInputMessage="1" showErrorMessage="1" sqref="AC5:AD51 AB52:AC83 AC84:AD771" xr:uid="{BAD7FF34-3C12-48C4-B5A6-9F86917C5A27}">
      <formula1>"SI,NO"</formula1>
    </dataValidation>
    <dataValidation type="list" allowBlank="1" showInputMessage="1" showErrorMessage="1" sqref="D2" xr:uid="{1B65E53E-FCEC-4C8C-87F8-F05C7EA0366F}">
      <formula1>Delegatarios</formula1>
    </dataValidation>
    <dataValidation type="list" allowBlank="1" showInputMessage="1" showErrorMessage="1" sqref="E1" xr:uid="{0400BCF0-9C81-4C4D-A97A-BA44F065342A}">
      <formula1>cortea</formula1>
    </dataValidation>
  </dataValidations>
  <hyperlinks>
    <hyperlink ref="AF31" r:id="rId1" xr:uid="{CF0F3633-C98F-4CE4-9A5F-16A91CDBA71D}"/>
    <hyperlink ref="AF32" r:id="rId2" xr:uid="{6BF01E5E-738E-462F-A50B-08FFD77744D7}"/>
    <hyperlink ref="AF33" r:id="rId3" xr:uid="{F4B2EB0D-07DB-4323-968B-D95D9F12F947}"/>
    <hyperlink ref="AF34" r:id="rId4" xr:uid="{4A68343C-692D-421D-A7BE-2A423E6EA8A5}"/>
    <hyperlink ref="AF35" r:id="rId5" xr:uid="{738A53DB-E0B8-4016-8219-F62D5D2D5A29}"/>
    <hyperlink ref="AF36" r:id="rId6" xr:uid="{40BD25C3-6E88-4CB8-9B1B-F1E307BB8E99}"/>
    <hyperlink ref="AF37" r:id="rId7" xr:uid="{575FB7C0-09D6-42A5-A50D-9C6844E300E9}"/>
    <hyperlink ref="AF39" r:id="rId8" xr:uid="{57315DE6-442C-4B35-ABE9-508FF2B8375D}"/>
    <hyperlink ref="AF38" r:id="rId9" xr:uid="{1997011E-80B5-4B37-8C36-3C3849285A12}"/>
    <hyperlink ref="AF40" r:id="rId10" xr:uid="{0552302E-9121-4813-AC88-F18AA7EA6B16}"/>
    <hyperlink ref="AF41" r:id="rId11" xr:uid="{EA1D92D6-A90E-43A3-88C7-17B3241DECBB}"/>
    <hyperlink ref="AF42" r:id="rId12" xr:uid="{6C50A1E5-EDD4-42EB-9301-AAB6FDF34759}"/>
    <hyperlink ref="AF43" r:id="rId13" xr:uid="{911B19EE-9555-4911-8753-1B639415E569}"/>
    <hyperlink ref="AF44" r:id="rId14" xr:uid="{7FB353A1-993D-4C5D-B37C-63479D080C6A}"/>
    <hyperlink ref="AF45" r:id="rId15" xr:uid="{6ECBD5BE-1641-4A55-B1EE-4026A06DEB0C}"/>
    <hyperlink ref="AF46" r:id="rId16" xr:uid="{17924600-E4C1-40DC-9241-D7B437AE80EA}"/>
    <hyperlink ref="AF47" r:id="rId17" xr:uid="{E0755A59-BD53-4B96-88A2-A6C03994427C}"/>
    <hyperlink ref="AF48" r:id="rId18" xr:uid="{F129BDED-E173-4D20-B460-DB80638A2221}"/>
  </hyperlinks>
  <pageMargins left="0" right="0" top="0" bottom="0" header="0.3" footer="0.3"/>
  <pageSetup paperSize="5" scale="38" orientation="landscape" r:id="rId1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8B6A-D6D7-4AA4-B16E-73CDF9283759}">
  <sheetPr>
    <tabColor theme="8" tint="0.59999389629810485"/>
  </sheetPr>
  <dimension ref="A1:AI366"/>
  <sheetViews>
    <sheetView zoomScaleNormal="100" zoomScaleSheetLayoutView="100" workbookViewId="0">
      <selection activeCell="I2" sqref="I2"/>
    </sheetView>
  </sheetViews>
  <sheetFormatPr baseColWidth="10" defaultRowHeight="15" x14ac:dyDescent="0.25"/>
  <cols>
    <col min="1" max="1" width="11.7109375" style="103" customWidth="1"/>
    <col min="2" max="2" width="26.28515625" style="100" customWidth="1"/>
    <col min="3" max="3" width="12.140625" style="100" customWidth="1"/>
    <col min="4" max="4" width="14.42578125" style="100" customWidth="1"/>
    <col min="5" max="5" width="22.42578125" style="100" customWidth="1"/>
    <col min="6" max="6" width="16.5703125" style="100" customWidth="1"/>
    <col min="7" max="7" width="13.5703125" style="100" customWidth="1"/>
    <col min="8" max="8" width="26.28515625" style="100" customWidth="1"/>
    <col min="9" max="9" width="18.5703125" style="162" customWidth="1"/>
    <col min="10" max="10" width="12.5703125" style="100" customWidth="1"/>
    <col min="11" max="11" width="21.42578125" style="100" customWidth="1"/>
    <col min="12" max="12" width="19.28515625" style="100" customWidth="1"/>
    <col min="13" max="13" width="19.5703125" style="100" customWidth="1"/>
    <col min="14" max="14" width="12.42578125" style="102" customWidth="1"/>
    <col min="15" max="15" width="49.7109375" style="102" customWidth="1"/>
    <col min="16" max="16" width="18.85546875" style="103" customWidth="1"/>
    <col min="17" max="17" width="15.5703125" style="102" customWidth="1"/>
    <col min="18" max="18" width="14.42578125" style="102" customWidth="1"/>
    <col min="19" max="19" width="18.7109375" style="102" customWidth="1"/>
    <col min="20" max="22" width="12.5703125" style="102" customWidth="1"/>
    <col min="23" max="23" width="15.28515625" style="102" customWidth="1"/>
    <col min="24" max="24" width="16.85546875" style="100" customWidth="1"/>
    <col min="25" max="26" width="18.5703125" style="100" customWidth="1"/>
    <col min="27" max="27" width="11.42578125" style="100"/>
    <col min="28" max="28" width="14.42578125" style="100" customWidth="1"/>
    <col min="29" max="29" width="37" style="100" customWidth="1"/>
    <col min="30" max="31" width="11.42578125" style="100"/>
    <col min="32" max="32" width="14.85546875" style="100" customWidth="1"/>
    <col min="33" max="33" width="8.42578125" style="100" customWidth="1"/>
    <col min="34" max="34" width="9" style="102" customWidth="1"/>
    <col min="35" max="35" width="19.85546875" style="102" bestFit="1" customWidth="1"/>
    <col min="36" max="16384" width="11.42578125" style="100"/>
  </cols>
  <sheetData>
    <row r="1" spans="1:35" x14ac:dyDescent="0.25">
      <c r="A1" s="351" t="s">
        <v>84</v>
      </c>
      <c r="B1" s="351"/>
      <c r="C1" s="351"/>
      <c r="D1" s="351"/>
      <c r="E1" s="100" t="s">
        <v>46</v>
      </c>
      <c r="G1" s="352" t="s">
        <v>607</v>
      </c>
      <c r="H1" s="352"/>
      <c r="I1" s="101">
        <v>1160000</v>
      </c>
    </row>
    <row r="2" spans="1:35" ht="15" customHeight="1" x14ac:dyDescent="0.25">
      <c r="A2" s="353" t="s">
        <v>21</v>
      </c>
      <c r="B2" s="353"/>
      <c r="C2" s="353"/>
      <c r="D2" s="354" t="s">
        <v>26</v>
      </c>
      <c r="E2" s="354"/>
      <c r="F2" s="354"/>
      <c r="G2" s="355" t="s">
        <v>99</v>
      </c>
      <c r="H2" s="355"/>
      <c r="I2" s="104">
        <v>1000</v>
      </c>
      <c r="J2" s="105" t="s">
        <v>85</v>
      </c>
      <c r="K2" s="357" t="s">
        <v>88</v>
      </c>
      <c r="L2" s="357"/>
      <c r="M2" s="357"/>
      <c r="N2" s="357"/>
      <c r="O2" s="357"/>
      <c r="P2" s="357"/>
    </row>
    <row r="3" spans="1:35" ht="15.75" customHeight="1" x14ac:dyDescent="0.25">
      <c r="G3" s="356"/>
      <c r="H3" s="356"/>
      <c r="I3" s="104">
        <f>I2*I1</f>
        <v>1160000000</v>
      </c>
      <c r="J3" s="105" t="s">
        <v>93</v>
      </c>
      <c r="K3" s="358"/>
      <c r="L3" s="358"/>
      <c r="M3" s="358"/>
      <c r="N3" s="358"/>
      <c r="O3" s="358"/>
      <c r="P3" s="358"/>
      <c r="AG3" s="350" t="s">
        <v>80</v>
      </c>
      <c r="AH3" s="350"/>
      <c r="AI3" s="350"/>
    </row>
    <row r="4" spans="1:35" s="113" customFormat="1" ht="76.5" x14ac:dyDescent="0.25">
      <c r="A4" s="107" t="s">
        <v>0</v>
      </c>
      <c r="B4" s="107" t="s">
        <v>1</v>
      </c>
      <c r="C4" s="107" t="s">
        <v>2</v>
      </c>
      <c r="D4" s="107" t="s">
        <v>3</v>
      </c>
      <c r="E4" s="107" t="s">
        <v>4</v>
      </c>
      <c r="F4" s="107" t="s">
        <v>5</v>
      </c>
      <c r="G4" s="107" t="s">
        <v>6</v>
      </c>
      <c r="H4" s="107" t="s">
        <v>7</v>
      </c>
      <c r="I4" s="108" t="s">
        <v>8</v>
      </c>
      <c r="J4" s="107" t="s">
        <v>102</v>
      </c>
      <c r="K4" s="109" t="s">
        <v>9</v>
      </c>
      <c r="L4" s="109" t="s">
        <v>10</v>
      </c>
      <c r="M4" s="108" t="s">
        <v>104</v>
      </c>
      <c r="N4" s="110" t="s">
        <v>11</v>
      </c>
      <c r="O4" s="110" t="s">
        <v>12</v>
      </c>
      <c r="P4" s="107" t="s">
        <v>13</v>
      </c>
      <c r="Q4" s="106" t="s">
        <v>14</v>
      </c>
      <c r="R4" s="106" t="s">
        <v>15</v>
      </c>
      <c r="S4" s="106" t="s">
        <v>103</v>
      </c>
      <c r="T4" s="24" t="s">
        <v>114</v>
      </c>
      <c r="U4" s="27" t="s">
        <v>112</v>
      </c>
      <c r="V4" s="27" t="s">
        <v>113</v>
      </c>
      <c r="W4" s="106" t="s">
        <v>312</v>
      </c>
      <c r="X4" s="107" t="s">
        <v>313</v>
      </c>
      <c r="Y4" s="111" t="s">
        <v>16</v>
      </c>
      <c r="Z4" s="111" t="s">
        <v>17</v>
      </c>
      <c r="AA4" s="111" t="s">
        <v>18</v>
      </c>
      <c r="AB4" s="107" t="s">
        <v>19</v>
      </c>
      <c r="AC4" s="107" t="s">
        <v>20</v>
      </c>
      <c r="AD4" s="107" t="s">
        <v>52</v>
      </c>
      <c r="AE4" s="107" t="s">
        <v>53</v>
      </c>
      <c r="AF4" s="112" t="s">
        <v>94</v>
      </c>
      <c r="AG4" s="107" t="s">
        <v>83</v>
      </c>
      <c r="AH4" s="110" t="s">
        <v>81</v>
      </c>
      <c r="AI4" s="110" t="s">
        <v>82</v>
      </c>
    </row>
    <row r="5" spans="1:35" s="130" customFormat="1" ht="17.25" customHeight="1" x14ac:dyDescent="0.25">
      <c r="A5" s="114">
        <v>891780111</v>
      </c>
      <c r="B5" s="115" t="s">
        <v>54</v>
      </c>
      <c r="C5" s="116" t="s">
        <v>57</v>
      </c>
      <c r="D5" s="115" t="s">
        <v>60</v>
      </c>
      <c r="E5" s="117" t="s">
        <v>608</v>
      </c>
      <c r="F5" s="118" t="s">
        <v>61</v>
      </c>
      <c r="G5" s="118" t="s">
        <v>69</v>
      </c>
      <c r="H5" s="119" t="s">
        <v>609</v>
      </c>
      <c r="I5" s="120">
        <v>19380000</v>
      </c>
      <c r="J5" s="118">
        <v>1</v>
      </c>
      <c r="K5" s="121">
        <v>7200000</v>
      </c>
      <c r="L5" s="121"/>
      <c r="M5" s="122">
        <f>+(I5+K5)-L5</f>
        <v>26580000</v>
      </c>
      <c r="N5" s="117">
        <v>1082944860</v>
      </c>
      <c r="O5" s="123" t="s">
        <v>610</v>
      </c>
      <c r="P5" s="116" t="s">
        <v>611</v>
      </c>
      <c r="Q5" s="124">
        <v>44950</v>
      </c>
      <c r="R5" s="124">
        <v>44950</v>
      </c>
      <c r="S5" s="124">
        <v>45107</v>
      </c>
      <c r="T5" s="125" t="s">
        <v>612</v>
      </c>
      <c r="U5" s="124"/>
      <c r="V5" s="124"/>
      <c r="W5" s="126">
        <v>45122</v>
      </c>
      <c r="X5" s="127">
        <v>2</v>
      </c>
      <c r="Y5" s="121">
        <v>26580000</v>
      </c>
      <c r="Z5" s="120">
        <v>0</v>
      </c>
      <c r="AA5" s="128">
        <v>1</v>
      </c>
      <c r="AB5" s="119">
        <v>57461852</v>
      </c>
      <c r="AC5" s="117" t="s">
        <v>613</v>
      </c>
      <c r="AD5" s="116"/>
      <c r="AE5" s="116"/>
      <c r="AF5" s="125"/>
      <c r="AG5" s="129" t="s">
        <v>614</v>
      </c>
      <c r="AH5" s="119" t="s">
        <v>192</v>
      </c>
      <c r="AI5" s="119" t="s">
        <v>192</v>
      </c>
    </row>
    <row r="6" spans="1:35" s="130" customFormat="1" ht="17.25" customHeight="1" x14ac:dyDescent="0.25">
      <c r="A6" s="114">
        <v>891780111</v>
      </c>
      <c r="B6" s="115" t="s">
        <v>54</v>
      </c>
      <c r="C6" s="116" t="s">
        <v>57</v>
      </c>
      <c r="D6" s="115" t="s">
        <v>60</v>
      </c>
      <c r="E6" s="119" t="s">
        <v>615</v>
      </c>
      <c r="F6" s="118" t="s">
        <v>61</v>
      </c>
      <c r="G6" s="118" t="s">
        <v>69</v>
      </c>
      <c r="H6" s="118" t="s">
        <v>609</v>
      </c>
      <c r="I6" s="120">
        <v>30433333</v>
      </c>
      <c r="J6" s="118"/>
      <c r="K6" s="131"/>
      <c r="L6" s="131"/>
      <c r="M6" s="122">
        <f t="shared" ref="M6:M69" si="0">+(I6+K6)-L6</f>
        <v>30433333</v>
      </c>
      <c r="N6" s="117">
        <v>80766019</v>
      </c>
      <c r="O6" s="123" t="s">
        <v>616</v>
      </c>
      <c r="P6" s="116" t="s">
        <v>617</v>
      </c>
      <c r="Q6" s="124">
        <v>44950</v>
      </c>
      <c r="R6" s="124">
        <v>44950</v>
      </c>
      <c r="S6" s="124">
        <v>45107</v>
      </c>
      <c r="T6" s="125" t="s">
        <v>612</v>
      </c>
      <c r="U6" s="124"/>
      <c r="V6" s="124"/>
      <c r="W6" s="126"/>
      <c r="X6" s="127"/>
      <c r="Y6" s="121">
        <v>30433333</v>
      </c>
      <c r="Z6" s="120">
        <v>0</v>
      </c>
      <c r="AA6" s="128">
        <v>1</v>
      </c>
      <c r="AB6" s="119">
        <v>57461852</v>
      </c>
      <c r="AC6" s="117" t="s">
        <v>613</v>
      </c>
      <c r="AD6" s="116"/>
      <c r="AE6" s="116"/>
      <c r="AF6" s="125"/>
      <c r="AG6" s="129" t="s">
        <v>618</v>
      </c>
      <c r="AH6" s="119" t="s">
        <v>192</v>
      </c>
      <c r="AI6" s="119" t="s">
        <v>192</v>
      </c>
    </row>
    <row r="7" spans="1:35" s="130" customFormat="1" ht="17.25" customHeight="1" x14ac:dyDescent="0.25">
      <c r="A7" s="114">
        <v>891780111</v>
      </c>
      <c r="B7" s="115" t="s">
        <v>54</v>
      </c>
      <c r="C7" s="116" t="s">
        <v>57</v>
      </c>
      <c r="D7" s="115" t="s">
        <v>60</v>
      </c>
      <c r="E7" s="119" t="s">
        <v>619</v>
      </c>
      <c r="F7" s="118" t="s">
        <v>61</v>
      </c>
      <c r="G7" s="118" t="s">
        <v>69</v>
      </c>
      <c r="H7" s="118" t="s">
        <v>609</v>
      </c>
      <c r="I7" s="120">
        <v>16600000</v>
      </c>
      <c r="J7" s="118"/>
      <c r="K7" s="121"/>
      <c r="L7" s="121"/>
      <c r="M7" s="122">
        <f t="shared" si="0"/>
        <v>16600000</v>
      </c>
      <c r="N7" s="117">
        <v>1082981781</v>
      </c>
      <c r="O7" s="123" t="s">
        <v>620</v>
      </c>
      <c r="P7" s="116" t="s">
        <v>621</v>
      </c>
      <c r="Q7" s="124">
        <v>44950</v>
      </c>
      <c r="R7" s="124">
        <v>44950</v>
      </c>
      <c r="S7" s="124">
        <v>45107</v>
      </c>
      <c r="T7" s="125" t="s">
        <v>612</v>
      </c>
      <c r="U7" s="124"/>
      <c r="V7" s="124"/>
      <c r="W7" s="126"/>
      <c r="X7" s="127"/>
      <c r="Y7" s="121">
        <v>16600000</v>
      </c>
      <c r="Z7" s="120">
        <v>0</v>
      </c>
      <c r="AA7" s="128">
        <v>1</v>
      </c>
      <c r="AB7" s="119">
        <v>57461852</v>
      </c>
      <c r="AC7" s="117" t="s">
        <v>613</v>
      </c>
      <c r="AD7" s="116"/>
      <c r="AE7" s="116"/>
      <c r="AF7" s="125"/>
      <c r="AG7" s="129" t="s">
        <v>622</v>
      </c>
      <c r="AH7" s="119" t="s">
        <v>192</v>
      </c>
      <c r="AI7" s="119" t="s">
        <v>192</v>
      </c>
    </row>
    <row r="8" spans="1:35" s="130" customFormat="1" ht="17.25" customHeight="1" x14ac:dyDescent="0.25">
      <c r="A8" s="114">
        <v>891780111</v>
      </c>
      <c r="B8" s="115" t="s">
        <v>54</v>
      </c>
      <c r="C8" s="116" t="s">
        <v>57</v>
      </c>
      <c r="D8" s="115" t="s">
        <v>60</v>
      </c>
      <c r="E8" s="119" t="s">
        <v>623</v>
      </c>
      <c r="F8" s="118" t="s">
        <v>61</v>
      </c>
      <c r="G8" s="118" t="s">
        <v>69</v>
      </c>
      <c r="H8" s="118" t="s">
        <v>609</v>
      </c>
      <c r="I8" s="120">
        <v>16600000</v>
      </c>
      <c r="J8" s="118">
        <v>1</v>
      </c>
      <c r="K8" s="131">
        <v>3500000</v>
      </c>
      <c r="L8" s="131"/>
      <c r="M8" s="122">
        <f t="shared" si="0"/>
        <v>20100000</v>
      </c>
      <c r="N8" s="117">
        <v>1082931591</v>
      </c>
      <c r="O8" s="123" t="s">
        <v>624</v>
      </c>
      <c r="P8" s="116" t="s">
        <v>625</v>
      </c>
      <c r="Q8" s="124">
        <v>44950</v>
      </c>
      <c r="R8" s="124">
        <v>44950</v>
      </c>
      <c r="S8" s="124">
        <v>45107</v>
      </c>
      <c r="T8" s="125" t="s">
        <v>612</v>
      </c>
      <c r="U8" s="124"/>
      <c r="V8" s="124"/>
      <c r="W8" s="126">
        <v>45122</v>
      </c>
      <c r="X8" s="127">
        <v>1</v>
      </c>
      <c r="Y8" s="121">
        <v>20100000</v>
      </c>
      <c r="Z8" s="120">
        <v>0</v>
      </c>
      <c r="AA8" s="128">
        <v>1</v>
      </c>
      <c r="AB8" s="119">
        <v>57461852</v>
      </c>
      <c r="AC8" s="117" t="s">
        <v>613</v>
      </c>
      <c r="AD8" s="116"/>
      <c r="AE8" s="116"/>
      <c r="AF8" s="125"/>
      <c r="AG8" s="129" t="s">
        <v>626</v>
      </c>
      <c r="AH8" s="119" t="s">
        <v>192</v>
      </c>
      <c r="AI8" s="119" t="s">
        <v>192</v>
      </c>
    </row>
    <row r="9" spans="1:35" s="130" customFormat="1" ht="17.25" customHeight="1" x14ac:dyDescent="0.25">
      <c r="A9" s="114">
        <v>891780111</v>
      </c>
      <c r="B9" s="115" t="s">
        <v>54</v>
      </c>
      <c r="C9" s="116" t="s">
        <v>57</v>
      </c>
      <c r="D9" s="115" t="s">
        <v>60</v>
      </c>
      <c r="E9" s="119" t="s">
        <v>627</v>
      </c>
      <c r="F9" s="118" t="s">
        <v>61</v>
      </c>
      <c r="G9" s="118" t="s">
        <v>69</v>
      </c>
      <c r="H9" s="118" t="s">
        <v>609</v>
      </c>
      <c r="I9" s="120">
        <v>16600000</v>
      </c>
      <c r="J9" s="118"/>
      <c r="K9" s="121"/>
      <c r="L9" s="121"/>
      <c r="M9" s="122">
        <f t="shared" si="0"/>
        <v>16600000</v>
      </c>
      <c r="N9" s="117">
        <v>1082984183</v>
      </c>
      <c r="O9" s="123" t="s">
        <v>628</v>
      </c>
      <c r="P9" s="116" t="s">
        <v>629</v>
      </c>
      <c r="Q9" s="124">
        <v>44950</v>
      </c>
      <c r="R9" s="124">
        <v>44950</v>
      </c>
      <c r="S9" s="124">
        <v>45107</v>
      </c>
      <c r="T9" s="125" t="s">
        <v>612</v>
      </c>
      <c r="U9" s="124"/>
      <c r="V9" s="124"/>
      <c r="W9" s="126"/>
      <c r="X9" s="127"/>
      <c r="Y9" s="121">
        <v>16600000</v>
      </c>
      <c r="Z9" s="120">
        <v>0</v>
      </c>
      <c r="AA9" s="128">
        <v>1</v>
      </c>
      <c r="AB9" s="119">
        <v>57461852</v>
      </c>
      <c r="AC9" s="117" t="s">
        <v>613</v>
      </c>
      <c r="AD9" s="116"/>
      <c r="AE9" s="116"/>
      <c r="AF9" s="125"/>
      <c r="AG9" s="129" t="s">
        <v>630</v>
      </c>
      <c r="AH9" s="119" t="s">
        <v>192</v>
      </c>
      <c r="AI9" s="119" t="s">
        <v>192</v>
      </c>
    </row>
    <row r="10" spans="1:35" s="130" customFormat="1" ht="17.25" customHeight="1" x14ac:dyDescent="0.25">
      <c r="A10" s="114">
        <v>891780111</v>
      </c>
      <c r="B10" s="115" t="s">
        <v>54</v>
      </c>
      <c r="C10" s="116" t="s">
        <v>57</v>
      </c>
      <c r="D10" s="115" t="s">
        <v>60</v>
      </c>
      <c r="E10" s="119" t="s">
        <v>631</v>
      </c>
      <c r="F10" s="118" t="s">
        <v>61</v>
      </c>
      <c r="G10" s="118" t="s">
        <v>69</v>
      </c>
      <c r="H10" s="118" t="s">
        <v>609</v>
      </c>
      <c r="I10" s="120">
        <v>16600000</v>
      </c>
      <c r="J10" s="118"/>
      <c r="K10" s="131"/>
      <c r="L10" s="131"/>
      <c r="M10" s="122">
        <f t="shared" si="0"/>
        <v>16600000</v>
      </c>
      <c r="N10" s="117">
        <v>1082966245</v>
      </c>
      <c r="O10" s="123" t="s">
        <v>632</v>
      </c>
      <c r="P10" s="116" t="s">
        <v>629</v>
      </c>
      <c r="Q10" s="124">
        <v>44950</v>
      </c>
      <c r="R10" s="124">
        <v>44950</v>
      </c>
      <c r="S10" s="124">
        <v>45107</v>
      </c>
      <c r="T10" s="125" t="s">
        <v>612</v>
      </c>
      <c r="U10" s="124"/>
      <c r="V10" s="124"/>
      <c r="W10" s="126"/>
      <c r="X10" s="127"/>
      <c r="Y10" s="121">
        <v>16600000</v>
      </c>
      <c r="Z10" s="120">
        <v>0</v>
      </c>
      <c r="AA10" s="128">
        <v>1</v>
      </c>
      <c r="AB10" s="119">
        <v>57461852</v>
      </c>
      <c r="AC10" s="117" t="s">
        <v>613</v>
      </c>
      <c r="AD10" s="116"/>
      <c r="AE10" s="116"/>
      <c r="AF10" s="125"/>
      <c r="AG10" s="129" t="s">
        <v>633</v>
      </c>
      <c r="AH10" s="119" t="s">
        <v>192</v>
      </c>
      <c r="AI10" s="119" t="s">
        <v>192</v>
      </c>
    </row>
    <row r="11" spans="1:35" s="130" customFormat="1" ht="17.25" customHeight="1" x14ac:dyDescent="0.25">
      <c r="A11" s="114">
        <v>891780111</v>
      </c>
      <c r="B11" s="115" t="s">
        <v>54</v>
      </c>
      <c r="C11" s="116" t="s">
        <v>57</v>
      </c>
      <c r="D11" s="115" t="s">
        <v>60</v>
      </c>
      <c r="E11" s="119" t="s">
        <v>634</v>
      </c>
      <c r="F11" s="118" t="s">
        <v>61</v>
      </c>
      <c r="G11" s="118" t="s">
        <v>69</v>
      </c>
      <c r="H11" s="118" t="s">
        <v>609</v>
      </c>
      <c r="I11" s="120">
        <v>16600000</v>
      </c>
      <c r="J11" s="118"/>
      <c r="K11" s="121"/>
      <c r="L11" s="121"/>
      <c r="M11" s="122">
        <f t="shared" si="0"/>
        <v>16600000</v>
      </c>
      <c r="N11" s="117">
        <v>1082943812</v>
      </c>
      <c r="O11" s="123" t="s">
        <v>635</v>
      </c>
      <c r="P11" s="116" t="s">
        <v>629</v>
      </c>
      <c r="Q11" s="124">
        <v>44950</v>
      </c>
      <c r="R11" s="124">
        <v>44950</v>
      </c>
      <c r="S11" s="124">
        <v>45107</v>
      </c>
      <c r="T11" s="125" t="s">
        <v>612</v>
      </c>
      <c r="U11" s="124"/>
      <c r="V11" s="124"/>
      <c r="W11" s="126"/>
      <c r="X11" s="127"/>
      <c r="Y11" s="121">
        <v>16600000</v>
      </c>
      <c r="Z11" s="120">
        <v>0</v>
      </c>
      <c r="AA11" s="128">
        <v>1</v>
      </c>
      <c r="AB11" s="119">
        <v>57461852</v>
      </c>
      <c r="AC11" s="117" t="s">
        <v>613</v>
      </c>
      <c r="AD11" s="116"/>
      <c r="AE11" s="116"/>
      <c r="AF11" s="125"/>
      <c r="AG11" s="129" t="s">
        <v>636</v>
      </c>
      <c r="AH11" s="119" t="s">
        <v>192</v>
      </c>
      <c r="AI11" s="119" t="s">
        <v>192</v>
      </c>
    </row>
    <row r="12" spans="1:35" s="130" customFormat="1" ht="17.25" customHeight="1" x14ac:dyDescent="0.25">
      <c r="A12" s="114">
        <v>891780111</v>
      </c>
      <c r="B12" s="115" t="s">
        <v>54</v>
      </c>
      <c r="C12" s="116" t="s">
        <v>57</v>
      </c>
      <c r="D12" s="115" t="s">
        <v>60</v>
      </c>
      <c r="E12" s="119" t="s">
        <v>637</v>
      </c>
      <c r="F12" s="118" t="s">
        <v>61</v>
      </c>
      <c r="G12" s="118" t="s">
        <v>69</v>
      </c>
      <c r="H12" s="118" t="s">
        <v>609</v>
      </c>
      <c r="I12" s="120">
        <v>15800000</v>
      </c>
      <c r="J12" s="118"/>
      <c r="K12" s="131"/>
      <c r="L12" s="131"/>
      <c r="M12" s="122">
        <f t="shared" si="0"/>
        <v>15800000</v>
      </c>
      <c r="N12" s="117">
        <v>1082966865</v>
      </c>
      <c r="O12" s="123" t="s">
        <v>638</v>
      </c>
      <c r="P12" s="116" t="s">
        <v>629</v>
      </c>
      <c r="Q12" s="124">
        <v>44950</v>
      </c>
      <c r="R12" s="124">
        <v>44950</v>
      </c>
      <c r="S12" s="124">
        <v>45107</v>
      </c>
      <c r="T12" s="125" t="s">
        <v>612</v>
      </c>
      <c r="U12" s="124"/>
      <c r="V12" s="124"/>
      <c r="W12" s="126"/>
      <c r="X12" s="127"/>
      <c r="Y12" s="121">
        <v>15800000</v>
      </c>
      <c r="Z12" s="120">
        <v>0</v>
      </c>
      <c r="AA12" s="128">
        <v>1</v>
      </c>
      <c r="AB12" s="119">
        <v>57461852</v>
      </c>
      <c r="AC12" s="117" t="s">
        <v>613</v>
      </c>
      <c r="AD12" s="116"/>
      <c r="AE12" s="116"/>
      <c r="AF12" s="125"/>
      <c r="AG12" s="129" t="s">
        <v>639</v>
      </c>
      <c r="AH12" s="119" t="s">
        <v>192</v>
      </c>
      <c r="AI12" s="119" t="s">
        <v>192</v>
      </c>
    </row>
    <row r="13" spans="1:35" s="130" customFormat="1" ht="17.25" customHeight="1" x14ac:dyDescent="0.25">
      <c r="A13" s="114">
        <v>891780111</v>
      </c>
      <c r="B13" s="115" t="s">
        <v>54</v>
      </c>
      <c r="C13" s="116" t="s">
        <v>57</v>
      </c>
      <c r="D13" s="115" t="s">
        <v>60</v>
      </c>
      <c r="E13" s="119" t="s">
        <v>640</v>
      </c>
      <c r="F13" s="118" t="s">
        <v>61</v>
      </c>
      <c r="G13" s="118" t="s">
        <v>69</v>
      </c>
      <c r="H13" s="118" t="s">
        <v>609</v>
      </c>
      <c r="I13" s="120">
        <v>14746667</v>
      </c>
      <c r="J13" s="118"/>
      <c r="K13" s="121"/>
      <c r="L13" s="121"/>
      <c r="M13" s="122">
        <f t="shared" si="0"/>
        <v>14746667</v>
      </c>
      <c r="N13" s="117">
        <v>1083024229</v>
      </c>
      <c r="O13" s="123" t="s">
        <v>641</v>
      </c>
      <c r="P13" s="116" t="s">
        <v>642</v>
      </c>
      <c r="Q13" s="124">
        <v>44950</v>
      </c>
      <c r="R13" s="124">
        <v>44950</v>
      </c>
      <c r="S13" s="124">
        <v>45107</v>
      </c>
      <c r="T13" s="125" t="s">
        <v>612</v>
      </c>
      <c r="U13" s="124"/>
      <c r="V13" s="124"/>
      <c r="W13" s="126"/>
      <c r="X13" s="127"/>
      <c r="Y13" s="121">
        <v>14746667</v>
      </c>
      <c r="Z13" s="120">
        <v>0</v>
      </c>
      <c r="AA13" s="128">
        <v>1</v>
      </c>
      <c r="AB13" s="119">
        <v>1082903415</v>
      </c>
      <c r="AC13" s="117" t="s">
        <v>643</v>
      </c>
      <c r="AD13" s="116"/>
      <c r="AE13" s="116"/>
      <c r="AF13" s="125"/>
      <c r="AG13" s="129" t="s">
        <v>644</v>
      </c>
      <c r="AH13" s="119" t="s">
        <v>192</v>
      </c>
      <c r="AI13" s="119" t="s">
        <v>192</v>
      </c>
    </row>
    <row r="14" spans="1:35" s="130" customFormat="1" ht="17.25" customHeight="1" x14ac:dyDescent="0.25">
      <c r="A14" s="114">
        <v>891780111</v>
      </c>
      <c r="B14" s="115" t="s">
        <v>54</v>
      </c>
      <c r="C14" s="116" t="s">
        <v>57</v>
      </c>
      <c r="D14" s="115" t="s">
        <v>60</v>
      </c>
      <c r="E14" s="119" t="s">
        <v>645</v>
      </c>
      <c r="F14" s="118" t="s">
        <v>61</v>
      </c>
      <c r="G14" s="118" t="s">
        <v>69</v>
      </c>
      <c r="H14" s="118" t="s">
        <v>609</v>
      </c>
      <c r="I14" s="120">
        <v>8000000</v>
      </c>
      <c r="J14" s="118"/>
      <c r="K14" s="131"/>
      <c r="L14" s="131"/>
      <c r="M14" s="122">
        <f t="shared" si="0"/>
        <v>8000000</v>
      </c>
      <c r="N14" s="117">
        <v>52695882</v>
      </c>
      <c r="O14" s="123" t="s">
        <v>646</v>
      </c>
      <c r="P14" s="116" t="s">
        <v>647</v>
      </c>
      <c r="Q14" s="124">
        <v>44950</v>
      </c>
      <c r="R14" s="124">
        <v>44950</v>
      </c>
      <c r="S14" s="124">
        <v>45001</v>
      </c>
      <c r="T14" s="125" t="s">
        <v>612</v>
      </c>
      <c r="U14" s="124"/>
      <c r="V14" s="124"/>
      <c r="W14" s="126"/>
      <c r="X14" s="127"/>
      <c r="Y14" s="121">
        <v>8000000</v>
      </c>
      <c r="Z14" s="120">
        <v>0</v>
      </c>
      <c r="AA14" s="128">
        <v>1</v>
      </c>
      <c r="AB14" s="119">
        <v>85155551</v>
      </c>
      <c r="AC14" s="117" t="s">
        <v>648</v>
      </c>
      <c r="AD14" s="116"/>
      <c r="AE14" s="116"/>
      <c r="AF14" s="125"/>
      <c r="AG14" s="129" t="s">
        <v>649</v>
      </c>
      <c r="AH14" s="119" t="s">
        <v>192</v>
      </c>
      <c r="AI14" s="119" t="s">
        <v>192</v>
      </c>
    </row>
    <row r="15" spans="1:35" s="130" customFormat="1" ht="17.25" customHeight="1" x14ac:dyDescent="0.25">
      <c r="A15" s="114">
        <v>891780111</v>
      </c>
      <c r="B15" s="115" t="s">
        <v>54</v>
      </c>
      <c r="C15" s="116" t="s">
        <v>57</v>
      </c>
      <c r="D15" s="115" t="s">
        <v>60</v>
      </c>
      <c r="E15" s="119" t="s">
        <v>650</v>
      </c>
      <c r="F15" s="118" t="s">
        <v>61</v>
      </c>
      <c r="G15" s="118" t="s">
        <v>69</v>
      </c>
      <c r="H15" s="118" t="s">
        <v>609</v>
      </c>
      <c r="I15" s="120">
        <v>16400000</v>
      </c>
      <c r="J15" s="118"/>
      <c r="K15" s="121"/>
      <c r="L15" s="121"/>
      <c r="M15" s="122">
        <f t="shared" si="0"/>
        <v>16400000</v>
      </c>
      <c r="N15" s="117">
        <v>1081918985</v>
      </c>
      <c r="O15" s="123" t="s">
        <v>651</v>
      </c>
      <c r="P15" s="116" t="s">
        <v>652</v>
      </c>
      <c r="Q15" s="124">
        <v>44950</v>
      </c>
      <c r="R15" s="124">
        <v>44950</v>
      </c>
      <c r="S15" s="124">
        <v>45107</v>
      </c>
      <c r="T15" s="125" t="s">
        <v>612</v>
      </c>
      <c r="U15" s="124"/>
      <c r="V15" s="124"/>
      <c r="W15" s="126"/>
      <c r="X15" s="127"/>
      <c r="Y15" s="121">
        <v>16400000</v>
      </c>
      <c r="Z15" s="120">
        <v>0</v>
      </c>
      <c r="AA15" s="128">
        <v>1</v>
      </c>
      <c r="AB15" s="119">
        <v>85155551</v>
      </c>
      <c r="AC15" s="117" t="s">
        <v>648</v>
      </c>
      <c r="AD15" s="116"/>
      <c r="AE15" s="116"/>
      <c r="AF15" s="125"/>
      <c r="AG15" s="129" t="s">
        <v>653</v>
      </c>
      <c r="AH15" s="119" t="s">
        <v>192</v>
      </c>
      <c r="AI15" s="119" t="s">
        <v>192</v>
      </c>
    </row>
    <row r="16" spans="1:35" s="130" customFormat="1" ht="17.25" customHeight="1" x14ac:dyDescent="0.25">
      <c r="A16" s="114">
        <v>891780111</v>
      </c>
      <c r="B16" s="115" t="s">
        <v>54</v>
      </c>
      <c r="C16" s="116" t="s">
        <v>57</v>
      </c>
      <c r="D16" s="115" t="s">
        <v>60</v>
      </c>
      <c r="E16" s="119" t="s">
        <v>654</v>
      </c>
      <c r="F16" s="118" t="s">
        <v>61</v>
      </c>
      <c r="G16" s="118" t="s">
        <v>69</v>
      </c>
      <c r="H16" s="118" t="s">
        <v>609</v>
      </c>
      <c r="I16" s="120">
        <v>15800000</v>
      </c>
      <c r="J16" s="118"/>
      <c r="K16" s="131"/>
      <c r="L16" s="131"/>
      <c r="M16" s="122">
        <f t="shared" si="0"/>
        <v>15800000</v>
      </c>
      <c r="N16" s="117">
        <v>1082887058</v>
      </c>
      <c r="O16" s="123" t="s">
        <v>655</v>
      </c>
      <c r="P16" s="116" t="s">
        <v>656</v>
      </c>
      <c r="Q16" s="124">
        <v>44951</v>
      </c>
      <c r="R16" s="124">
        <v>44951</v>
      </c>
      <c r="S16" s="124">
        <v>45107</v>
      </c>
      <c r="T16" s="125" t="s">
        <v>612</v>
      </c>
      <c r="U16" s="124"/>
      <c r="V16" s="124"/>
      <c r="W16" s="126"/>
      <c r="X16" s="127"/>
      <c r="Y16" s="121">
        <v>15800000</v>
      </c>
      <c r="Z16" s="120">
        <v>0</v>
      </c>
      <c r="AA16" s="128">
        <v>1</v>
      </c>
      <c r="AB16" s="119">
        <v>85155551</v>
      </c>
      <c r="AC16" s="117" t="s">
        <v>648</v>
      </c>
      <c r="AD16" s="116"/>
      <c r="AE16" s="116"/>
      <c r="AF16" s="125"/>
      <c r="AG16" s="129" t="s">
        <v>657</v>
      </c>
      <c r="AH16" s="119" t="s">
        <v>192</v>
      </c>
      <c r="AI16" s="119" t="s">
        <v>192</v>
      </c>
    </row>
    <row r="17" spans="1:35" s="130" customFormat="1" ht="17.25" customHeight="1" x14ac:dyDescent="0.25">
      <c r="A17" s="114">
        <v>891780111</v>
      </c>
      <c r="B17" s="115" t="s">
        <v>54</v>
      </c>
      <c r="C17" s="116" t="s">
        <v>57</v>
      </c>
      <c r="D17" s="115" t="s">
        <v>60</v>
      </c>
      <c r="E17" s="119" t="s">
        <v>658</v>
      </c>
      <c r="F17" s="118" t="s">
        <v>61</v>
      </c>
      <c r="G17" s="118" t="s">
        <v>69</v>
      </c>
      <c r="H17" s="118" t="s">
        <v>609</v>
      </c>
      <c r="I17" s="120">
        <v>17906667</v>
      </c>
      <c r="J17" s="118"/>
      <c r="K17" s="121"/>
      <c r="L17" s="121"/>
      <c r="M17" s="122">
        <f t="shared" si="0"/>
        <v>17906667</v>
      </c>
      <c r="N17" s="117">
        <v>1084732648</v>
      </c>
      <c r="O17" s="123" t="s">
        <v>659</v>
      </c>
      <c r="P17" s="116" t="s">
        <v>660</v>
      </c>
      <c r="Q17" s="124">
        <v>44951</v>
      </c>
      <c r="R17" s="124">
        <v>44951</v>
      </c>
      <c r="S17" s="124">
        <v>45107</v>
      </c>
      <c r="T17" s="125" t="s">
        <v>612</v>
      </c>
      <c r="U17" s="124"/>
      <c r="V17" s="124"/>
      <c r="W17" s="126"/>
      <c r="X17" s="127"/>
      <c r="Y17" s="121">
        <v>17906667</v>
      </c>
      <c r="Z17" s="120">
        <v>0</v>
      </c>
      <c r="AA17" s="128">
        <v>1</v>
      </c>
      <c r="AB17" s="119">
        <v>85155551</v>
      </c>
      <c r="AC17" s="117" t="s">
        <v>648</v>
      </c>
      <c r="AD17" s="116"/>
      <c r="AE17" s="116"/>
      <c r="AF17" s="125"/>
      <c r="AG17" s="129" t="s">
        <v>661</v>
      </c>
      <c r="AH17" s="119" t="s">
        <v>192</v>
      </c>
      <c r="AI17" s="119" t="s">
        <v>192</v>
      </c>
    </row>
    <row r="18" spans="1:35" s="130" customFormat="1" ht="17.25" customHeight="1" x14ac:dyDescent="0.25">
      <c r="A18" s="114">
        <v>891780111</v>
      </c>
      <c r="B18" s="115" t="s">
        <v>54</v>
      </c>
      <c r="C18" s="116" t="s">
        <v>57</v>
      </c>
      <c r="D18" s="115" t="s">
        <v>60</v>
      </c>
      <c r="E18" s="119" t="s">
        <v>662</v>
      </c>
      <c r="F18" s="118" t="s">
        <v>61</v>
      </c>
      <c r="G18" s="118" t="s">
        <v>69</v>
      </c>
      <c r="H18" s="118" t="s">
        <v>609</v>
      </c>
      <c r="I18" s="120">
        <v>15800000</v>
      </c>
      <c r="J18" s="118"/>
      <c r="K18" s="131"/>
      <c r="L18" s="131"/>
      <c r="M18" s="122">
        <f t="shared" si="0"/>
        <v>15800000</v>
      </c>
      <c r="N18" s="117">
        <v>1045710831</v>
      </c>
      <c r="O18" s="123" t="s">
        <v>663</v>
      </c>
      <c r="P18" s="116" t="s">
        <v>664</v>
      </c>
      <c r="Q18" s="124">
        <v>44951</v>
      </c>
      <c r="R18" s="124">
        <v>44951</v>
      </c>
      <c r="S18" s="124">
        <v>45107</v>
      </c>
      <c r="T18" s="125" t="s">
        <v>612</v>
      </c>
      <c r="U18" s="124"/>
      <c r="V18" s="124"/>
      <c r="W18" s="126"/>
      <c r="X18" s="127"/>
      <c r="Y18" s="121">
        <v>15800000</v>
      </c>
      <c r="Z18" s="120">
        <v>0</v>
      </c>
      <c r="AA18" s="128">
        <v>1</v>
      </c>
      <c r="AB18" s="119">
        <v>85155551</v>
      </c>
      <c r="AC18" s="117" t="s">
        <v>648</v>
      </c>
      <c r="AD18" s="116"/>
      <c r="AE18" s="116"/>
      <c r="AF18" s="125"/>
      <c r="AG18" s="129" t="s">
        <v>665</v>
      </c>
      <c r="AH18" s="119" t="s">
        <v>192</v>
      </c>
      <c r="AI18" s="119" t="s">
        <v>192</v>
      </c>
    </row>
    <row r="19" spans="1:35" s="130" customFormat="1" ht="17.25" customHeight="1" x14ac:dyDescent="0.25">
      <c r="A19" s="114">
        <v>891780111</v>
      </c>
      <c r="B19" s="115" t="s">
        <v>54</v>
      </c>
      <c r="C19" s="116" t="s">
        <v>57</v>
      </c>
      <c r="D19" s="115" t="s">
        <v>60</v>
      </c>
      <c r="E19" s="119" t="s">
        <v>666</v>
      </c>
      <c r="F19" s="118" t="s">
        <v>61</v>
      </c>
      <c r="G19" s="118" t="s">
        <v>69</v>
      </c>
      <c r="H19" s="118" t="s">
        <v>609</v>
      </c>
      <c r="I19" s="120">
        <v>15800000</v>
      </c>
      <c r="J19" s="118"/>
      <c r="K19" s="121"/>
      <c r="L19" s="121"/>
      <c r="M19" s="122">
        <f t="shared" si="0"/>
        <v>15800000</v>
      </c>
      <c r="N19" s="117">
        <v>1083023702</v>
      </c>
      <c r="O19" s="123" t="s">
        <v>667</v>
      </c>
      <c r="P19" s="116" t="s">
        <v>668</v>
      </c>
      <c r="Q19" s="124">
        <v>44951</v>
      </c>
      <c r="R19" s="124">
        <v>44951</v>
      </c>
      <c r="S19" s="124">
        <v>45107</v>
      </c>
      <c r="T19" s="125" t="s">
        <v>612</v>
      </c>
      <c r="U19" s="124"/>
      <c r="V19" s="124"/>
      <c r="W19" s="126"/>
      <c r="X19" s="127"/>
      <c r="Y19" s="121">
        <v>15800000</v>
      </c>
      <c r="Z19" s="120">
        <v>0</v>
      </c>
      <c r="AA19" s="128">
        <v>1</v>
      </c>
      <c r="AB19" s="119">
        <v>57294316</v>
      </c>
      <c r="AC19" s="117" t="s">
        <v>669</v>
      </c>
      <c r="AD19" s="116"/>
      <c r="AE19" s="116"/>
      <c r="AF19" s="125"/>
      <c r="AG19" s="129" t="s">
        <v>670</v>
      </c>
      <c r="AH19" s="119" t="s">
        <v>192</v>
      </c>
      <c r="AI19" s="119" t="s">
        <v>192</v>
      </c>
    </row>
    <row r="20" spans="1:35" s="130" customFormat="1" ht="17.25" customHeight="1" x14ac:dyDescent="0.25">
      <c r="A20" s="114">
        <v>891780111</v>
      </c>
      <c r="B20" s="115" t="s">
        <v>54</v>
      </c>
      <c r="C20" s="116" t="s">
        <v>57</v>
      </c>
      <c r="D20" s="115" t="s">
        <v>60</v>
      </c>
      <c r="E20" s="119" t="s">
        <v>671</v>
      </c>
      <c r="F20" s="118" t="s">
        <v>61</v>
      </c>
      <c r="G20" s="118" t="s">
        <v>69</v>
      </c>
      <c r="H20" s="118" t="s">
        <v>609</v>
      </c>
      <c r="I20" s="120">
        <v>17906667</v>
      </c>
      <c r="J20" s="118">
        <v>1</v>
      </c>
      <c r="K20" s="131"/>
      <c r="L20" s="131">
        <v>13600000</v>
      </c>
      <c r="M20" s="122">
        <f t="shared" si="0"/>
        <v>4306667</v>
      </c>
      <c r="N20" s="117">
        <v>1082852722</v>
      </c>
      <c r="O20" s="123" t="s">
        <v>672</v>
      </c>
      <c r="P20" s="116" t="s">
        <v>673</v>
      </c>
      <c r="Q20" s="124">
        <v>44951</v>
      </c>
      <c r="R20" s="124">
        <v>44951</v>
      </c>
      <c r="S20" s="124">
        <v>45107</v>
      </c>
      <c r="T20" s="125" t="s">
        <v>612</v>
      </c>
      <c r="U20" s="124"/>
      <c r="V20" s="124"/>
      <c r="W20" s="124">
        <v>44985</v>
      </c>
      <c r="X20" s="127">
        <v>1</v>
      </c>
      <c r="Y20" s="121">
        <v>4306667</v>
      </c>
      <c r="Z20" s="120">
        <v>0</v>
      </c>
      <c r="AA20" s="128">
        <v>1</v>
      </c>
      <c r="AB20" s="119">
        <v>85155551</v>
      </c>
      <c r="AC20" s="117" t="s">
        <v>648</v>
      </c>
      <c r="AD20" s="116"/>
      <c r="AE20" s="116"/>
      <c r="AF20" s="125"/>
      <c r="AG20" s="129" t="s">
        <v>674</v>
      </c>
      <c r="AH20" s="119" t="s">
        <v>192</v>
      </c>
      <c r="AI20" s="119" t="s">
        <v>192</v>
      </c>
    </row>
    <row r="21" spans="1:35" s="130" customFormat="1" ht="17.25" customHeight="1" x14ac:dyDescent="0.25">
      <c r="A21" s="114">
        <v>891780111</v>
      </c>
      <c r="B21" s="115" t="s">
        <v>54</v>
      </c>
      <c r="C21" s="116" t="s">
        <v>57</v>
      </c>
      <c r="D21" s="115" t="s">
        <v>60</v>
      </c>
      <c r="E21" s="119" t="s">
        <v>675</v>
      </c>
      <c r="F21" s="118" t="s">
        <v>61</v>
      </c>
      <c r="G21" s="118" t="s">
        <v>69</v>
      </c>
      <c r="H21" s="118" t="s">
        <v>609</v>
      </c>
      <c r="I21" s="120">
        <v>15800000</v>
      </c>
      <c r="J21" s="118"/>
      <c r="K21" s="121"/>
      <c r="L21" s="121"/>
      <c r="M21" s="122">
        <f t="shared" si="0"/>
        <v>15800000</v>
      </c>
      <c r="N21" s="117">
        <v>57445651</v>
      </c>
      <c r="O21" s="123" t="s">
        <v>676</v>
      </c>
      <c r="P21" s="116" t="s">
        <v>677</v>
      </c>
      <c r="Q21" s="124">
        <v>44951</v>
      </c>
      <c r="R21" s="124">
        <v>44951</v>
      </c>
      <c r="S21" s="124">
        <v>45107</v>
      </c>
      <c r="T21" s="125" t="s">
        <v>612</v>
      </c>
      <c r="U21" s="124"/>
      <c r="V21" s="124"/>
      <c r="W21" s="126"/>
      <c r="X21" s="127"/>
      <c r="Y21" s="121">
        <v>15800000</v>
      </c>
      <c r="Z21" s="120">
        <v>0</v>
      </c>
      <c r="AA21" s="128">
        <v>1</v>
      </c>
      <c r="AB21" s="119">
        <v>85155551</v>
      </c>
      <c r="AC21" s="117" t="s">
        <v>648</v>
      </c>
      <c r="AD21" s="116"/>
      <c r="AE21" s="116"/>
      <c r="AF21" s="125"/>
      <c r="AG21" s="129" t="s">
        <v>678</v>
      </c>
      <c r="AH21" s="119" t="s">
        <v>192</v>
      </c>
      <c r="AI21" s="119" t="s">
        <v>192</v>
      </c>
    </row>
    <row r="22" spans="1:35" s="130" customFormat="1" ht="17.25" customHeight="1" x14ac:dyDescent="0.25">
      <c r="A22" s="114">
        <v>891780111</v>
      </c>
      <c r="B22" s="115" t="s">
        <v>54</v>
      </c>
      <c r="C22" s="116" t="s">
        <v>57</v>
      </c>
      <c r="D22" s="115" t="s">
        <v>60</v>
      </c>
      <c r="E22" s="119" t="s">
        <v>679</v>
      </c>
      <c r="F22" s="118" t="s">
        <v>61</v>
      </c>
      <c r="G22" s="118" t="s">
        <v>69</v>
      </c>
      <c r="H22" s="118" t="s">
        <v>609</v>
      </c>
      <c r="I22" s="120">
        <v>15800000</v>
      </c>
      <c r="J22" s="118">
        <v>1</v>
      </c>
      <c r="K22" s="131"/>
      <c r="L22" s="131">
        <v>12000000</v>
      </c>
      <c r="M22" s="122">
        <f t="shared" si="0"/>
        <v>3800000</v>
      </c>
      <c r="N22" s="117">
        <v>1065637083</v>
      </c>
      <c r="O22" s="123" t="s">
        <v>680</v>
      </c>
      <c r="P22" s="116" t="s">
        <v>681</v>
      </c>
      <c r="Q22" s="124">
        <v>44951</v>
      </c>
      <c r="R22" s="124">
        <v>44951</v>
      </c>
      <c r="S22" s="124">
        <v>45107</v>
      </c>
      <c r="T22" s="125" t="s">
        <v>612</v>
      </c>
      <c r="U22" s="124"/>
      <c r="V22" s="124"/>
      <c r="W22" s="126">
        <v>44985</v>
      </c>
      <c r="X22" s="127">
        <v>1</v>
      </c>
      <c r="Y22" s="121">
        <v>3800000</v>
      </c>
      <c r="Z22" s="120">
        <v>0</v>
      </c>
      <c r="AA22" s="128">
        <v>1</v>
      </c>
      <c r="AB22" s="119">
        <v>85155551</v>
      </c>
      <c r="AC22" s="117" t="s">
        <v>648</v>
      </c>
      <c r="AD22" s="116"/>
      <c r="AE22" s="116"/>
      <c r="AF22" s="125"/>
      <c r="AG22" s="129" t="s">
        <v>682</v>
      </c>
      <c r="AH22" s="119" t="s">
        <v>192</v>
      </c>
      <c r="AI22" s="119" t="s">
        <v>192</v>
      </c>
    </row>
    <row r="23" spans="1:35" s="130" customFormat="1" ht="17.25" customHeight="1" x14ac:dyDescent="0.25">
      <c r="A23" s="114">
        <v>891780111</v>
      </c>
      <c r="B23" s="115" t="s">
        <v>54</v>
      </c>
      <c r="C23" s="116" t="s">
        <v>57</v>
      </c>
      <c r="D23" s="115" t="s">
        <v>60</v>
      </c>
      <c r="E23" s="119" t="s">
        <v>683</v>
      </c>
      <c r="F23" s="118" t="s">
        <v>61</v>
      </c>
      <c r="G23" s="118" t="s">
        <v>69</v>
      </c>
      <c r="H23" s="118" t="s">
        <v>609</v>
      </c>
      <c r="I23" s="120">
        <v>17793333</v>
      </c>
      <c r="J23" s="118"/>
      <c r="K23" s="121"/>
      <c r="L23" s="121"/>
      <c r="M23" s="122">
        <f t="shared" si="0"/>
        <v>17793333</v>
      </c>
      <c r="N23" s="117">
        <v>1082985225</v>
      </c>
      <c r="O23" s="123" t="s">
        <v>684</v>
      </c>
      <c r="P23" s="116" t="s">
        <v>685</v>
      </c>
      <c r="Q23" s="124">
        <v>44951</v>
      </c>
      <c r="R23" s="124">
        <v>44951</v>
      </c>
      <c r="S23" s="124">
        <v>45107</v>
      </c>
      <c r="T23" s="125" t="s">
        <v>612</v>
      </c>
      <c r="U23" s="124"/>
      <c r="V23" s="124"/>
      <c r="W23" s="126"/>
      <c r="X23" s="127"/>
      <c r="Y23" s="121">
        <v>17793333</v>
      </c>
      <c r="Z23" s="120">
        <v>0</v>
      </c>
      <c r="AA23" s="128">
        <v>1</v>
      </c>
      <c r="AB23" s="119">
        <v>1082884010</v>
      </c>
      <c r="AC23" s="117" t="s">
        <v>686</v>
      </c>
      <c r="AD23" s="116"/>
      <c r="AE23" s="116"/>
      <c r="AF23" s="125"/>
      <c r="AG23" s="129" t="s">
        <v>687</v>
      </c>
      <c r="AH23" s="119" t="s">
        <v>192</v>
      </c>
      <c r="AI23" s="119" t="s">
        <v>192</v>
      </c>
    </row>
    <row r="24" spans="1:35" s="130" customFormat="1" ht="17.25" customHeight="1" x14ac:dyDescent="0.25">
      <c r="A24" s="114">
        <v>891780111</v>
      </c>
      <c r="B24" s="115" t="s">
        <v>54</v>
      </c>
      <c r="C24" s="116" t="s">
        <v>57</v>
      </c>
      <c r="D24" s="115" t="s">
        <v>60</v>
      </c>
      <c r="E24" s="119" t="s">
        <v>688</v>
      </c>
      <c r="F24" s="118" t="s">
        <v>61</v>
      </c>
      <c r="G24" s="118" t="s">
        <v>69</v>
      </c>
      <c r="H24" s="118" t="s">
        <v>609</v>
      </c>
      <c r="I24" s="120">
        <v>15600000</v>
      </c>
      <c r="J24" s="118"/>
      <c r="K24" s="131"/>
      <c r="L24" s="131"/>
      <c r="M24" s="122">
        <f t="shared" si="0"/>
        <v>15600000</v>
      </c>
      <c r="N24" s="117">
        <v>12617352</v>
      </c>
      <c r="O24" s="123" t="s">
        <v>689</v>
      </c>
      <c r="P24" s="116" t="s">
        <v>690</v>
      </c>
      <c r="Q24" s="124">
        <v>44951</v>
      </c>
      <c r="R24" s="124">
        <v>44951</v>
      </c>
      <c r="S24" s="124">
        <v>45107</v>
      </c>
      <c r="T24" s="125" t="s">
        <v>612</v>
      </c>
      <c r="U24" s="124"/>
      <c r="V24" s="124"/>
      <c r="W24" s="126"/>
      <c r="X24" s="127"/>
      <c r="Y24" s="121">
        <v>15600000</v>
      </c>
      <c r="Z24" s="120">
        <v>0</v>
      </c>
      <c r="AA24" s="128">
        <v>1</v>
      </c>
      <c r="AB24" s="119">
        <v>85155551</v>
      </c>
      <c r="AC24" s="117" t="s">
        <v>648</v>
      </c>
      <c r="AD24" s="116"/>
      <c r="AE24" s="116"/>
      <c r="AF24" s="125"/>
      <c r="AG24" s="129" t="s">
        <v>691</v>
      </c>
      <c r="AH24" s="119" t="s">
        <v>192</v>
      </c>
      <c r="AI24" s="119" t="s">
        <v>192</v>
      </c>
    </row>
    <row r="25" spans="1:35" s="130" customFormat="1" ht="17.25" customHeight="1" x14ac:dyDescent="0.25">
      <c r="A25" s="114">
        <v>891780111</v>
      </c>
      <c r="B25" s="115" t="s">
        <v>54</v>
      </c>
      <c r="C25" s="116" t="s">
        <v>57</v>
      </c>
      <c r="D25" s="115" t="s">
        <v>60</v>
      </c>
      <c r="E25" s="119" t="s">
        <v>692</v>
      </c>
      <c r="F25" s="118" t="s">
        <v>61</v>
      </c>
      <c r="G25" s="118" t="s">
        <v>69</v>
      </c>
      <c r="H25" s="118" t="s">
        <v>609</v>
      </c>
      <c r="I25" s="120">
        <v>19363333</v>
      </c>
      <c r="J25" s="118"/>
      <c r="K25" s="121"/>
      <c r="L25" s="121"/>
      <c r="M25" s="122">
        <f t="shared" si="0"/>
        <v>19363333</v>
      </c>
      <c r="N25" s="117">
        <v>85155278</v>
      </c>
      <c r="O25" s="123" t="s">
        <v>693</v>
      </c>
      <c r="P25" s="116" t="s">
        <v>694</v>
      </c>
      <c r="Q25" s="124">
        <v>44951</v>
      </c>
      <c r="R25" s="124">
        <v>44951</v>
      </c>
      <c r="S25" s="124">
        <v>45107</v>
      </c>
      <c r="T25" s="125" t="s">
        <v>612</v>
      </c>
      <c r="U25" s="124"/>
      <c r="V25" s="124"/>
      <c r="W25" s="126"/>
      <c r="X25" s="127"/>
      <c r="Y25" s="121">
        <v>19363333</v>
      </c>
      <c r="Z25" s="120">
        <v>0</v>
      </c>
      <c r="AA25" s="128">
        <v>1</v>
      </c>
      <c r="AB25" s="119">
        <v>1082884010</v>
      </c>
      <c r="AC25" s="117" t="s">
        <v>686</v>
      </c>
      <c r="AD25" s="116"/>
      <c r="AE25" s="116"/>
      <c r="AF25" s="125"/>
      <c r="AG25" s="129" t="s">
        <v>695</v>
      </c>
      <c r="AH25" s="119" t="s">
        <v>192</v>
      </c>
      <c r="AI25" s="119" t="s">
        <v>192</v>
      </c>
    </row>
    <row r="26" spans="1:35" s="130" customFormat="1" ht="17.25" customHeight="1" x14ac:dyDescent="0.25">
      <c r="A26" s="114">
        <v>891780111</v>
      </c>
      <c r="B26" s="115" t="s">
        <v>54</v>
      </c>
      <c r="C26" s="116" t="s">
        <v>57</v>
      </c>
      <c r="D26" s="115" t="s">
        <v>60</v>
      </c>
      <c r="E26" s="119" t="s">
        <v>696</v>
      </c>
      <c r="F26" s="118" t="s">
        <v>61</v>
      </c>
      <c r="G26" s="118" t="s">
        <v>69</v>
      </c>
      <c r="H26" s="118" t="s">
        <v>609</v>
      </c>
      <c r="I26" s="120">
        <v>10340000</v>
      </c>
      <c r="J26" s="118"/>
      <c r="K26" s="131"/>
      <c r="L26" s="131"/>
      <c r="M26" s="122">
        <f t="shared" si="0"/>
        <v>10340000</v>
      </c>
      <c r="N26" s="117">
        <v>71676049</v>
      </c>
      <c r="O26" s="123" t="s">
        <v>697</v>
      </c>
      <c r="P26" s="116" t="s">
        <v>698</v>
      </c>
      <c r="Q26" s="124">
        <v>44951</v>
      </c>
      <c r="R26" s="124">
        <v>44951</v>
      </c>
      <c r="S26" s="124">
        <v>45015</v>
      </c>
      <c r="T26" s="125" t="s">
        <v>612</v>
      </c>
      <c r="U26" s="124"/>
      <c r="V26" s="124"/>
      <c r="W26" s="126"/>
      <c r="X26" s="127"/>
      <c r="Y26" s="121">
        <v>10340000</v>
      </c>
      <c r="Z26" s="120">
        <v>0</v>
      </c>
      <c r="AA26" s="128">
        <v>1</v>
      </c>
      <c r="AB26" s="119">
        <v>39049658</v>
      </c>
      <c r="AC26" s="117" t="s">
        <v>699</v>
      </c>
      <c r="AD26" s="116"/>
      <c r="AE26" s="116"/>
      <c r="AF26" s="125"/>
      <c r="AG26" s="129" t="s">
        <v>700</v>
      </c>
      <c r="AH26" s="119" t="s">
        <v>192</v>
      </c>
      <c r="AI26" s="119" t="s">
        <v>192</v>
      </c>
    </row>
    <row r="27" spans="1:35" s="130" customFormat="1" ht="17.25" customHeight="1" x14ac:dyDescent="0.25">
      <c r="A27" s="114">
        <v>891780111</v>
      </c>
      <c r="B27" s="115" t="s">
        <v>54</v>
      </c>
      <c r="C27" s="116" t="s">
        <v>57</v>
      </c>
      <c r="D27" s="115" t="s">
        <v>60</v>
      </c>
      <c r="E27" s="119" t="s">
        <v>701</v>
      </c>
      <c r="F27" s="118" t="s">
        <v>61</v>
      </c>
      <c r="G27" s="118" t="s">
        <v>69</v>
      </c>
      <c r="H27" s="118" t="s">
        <v>609</v>
      </c>
      <c r="I27" s="120">
        <v>18200000</v>
      </c>
      <c r="J27" s="118"/>
      <c r="K27" s="121"/>
      <c r="L27" s="121"/>
      <c r="M27" s="122">
        <f t="shared" si="0"/>
        <v>18200000</v>
      </c>
      <c r="N27" s="117">
        <v>1082875832</v>
      </c>
      <c r="O27" s="123" t="s">
        <v>702</v>
      </c>
      <c r="P27" s="116" t="s">
        <v>703</v>
      </c>
      <c r="Q27" s="124">
        <v>44951</v>
      </c>
      <c r="R27" s="124">
        <v>44951</v>
      </c>
      <c r="S27" s="124">
        <v>45107</v>
      </c>
      <c r="T27" s="125" t="s">
        <v>612</v>
      </c>
      <c r="U27" s="124"/>
      <c r="V27" s="124"/>
      <c r="W27" s="126"/>
      <c r="X27" s="127"/>
      <c r="Y27" s="121">
        <v>18200000</v>
      </c>
      <c r="Z27" s="120">
        <v>0</v>
      </c>
      <c r="AA27" s="128">
        <v>1</v>
      </c>
      <c r="AB27" s="119">
        <v>39049658</v>
      </c>
      <c r="AC27" s="117" t="s">
        <v>699</v>
      </c>
      <c r="AD27" s="116"/>
      <c r="AE27" s="116"/>
      <c r="AF27" s="125"/>
      <c r="AG27" s="129" t="s">
        <v>704</v>
      </c>
      <c r="AH27" s="119" t="s">
        <v>192</v>
      </c>
      <c r="AI27" s="119" t="s">
        <v>192</v>
      </c>
    </row>
    <row r="28" spans="1:35" s="130" customFormat="1" ht="17.25" customHeight="1" x14ac:dyDescent="0.25">
      <c r="A28" s="114">
        <v>891780111</v>
      </c>
      <c r="B28" s="115" t="s">
        <v>54</v>
      </c>
      <c r="C28" s="116" t="s">
        <v>57</v>
      </c>
      <c r="D28" s="115" t="s">
        <v>60</v>
      </c>
      <c r="E28" s="119" t="s">
        <v>705</v>
      </c>
      <c r="F28" s="118" t="s">
        <v>61</v>
      </c>
      <c r="G28" s="118" t="s">
        <v>69</v>
      </c>
      <c r="H28" s="118" t="s">
        <v>609</v>
      </c>
      <c r="I28" s="120">
        <v>17380000</v>
      </c>
      <c r="J28" s="118"/>
      <c r="K28" s="131"/>
      <c r="L28" s="131"/>
      <c r="M28" s="122">
        <f t="shared" si="0"/>
        <v>17380000</v>
      </c>
      <c r="N28" s="117">
        <v>1082983109</v>
      </c>
      <c r="O28" s="123" t="s">
        <v>706</v>
      </c>
      <c r="P28" s="116" t="s">
        <v>707</v>
      </c>
      <c r="Q28" s="124">
        <v>44951</v>
      </c>
      <c r="R28" s="124">
        <v>44951</v>
      </c>
      <c r="S28" s="124">
        <v>45107</v>
      </c>
      <c r="T28" s="125" t="s">
        <v>612</v>
      </c>
      <c r="U28" s="124"/>
      <c r="V28" s="124"/>
      <c r="W28" s="126"/>
      <c r="X28" s="127"/>
      <c r="Y28" s="121">
        <v>17380000</v>
      </c>
      <c r="Z28" s="120">
        <v>0</v>
      </c>
      <c r="AA28" s="128">
        <v>1</v>
      </c>
      <c r="AB28" s="119">
        <v>85155551</v>
      </c>
      <c r="AC28" s="117" t="s">
        <v>648</v>
      </c>
      <c r="AD28" s="116"/>
      <c r="AE28" s="116"/>
      <c r="AF28" s="125"/>
      <c r="AG28" s="129" t="s">
        <v>708</v>
      </c>
      <c r="AH28" s="119" t="s">
        <v>192</v>
      </c>
      <c r="AI28" s="119" t="s">
        <v>192</v>
      </c>
    </row>
    <row r="29" spans="1:35" s="130" customFormat="1" ht="17.25" customHeight="1" x14ac:dyDescent="0.25">
      <c r="A29" s="114">
        <v>891780111</v>
      </c>
      <c r="B29" s="115" t="s">
        <v>54</v>
      </c>
      <c r="C29" s="116" t="s">
        <v>57</v>
      </c>
      <c r="D29" s="115" t="s">
        <v>60</v>
      </c>
      <c r="E29" s="119" t="s">
        <v>709</v>
      </c>
      <c r="F29" s="118" t="s">
        <v>61</v>
      </c>
      <c r="G29" s="118" t="s">
        <v>69</v>
      </c>
      <c r="H29" s="118" t="s">
        <v>609</v>
      </c>
      <c r="I29" s="120">
        <v>15800000</v>
      </c>
      <c r="J29" s="118">
        <v>1</v>
      </c>
      <c r="K29" s="121">
        <v>6620000</v>
      </c>
      <c r="L29" s="121"/>
      <c r="M29" s="122">
        <f t="shared" si="0"/>
        <v>22420000</v>
      </c>
      <c r="N29" s="117">
        <v>1140866481</v>
      </c>
      <c r="O29" s="123" t="s">
        <v>710</v>
      </c>
      <c r="P29" s="116" t="s">
        <v>711</v>
      </c>
      <c r="Q29" s="124">
        <v>44952</v>
      </c>
      <c r="R29" s="124">
        <v>44952</v>
      </c>
      <c r="S29" s="124">
        <v>45107</v>
      </c>
      <c r="T29" s="125" t="s">
        <v>612</v>
      </c>
      <c r="U29" s="124"/>
      <c r="V29" s="124"/>
      <c r="W29" s="126">
        <v>45168</v>
      </c>
      <c r="X29" s="127">
        <v>1</v>
      </c>
      <c r="Y29" s="121">
        <v>19420000</v>
      </c>
      <c r="Z29" s="120">
        <v>3000000</v>
      </c>
      <c r="AA29" s="128">
        <v>0.86619090098126672</v>
      </c>
      <c r="AB29" s="119">
        <v>39049658</v>
      </c>
      <c r="AC29" s="117" t="s">
        <v>699</v>
      </c>
      <c r="AD29" s="116"/>
      <c r="AE29" s="116"/>
      <c r="AF29" s="125"/>
      <c r="AG29" s="129" t="s">
        <v>712</v>
      </c>
      <c r="AH29" s="119" t="s">
        <v>192</v>
      </c>
      <c r="AI29" s="119" t="s">
        <v>192</v>
      </c>
    </row>
    <row r="30" spans="1:35" s="130" customFormat="1" ht="18" customHeight="1" x14ac:dyDescent="0.25">
      <c r="A30" s="114">
        <v>891780111</v>
      </c>
      <c r="B30" s="115" t="s">
        <v>54</v>
      </c>
      <c r="C30" s="116" t="s">
        <v>57</v>
      </c>
      <c r="D30" s="115" t="s">
        <v>60</v>
      </c>
      <c r="E30" s="119" t="s">
        <v>713</v>
      </c>
      <c r="F30" s="118" t="s">
        <v>61</v>
      </c>
      <c r="G30" s="118" t="s">
        <v>69</v>
      </c>
      <c r="H30" s="118" t="s">
        <v>609</v>
      </c>
      <c r="I30" s="120">
        <v>15800000</v>
      </c>
      <c r="J30" s="118"/>
      <c r="K30" s="131"/>
      <c r="L30" s="131"/>
      <c r="M30" s="122">
        <f t="shared" si="0"/>
        <v>15800000</v>
      </c>
      <c r="N30" s="117">
        <v>1082984449</v>
      </c>
      <c r="O30" s="123" t="s">
        <v>714</v>
      </c>
      <c r="P30" s="116" t="s">
        <v>711</v>
      </c>
      <c r="Q30" s="124">
        <v>44952</v>
      </c>
      <c r="R30" s="124">
        <v>44952</v>
      </c>
      <c r="S30" s="124">
        <v>45107</v>
      </c>
      <c r="T30" s="125" t="s">
        <v>612</v>
      </c>
      <c r="U30" s="124"/>
      <c r="V30" s="124"/>
      <c r="W30" s="126"/>
      <c r="X30" s="127"/>
      <c r="Y30" s="121">
        <v>15800000</v>
      </c>
      <c r="Z30" s="120">
        <v>0</v>
      </c>
      <c r="AA30" s="128">
        <v>1</v>
      </c>
      <c r="AB30" s="119">
        <v>39049658</v>
      </c>
      <c r="AC30" s="117" t="s">
        <v>699</v>
      </c>
      <c r="AD30" s="116"/>
      <c r="AE30" s="116"/>
      <c r="AF30" s="125"/>
      <c r="AG30" s="132" t="s">
        <v>715</v>
      </c>
      <c r="AH30" s="119" t="s">
        <v>192</v>
      </c>
      <c r="AI30" s="119" t="s">
        <v>192</v>
      </c>
    </row>
    <row r="31" spans="1:35" s="130" customFormat="1" ht="17.25" customHeight="1" x14ac:dyDescent="0.25">
      <c r="A31" s="114">
        <v>891780111</v>
      </c>
      <c r="B31" s="115" t="s">
        <v>54</v>
      </c>
      <c r="C31" s="116" t="s">
        <v>57</v>
      </c>
      <c r="D31" s="115" t="s">
        <v>60</v>
      </c>
      <c r="E31" s="119" t="s">
        <v>716</v>
      </c>
      <c r="F31" s="118" t="s">
        <v>61</v>
      </c>
      <c r="G31" s="118" t="s">
        <v>69</v>
      </c>
      <c r="H31" s="118" t="s">
        <v>609</v>
      </c>
      <c r="I31" s="120">
        <v>15800000</v>
      </c>
      <c r="J31" s="118">
        <v>1</v>
      </c>
      <c r="K31" s="121">
        <v>3521250</v>
      </c>
      <c r="L31" s="121"/>
      <c r="M31" s="122">
        <f t="shared" si="0"/>
        <v>19321250</v>
      </c>
      <c r="N31" s="117">
        <v>33224219</v>
      </c>
      <c r="O31" s="123" t="s">
        <v>717</v>
      </c>
      <c r="P31" s="116" t="s">
        <v>718</v>
      </c>
      <c r="Q31" s="124">
        <v>44952</v>
      </c>
      <c r="R31" s="124">
        <v>44952</v>
      </c>
      <c r="S31" s="124">
        <v>45107</v>
      </c>
      <c r="T31" s="125" t="s">
        <v>612</v>
      </c>
      <c r="U31" s="124"/>
      <c r="V31" s="124"/>
      <c r="W31" s="126">
        <v>45122</v>
      </c>
      <c r="X31" s="127">
        <v>1</v>
      </c>
      <c r="Y31" s="121">
        <v>19321250</v>
      </c>
      <c r="Z31" s="120">
        <v>0</v>
      </c>
      <c r="AA31" s="128">
        <v>1</v>
      </c>
      <c r="AB31" s="119">
        <v>39049658</v>
      </c>
      <c r="AC31" s="117" t="s">
        <v>699</v>
      </c>
      <c r="AD31" s="116"/>
      <c r="AE31" s="116"/>
      <c r="AF31" s="125"/>
      <c r="AG31" s="129" t="s">
        <v>719</v>
      </c>
      <c r="AH31" s="119" t="s">
        <v>192</v>
      </c>
      <c r="AI31" s="119" t="s">
        <v>192</v>
      </c>
    </row>
    <row r="32" spans="1:35" s="130" customFormat="1" ht="17.25" customHeight="1" x14ac:dyDescent="0.25">
      <c r="A32" s="114">
        <v>891780111</v>
      </c>
      <c r="B32" s="115" t="s">
        <v>54</v>
      </c>
      <c r="C32" s="116" t="s">
        <v>57</v>
      </c>
      <c r="D32" s="115" t="s">
        <v>60</v>
      </c>
      <c r="E32" s="119" t="s">
        <v>720</v>
      </c>
      <c r="F32" s="118" t="s">
        <v>61</v>
      </c>
      <c r="G32" s="118" t="s">
        <v>69</v>
      </c>
      <c r="H32" s="118" t="s">
        <v>609</v>
      </c>
      <c r="I32" s="120">
        <v>15800000</v>
      </c>
      <c r="J32" s="118"/>
      <c r="K32" s="131"/>
      <c r="L32" s="131"/>
      <c r="M32" s="122">
        <f t="shared" si="0"/>
        <v>15800000</v>
      </c>
      <c r="N32" s="117">
        <v>1004461196</v>
      </c>
      <c r="O32" s="123" t="s">
        <v>721</v>
      </c>
      <c r="P32" s="116" t="s">
        <v>718</v>
      </c>
      <c r="Q32" s="124">
        <v>44952</v>
      </c>
      <c r="R32" s="124">
        <v>44952</v>
      </c>
      <c r="S32" s="124">
        <v>45107</v>
      </c>
      <c r="T32" s="125" t="s">
        <v>612</v>
      </c>
      <c r="U32" s="124"/>
      <c r="V32" s="124"/>
      <c r="W32" s="126"/>
      <c r="X32" s="127"/>
      <c r="Y32" s="121">
        <v>15800000</v>
      </c>
      <c r="Z32" s="120">
        <v>0</v>
      </c>
      <c r="AA32" s="128">
        <v>1</v>
      </c>
      <c r="AB32" s="119">
        <v>39049658</v>
      </c>
      <c r="AC32" s="117" t="s">
        <v>699</v>
      </c>
      <c r="AD32" s="116"/>
      <c r="AE32" s="116"/>
      <c r="AF32" s="125"/>
      <c r="AG32" s="129" t="s">
        <v>722</v>
      </c>
      <c r="AH32" s="119" t="s">
        <v>192</v>
      </c>
      <c r="AI32" s="119" t="s">
        <v>192</v>
      </c>
    </row>
    <row r="33" spans="1:35" s="130" customFormat="1" ht="17.25" customHeight="1" x14ac:dyDescent="0.25">
      <c r="A33" s="114">
        <v>891780111</v>
      </c>
      <c r="B33" s="115" t="s">
        <v>54</v>
      </c>
      <c r="C33" s="116" t="s">
        <v>57</v>
      </c>
      <c r="D33" s="115" t="s">
        <v>60</v>
      </c>
      <c r="E33" s="119" t="s">
        <v>723</v>
      </c>
      <c r="F33" s="118" t="s">
        <v>61</v>
      </c>
      <c r="G33" s="118" t="s">
        <v>69</v>
      </c>
      <c r="H33" s="118" t="s">
        <v>609</v>
      </c>
      <c r="I33" s="120">
        <v>19486667</v>
      </c>
      <c r="J33" s="118"/>
      <c r="K33" s="121"/>
      <c r="L33" s="121"/>
      <c r="M33" s="122">
        <f t="shared" si="0"/>
        <v>19486667</v>
      </c>
      <c r="N33" s="117">
        <v>84454392</v>
      </c>
      <c r="O33" s="123" t="s">
        <v>724</v>
      </c>
      <c r="P33" s="116" t="s">
        <v>725</v>
      </c>
      <c r="Q33" s="124">
        <v>44952</v>
      </c>
      <c r="R33" s="124">
        <v>44952</v>
      </c>
      <c r="S33" s="124">
        <v>45107</v>
      </c>
      <c r="T33" s="125" t="s">
        <v>612</v>
      </c>
      <c r="U33" s="124"/>
      <c r="V33" s="124"/>
      <c r="W33" s="126"/>
      <c r="X33" s="127"/>
      <c r="Y33" s="121">
        <v>19486667</v>
      </c>
      <c r="Z33" s="120">
        <v>0</v>
      </c>
      <c r="AA33" s="128">
        <v>1</v>
      </c>
      <c r="AB33" s="119">
        <v>85155551</v>
      </c>
      <c r="AC33" s="117" t="s">
        <v>648</v>
      </c>
      <c r="AD33" s="116"/>
      <c r="AE33" s="116"/>
      <c r="AF33" s="125"/>
      <c r="AG33" s="129" t="s">
        <v>726</v>
      </c>
      <c r="AH33" s="119" t="s">
        <v>192</v>
      </c>
      <c r="AI33" s="119" t="s">
        <v>192</v>
      </c>
    </row>
    <row r="34" spans="1:35" s="130" customFormat="1" ht="17.25" customHeight="1" x14ac:dyDescent="0.25">
      <c r="A34" s="114">
        <v>891780111</v>
      </c>
      <c r="B34" s="115" t="s">
        <v>54</v>
      </c>
      <c r="C34" s="116" t="s">
        <v>57</v>
      </c>
      <c r="D34" s="115" t="s">
        <v>60</v>
      </c>
      <c r="E34" s="119" t="s">
        <v>727</v>
      </c>
      <c r="F34" s="118" t="s">
        <v>61</v>
      </c>
      <c r="G34" s="118" t="s">
        <v>69</v>
      </c>
      <c r="H34" s="118" t="s">
        <v>609</v>
      </c>
      <c r="I34" s="120">
        <v>15800000</v>
      </c>
      <c r="J34" s="118"/>
      <c r="K34" s="131"/>
      <c r="L34" s="131"/>
      <c r="M34" s="122">
        <f t="shared" si="0"/>
        <v>15800000</v>
      </c>
      <c r="N34" s="117">
        <v>36386177</v>
      </c>
      <c r="O34" s="123" t="s">
        <v>728</v>
      </c>
      <c r="P34" s="116" t="s">
        <v>711</v>
      </c>
      <c r="Q34" s="124">
        <v>44952</v>
      </c>
      <c r="R34" s="124">
        <v>44952</v>
      </c>
      <c r="S34" s="124">
        <v>45107</v>
      </c>
      <c r="T34" s="125" t="s">
        <v>612</v>
      </c>
      <c r="U34" s="124"/>
      <c r="V34" s="124"/>
      <c r="W34" s="126"/>
      <c r="X34" s="127"/>
      <c r="Y34" s="121">
        <v>15800000</v>
      </c>
      <c r="Z34" s="120">
        <v>0</v>
      </c>
      <c r="AA34" s="128">
        <v>1</v>
      </c>
      <c r="AB34" s="119">
        <v>39049658</v>
      </c>
      <c r="AC34" s="117" t="s">
        <v>699</v>
      </c>
      <c r="AD34" s="116"/>
      <c r="AE34" s="116"/>
      <c r="AF34" s="125"/>
      <c r="AG34" s="129" t="s">
        <v>729</v>
      </c>
      <c r="AH34" s="119" t="s">
        <v>192</v>
      </c>
      <c r="AI34" s="119" t="s">
        <v>192</v>
      </c>
    </row>
    <row r="35" spans="1:35" s="130" customFormat="1" ht="17.25" customHeight="1" x14ac:dyDescent="0.25">
      <c r="A35" s="114">
        <v>891780111</v>
      </c>
      <c r="B35" s="115" t="s">
        <v>54</v>
      </c>
      <c r="C35" s="116" t="s">
        <v>57</v>
      </c>
      <c r="D35" s="115" t="s">
        <v>60</v>
      </c>
      <c r="E35" s="119" t="s">
        <v>730</v>
      </c>
      <c r="F35" s="118" t="s">
        <v>61</v>
      </c>
      <c r="G35" s="118" t="s">
        <v>69</v>
      </c>
      <c r="H35" s="118" t="s">
        <v>609</v>
      </c>
      <c r="I35" s="120">
        <v>15800000</v>
      </c>
      <c r="J35" s="118">
        <v>1</v>
      </c>
      <c r="K35" s="121"/>
      <c r="L35" s="121">
        <v>12000000</v>
      </c>
      <c r="M35" s="122">
        <f t="shared" si="0"/>
        <v>3800000</v>
      </c>
      <c r="N35" s="117">
        <v>1082848784</v>
      </c>
      <c r="O35" s="123" t="s">
        <v>731</v>
      </c>
      <c r="P35" s="116" t="s">
        <v>732</v>
      </c>
      <c r="Q35" s="124">
        <v>44952</v>
      </c>
      <c r="R35" s="124">
        <v>44952</v>
      </c>
      <c r="S35" s="124">
        <v>45107</v>
      </c>
      <c r="T35" s="125" t="s">
        <v>612</v>
      </c>
      <c r="U35" s="124"/>
      <c r="V35" s="124"/>
      <c r="W35" s="126">
        <v>44985</v>
      </c>
      <c r="X35" s="127">
        <v>1</v>
      </c>
      <c r="Y35" s="121">
        <v>3800000</v>
      </c>
      <c r="Z35" s="120">
        <v>0</v>
      </c>
      <c r="AA35" s="128">
        <v>1</v>
      </c>
      <c r="AB35" s="119">
        <v>85155551</v>
      </c>
      <c r="AC35" s="117" t="s">
        <v>648</v>
      </c>
      <c r="AD35" s="116"/>
      <c r="AE35" s="116"/>
      <c r="AF35" s="125"/>
      <c r="AG35" s="129" t="s">
        <v>733</v>
      </c>
      <c r="AH35" s="119" t="s">
        <v>192</v>
      </c>
      <c r="AI35" s="119" t="s">
        <v>192</v>
      </c>
    </row>
    <row r="36" spans="1:35" s="130" customFormat="1" ht="17.25" customHeight="1" x14ac:dyDescent="0.25">
      <c r="A36" s="114">
        <v>891780111</v>
      </c>
      <c r="B36" s="115" t="s">
        <v>54</v>
      </c>
      <c r="C36" s="116" t="s">
        <v>57</v>
      </c>
      <c r="D36" s="115" t="s">
        <v>60</v>
      </c>
      <c r="E36" s="119" t="s">
        <v>734</v>
      </c>
      <c r="F36" s="118" t="s">
        <v>61</v>
      </c>
      <c r="G36" s="118" t="s">
        <v>69</v>
      </c>
      <c r="H36" s="118" t="s">
        <v>609</v>
      </c>
      <c r="I36" s="120">
        <v>14746667</v>
      </c>
      <c r="J36" s="118"/>
      <c r="K36" s="131"/>
      <c r="L36" s="131"/>
      <c r="M36" s="122">
        <f t="shared" si="0"/>
        <v>14746667</v>
      </c>
      <c r="N36" s="117">
        <v>1124006778</v>
      </c>
      <c r="O36" s="123" t="s">
        <v>735</v>
      </c>
      <c r="P36" s="116" t="s">
        <v>736</v>
      </c>
      <c r="Q36" s="124">
        <v>44952</v>
      </c>
      <c r="R36" s="124">
        <v>44952</v>
      </c>
      <c r="S36" s="124">
        <v>45107</v>
      </c>
      <c r="T36" s="125" t="s">
        <v>612</v>
      </c>
      <c r="U36" s="124"/>
      <c r="V36" s="124"/>
      <c r="W36" s="126"/>
      <c r="X36" s="127"/>
      <c r="Y36" s="121">
        <v>14746667</v>
      </c>
      <c r="Z36" s="120">
        <v>0</v>
      </c>
      <c r="AA36" s="128">
        <v>1</v>
      </c>
      <c r="AB36" s="119">
        <v>85155551</v>
      </c>
      <c r="AC36" s="117" t="s">
        <v>648</v>
      </c>
      <c r="AD36" s="116"/>
      <c r="AE36" s="116"/>
      <c r="AF36" s="125"/>
      <c r="AG36" s="129" t="s">
        <v>737</v>
      </c>
      <c r="AH36" s="119" t="s">
        <v>192</v>
      </c>
      <c r="AI36" s="119" t="s">
        <v>192</v>
      </c>
    </row>
    <row r="37" spans="1:35" s="130" customFormat="1" ht="17.25" customHeight="1" x14ac:dyDescent="0.25">
      <c r="A37" s="114">
        <v>891780111</v>
      </c>
      <c r="B37" s="115" t="s">
        <v>54</v>
      </c>
      <c r="C37" s="116" t="s">
        <v>57</v>
      </c>
      <c r="D37" s="115" t="s">
        <v>60</v>
      </c>
      <c r="E37" s="119" t="s">
        <v>738</v>
      </c>
      <c r="F37" s="118" t="s">
        <v>61</v>
      </c>
      <c r="G37" s="118" t="s">
        <v>69</v>
      </c>
      <c r="H37" s="118" t="s">
        <v>609</v>
      </c>
      <c r="I37" s="120">
        <v>15800000</v>
      </c>
      <c r="J37" s="118"/>
      <c r="K37" s="121"/>
      <c r="L37" s="121"/>
      <c r="M37" s="122">
        <f t="shared" si="0"/>
        <v>15800000</v>
      </c>
      <c r="N37" s="117">
        <v>1082875128</v>
      </c>
      <c r="O37" s="123" t="s">
        <v>739</v>
      </c>
      <c r="P37" s="116" t="s">
        <v>740</v>
      </c>
      <c r="Q37" s="124">
        <v>44952</v>
      </c>
      <c r="R37" s="124">
        <v>44952</v>
      </c>
      <c r="S37" s="124">
        <v>45107</v>
      </c>
      <c r="T37" s="125" t="s">
        <v>612</v>
      </c>
      <c r="U37" s="124"/>
      <c r="V37" s="124"/>
      <c r="W37" s="126"/>
      <c r="X37" s="127"/>
      <c r="Y37" s="121">
        <v>15800000</v>
      </c>
      <c r="Z37" s="120">
        <v>0</v>
      </c>
      <c r="AA37" s="128">
        <v>1</v>
      </c>
      <c r="AB37" s="119">
        <v>1082903415</v>
      </c>
      <c r="AC37" s="117" t="s">
        <v>643</v>
      </c>
      <c r="AD37" s="116"/>
      <c r="AE37" s="116"/>
      <c r="AF37" s="125"/>
      <c r="AG37" s="129" t="s">
        <v>741</v>
      </c>
      <c r="AH37" s="119" t="s">
        <v>192</v>
      </c>
      <c r="AI37" s="119" t="s">
        <v>192</v>
      </c>
    </row>
    <row r="38" spans="1:35" s="130" customFormat="1" ht="17.25" customHeight="1" x14ac:dyDescent="0.25">
      <c r="A38" s="114">
        <v>891780111</v>
      </c>
      <c r="B38" s="115" t="s">
        <v>54</v>
      </c>
      <c r="C38" s="116" t="s">
        <v>57</v>
      </c>
      <c r="D38" s="115" t="s">
        <v>60</v>
      </c>
      <c r="E38" s="119" t="s">
        <v>742</v>
      </c>
      <c r="F38" s="118" t="s">
        <v>61</v>
      </c>
      <c r="G38" s="118" t="s">
        <v>69</v>
      </c>
      <c r="H38" s="118" t="s">
        <v>609</v>
      </c>
      <c r="I38" s="120">
        <v>15500000</v>
      </c>
      <c r="J38" s="118">
        <v>1</v>
      </c>
      <c r="K38" s="131"/>
      <c r="L38" s="131">
        <v>13500000</v>
      </c>
      <c r="M38" s="122">
        <f t="shared" si="0"/>
        <v>2000000</v>
      </c>
      <c r="N38" s="117">
        <v>1083002889</v>
      </c>
      <c r="O38" s="123" t="s">
        <v>743</v>
      </c>
      <c r="P38" s="116" t="s">
        <v>744</v>
      </c>
      <c r="Q38" s="124">
        <v>44952</v>
      </c>
      <c r="R38" s="124">
        <v>44952</v>
      </c>
      <c r="S38" s="124">
        <v>45107</v>
      </c>
      <c r="T38" s="125" t="s">
        <v>612</v>
      </c>
      <c r="U38" s="124"/>
      <c r="V38" s="124"/>
      <c r="W38" s="126">
        <v>44972</v>
      </c>
      <c r="X38" s="127">
        <v>1</v>
      </c>
      <c r="Y38" s="121">
        <v>2000000</v>
      </c>
      <c r="Z38" s="120">
        <v>0</v>
      </c>
      <c r="AA38" s="128">
        <v>1</v>
      </c>
      <c r="AB38" s="119">
        <v>85155551</v>
      </c>
      <c r="AC38" s="117" t="s">
        <v>648</v>
      </c>
      <c r="AD38" s="116"/>
      <c r="AE38" s="116"/>
      <c r="AF38" s="125"/>
      <c r="AG38" s="129" t="s">
        <v>745</v>
      </c>
      <c r="AH38" s="119" t="s">
        <v>192</v>
      </c>
      <c r="AI38" s="119" t="s">
        <v>192</v>
      </c>
    </row>
    <row r="39" spans="1:35" s="130" customFormat="1" ht="17.25" customHeight="1" x14ac:dyDescent="0.25">
      <c r="A39" s="114">
        <v>891780111</v>
      </c>
      <c r="B39" s="115" t="s">
        <v>54</v>
      </c>
      <c r="C39" s="116" t="s">
        <v>57</v>
      </c>
      <c r="D39" s="115" t="s">
        <v>60</v>
      </c>
      <c r="E39" s="119" t="s">
        <v>746</v>
      </c>
      <c r="F39" s="118" t="s">
        <v>61</v>
      </c>
      <c r="G39" s="118" t="s">
        <v>69</v>
      </c>
      <c r="H39" s="118" t="s">
        <v>609</v>
      </c>
      <c r="I39" s="120">
        <v>15800000</v>
      </c>
      <c r="J39" s="118"/>
      <c r="K39" s="121"/>
      <c r="L39" s="121"/>
      <c r="M39" s="122">
        <f t="shared" si="0"/>
        <v>15800000</v>
      </c>
      <c r="N39" s="117">
        <v>1082935131</v>
      </c>
      <c r="O39" s="123" t="s">
        <v>747</v>
      </c>
      <c r="P39" s="116" t="s">
        <v>711</v>
      </c>
      <c r="Q39" s="124">
        <v>44952</v>
      </c>
      <c r="R39" s="124">
        <v>44952</v>
      </c>
      <c r="S39" s="124">
        <v>45107</v>
      </c>
      <c r="T39" s="125" t="s">
        <v>612</v>
      </c>
      <c r="U39" s="124"/>
      <c r="V39" s="124"/>
      <c r="W39" s="126"/>
      <c r="X39" s="127"/>
      <c r="Y39" s="121">
        <v>15800000</v>
      </c>
      <c r="Z39" s="120">
        <v>0</v>
      </c>
      <c r="AA39" s="128">
        <v>1</v>
      </c>
      <c r="AB39" s="119">
        <v>39049658</v>
      </c>
      <c r="AC39" s="117" t="s">
        <v>699</v>
      </c>
      <c r="AD39" s="116"/>
      <c r="AE39" s="116"/>
      <c r="AF39" s="125"/>
      <c r="AG39" s="129" t="s">
        <v>748</v>
      </c>
      <c r="AH39" s="119" t="s">
        <v>192</v>
      </c>
      <c r="AI39" s="119" t="s">
        <v>192</v>
      </c>
    </row>
    <row r="40" spans="1:35" s="130" customFormat="1" ht="17.25" customHeight="1" x14ac:dyDescent="0.25">
      <c r="A40" s="114">
        <v>891780111</v>
      </c>
      <c r="B40" s="115" t="s">
        <v>54</v>
      </c>
      <c r="C40" s="116" t="s">
        <v>57</v>
      </c>
      <c r="D40" s="115" t="s">
        <v>60</v>
      </c>
      <c r="E40" s="119" t="s">
        <v>749</v>
      </c>
      <c r="F40" s="118" t="s">
        <v>61</v>
      </c>
      <c r="G40" s="118" t="s">
        <v>69</v>
      </c>
      <c r="H40" s="118" t="s">
        <v>609</v>
      </c>
      <c r="I40" s="120">
        <v>14746667</v>
      </c>
      <c r="J40" s="118"/>
      <c r="K40" s="131"/>
      <c r="L40" s="131"/>
      <c r="M40" s="122">
        <f t="shared" si="0"/>
        <v>14746667</v>
      </c>
      <c r="N40" s="117">
        <v>1053001646</v>
      </c>
      <c r="O40" s="123" t="s">
        <v>750</v>
      </c>
      <c r="P40" s="116" t="s">
        <v>751</v>
      </c>
      <c r="Q40" s="124">
        <v>44953</v>
      </c>
      <c r="R40" s="124">
        <v>44953</v>
      </c>
      <c r="S40" s="124">
        <v>45107</v>
      </c>
      <c r="T40" s="125" t="s">
        <v>612</v>
      </c>
      <c r="U40" s="124"/>
      <c r="V40" s="124"/>
      <c r="W40" s="126"/>
      <c r="X40" s="127"/>
      <c r="Y40" s="121">
        <v>14746667</v>
      </c>
      <c r="Z40" s="120">
        <v>0</v>
      </c>
      <c r="AA40" s="128">
        <v>1</v>
      </c>
      <c r="AB40" s="119">
        <v>1082903415</v>
      </c>
      <c r="AC40" s="117" t="s">
        <v>643</v>
      </c>
      <c r="AD40" s="116"/>
      <c r="AE40" s="116"/>
      <c r="AF40" s="125"/>
      <c r="AG40" s="129" t="s">
        <v>752</v>
      </c>
      <c r="AH40" s="119" t="s">
        <v>192</v>
      </c>
      <c r="AI40" s="119" t="s">
        <v>192</v>
      </c>
    </row>
    <row r="41" spans="1:35" s="130" customFormat="1" ht="17.25" customHeight="1" x14ac:dyDescent="0.25">
      <c r="A41" s="114">
        <v>891780111</v>
      </c>
      <c r="B41" s="115" t="s">
        <v>54</v>
      </c>
      <c r="C41" s="116" t="s">
        <v>57</v>
      </c>
      <c r="D41" s="115" t="s">
        <v>60</v>
      </c>
      <c r="E41" s="119" t="s">
        <v>753</v>
      </c>
      <c r="F41" s="118" t="s">
        <v>61</v>
      </c>
      <c r="G41" s="118" t="s">
        <v>69</v>
      </c>
      <c r="H41" s="118" t="s">
        <v>609</v>
      </c>
      <c r="I41" s="120">
        <v>14466667</v>
      </c>
      <c r="J41" s="118"/>
      <c r="K41" s="121"/>
      <c r="L41" s="121"/>
      <c r="M41" s="122">
        <f t="shared" si="0"/>
        <v>14466667</v>
      </c>
      <c r="N41" s="117">
        <v>1082958955</v>
      </c>
      <c r="O41" s="123" t="s">
        <v>754</v>
      </c>
      <c r="P41" s="116" t="s">
        <v>755</v>
      </c>
      <c r="Q41" s="124">
        <v>44953</v>
      </c>
      <c r="R41" s="124">
        <v>44953</v>
      </c>
      <c r="S41" s="124">
        <v>45107</v>
      </c>
      <c r="T41" s="125" t="s">
        <v>612</v>
      </c>
      <c r="U41" s="124"/>
      <c r="V41" s="124"/>
      <c r="W41" s="126"/>
      <c r="X41" s="127"/>
      <c r="Y41" s="121">
        <v>14466667</v>
      </c>
      <c r="Z41" s="120">
        <v>0</v>
      </c>
      <c r="AA41" s="128">
        <v>1</v>
      </c>
      <c r="AB41" s="119">
        <v>63563343</v>
      </c>
      <c r="AC41" s="119" t="s">
        <v>756</v>
      </c>
      <c r="AD41" s="116"/>
      <c r="AE41" s="116"/>
      <c r="AF41" s="125"/>
      <c r="AG41" s="129" t="s">
        <v>757</v>
      </c>
      <c r="AH41" s="119" t="s">
        <v>192</v>
      </c>
      <c r="AI41" s="119" t="s">
        <v>192</v>
      </c>
    </row>
    <row r="42" spans="1:35" s="130" customFormat="1" ht="17.25" customHeight="1" x14ac:dyDescent="0.25">
      <c r="A42" s="114">
        <v>891780111</v>
      </c>
      <c r="B42" s="115" t="s">
        <v>54</v>
      </c>
      <c r="C42" s="116" t="s">
        <v>57</v>
      </c>
      <c r="D42" s="115" t="s">
        <v>60</v>
      </c>
      <c r="E42" s="119" t="s">
        <v>758</v>
      </c>
      <c r="F42" s="118" t="s">
        <v>61</v>
      </c>
      <c r="G42" s="118" t="s">
        <v>69</v>
      </c>
      <c r="H42" s="118" t="s">
        <v>609</v>
      </c>
      <c r="I42" s="120">
        <v>14746667</v>
      </c>
      <c r="J42" s="118"/>
      <c r="K42" s="131"/>
      <c r="L42" s="131"/>
      <c r="M42" s="122">
        <f t="shared" si="0"/>
        <v>14746667</v>
      </c>
      <c r="N42" s="117">
        <v>57466061</v>
      </c>
      <c r="O42" s="123" t="s">
        <v>759</v>
      </c>
      <c r="P42" s="116" t="s">
        <v>760</v>
      </c>
      <c r="Q42" s="124">
        <v>44953</v>
      </c>
      <c r="R42" s="124">
        <v>44953</v>
      </c>
      <c r="S42" s="124">
        <v>45107</v>
      </c>
      <c r="T42" s="125" t="s">
        <v>612</v>
      </c>
      <c r="U42" s="124"/>
      <c r="V42" s="124"/>
      <c r="W42" s="126"/>
      <c r="X42" s="127"/>
      <c r="Y42" s="121">
        <v>14746667</v>
      </c>
      <c r="Z42" s="120">
        <v>0</v>
      </c>
      <c r="AA42" s="128">
        <v>1</v>
      </c>
      <c r="AB42" s="119">
        <v>1082884010</v>
      </c>
      <c r="AC42" s="117" t="s">
        <v>643</v>
      </c>
      <c r="AD42" s="116"/>
      <c r="AE42" s="116"/>
      <c r="AF42" s="125"/>
      <c r="AG42" s="129" t="s">
        <v>761</v>
      </c>
      <c r="AH42" s="119" t="s">
        <v>192</v>
      </c>
      <c r="AI42" s="119" t="s">
        <v>192</v>
      </c>
    </row>
    <row r="43" spans="1:35" s="130" customFormat="1" ht="17.25" customHeight="1" x14ac:dyDescent="0.25">
      <c r="A43" s="114">
        <v>891780111</v>
      </c>
      <c r="B43" s="115" t="s">
        <v>54</v>
      </c>
      <c r="C43" s="116" t="s">
        <v>57</v>
      </c>
      <c r="D43" s="115" t="s">
        <v>60</v>
      </c>
      <c r="E43" s="119" t="s">
        <v>762</v>
      </c>
      <c r="F43" s="118" t="s">
        <v>61</v>
      </c>
      <c r="G43" s="118" t="s">
        <v>69</v>
      </c>
      <c r="H43" s="118" t="s">
        <v>609</v>
      </c>
      <c r="I43" s="120">
        <v>17793333</v>
      </c>
      <c r="J43" s="118"/>
      <c r="K43" s="121"/>
      <c r="L43" s="121"/>
      <c r="M43" s="122">
        <f t="shared" si="0"/>
        <v>17793333</v>
      </c>
      <c r="N43" s="117">
        <v>85152793</v>
      </c>
      <c r="O43" s="123" t="s">
        <v>763</v>
      </c>
      <c r="P43" s="116" t="s">
        <v>764</v>
      </c>
      <c r="Q43" s="124">
        <v>44953</v>
      </c>
      <c r="R43" s="124">
        <v>44953</v>
      </c>
      <c r="S43" s="124">
        <v>45107</v>
      </c>
      <c r="T43" s="125" t="s">
        <v>612</v>
      </c>
      <c r="U43" s="124"/>
      <c r="V43" s="124"/>
      <c r="W43" s="126"/>
      <c r="X43" s="127"/>
      <c r="Y43" s="121">
        <v>17793333</v>
      </c>
      <c r="Z43" s="120">
        <v>0</v>
      </c>
      <c r="AA43" s="128">
        <v>1</v>
      </c>
      <c r="AB43" s="119">
        <v>1082903415</v>
      </c>
      <c r="AC43" s="117" t="s">
        <v>643</v>
      </c>
      <c r="AD43" s="116"/>
      <c r="AE43" s="116"/>
      <c r="AF43" s="125"/>
      <c r="AG43" s="129" t="s">
        <v>765</v>
      </c>
      <c r="AH43" s="119" t="s">
        <v>192</v>
      </c>
      <c r="AI43" s="119" t="s">
        <v>192</v>
      </c>
    </row>
    <row r="44" spans="1:35" s="130" customFormat="1" ht="17.25" customHeight="1" x14ac:dyDescent="0.25">
      <c r="A44" s="114">
        <v>891780111</v>
      </c>
      <c r="B44" s="115" t="s">
        <v>54</v>
      </c>
      <c r="C44" s="116" t="s">
        <v>57</v>
      </c>
      <c r="D44" s="115" t="s">
        <v>60</v>
      </c>
      <c r="E44" s="119" t="s">
        <v>766</v>
      </c>
      <c r="F44" s="118" t="s">
        <v>61</v>
      </c>
      <c r="G44" s="118" t="s">
        <v>69</v>
      </c>
      <c r="H44" s="118" t="s">
        <v>609</v>
      </c>
      <c r="I44" s="120">
        <v>15400000</v>
      </c>
      <c r="J44" s="118"/>
      <c r="K44" s="131"/>
      <c r="L44" s="131"/>
      <c r="M44" s="122">
        <f t="shared" si="0"/>
        <v>15400000</v>
      </c>
      <c r="N44" s="117">
        <v>57422539</v>
      </c>
      <c r="O44" s="123" t="s">
        <v>767</v>
      </c>
      <c r="P44" s="116" t="s">
        <v>768</v>
      </c>
      <c r="Q44" s="124">
        <v>44953</v>
      </c>
      <c r="R44" s="124">
        <v>44953</v>
      </c>
      <c r="S44" s="124">
        <v>45107</v>
      </c>
      <c r="T44" s="125" t="s">
        <v>612</v>
      </c>
      <c r="U44" s="124"/>
      <c r="V44" s="124"/>
      <c r="W44" s="126"/>
      <c r="X44" s="127"/>
      <c r="Y44" s="121">
        <v>15400000</v>
      </c>
      <c r="Z44" s="120">
        <v>0</v>
      </c>
      <c r="AA44" s="128">
        <v>1</v>
      </c>
      <c r="AB44" s="119">
        <v>72004252</v>
      </c>
      <c r="AC44" s="119" t="s">
        <v>769</v>
      </c>
      <c r="AD44" s="116"/>
      <c r="AE44" s="116"/>
      <c r="AF44" s="125"/>
      <c r="AG44" s="129" t="s">
        <v>770</v>
      </c>
      <c r="AH44" s="119" t="s">
        <v>192</v>
      </c>
      <c r="AI44" s="119" t="s">
        <v>192</v>
      </c>
    </row>
    <row r="45" spans="1:35" s="130" customFormat="1" ht="17.25" customHeight="1" x14ac:dyDescent="0.25">
      <c r="A45" s="114">
        <v>891780111</v>
      </c>
      <c r="B45" s="115" t="s">
        <v>54</v>
      </c>
      <c r="C45" s="116" t="s">
        <v>57</v>
      </c>
      <c r="D45" s="115" t="s">
        <v>60</v>
      </c>
      <c r="E45" s="119" t="s">
        <v>771</v>
      </c>
      <c r="F45" s="118" t="s">
        <v>61</v>
      </c>
      <c r="G45" s="118" t="s">
        <v>69</v>
      </c>
      <c r="H45" s="118" t="s">
        <v>609</v>
      </c>
      <c r="I45" s="120">
        <v>15306667</v>
      </c>
      <c r="J45" s="118"/>
      <c r="K45" s="121"/>
      <c r="L45" s="121"/>
      <c r="M45" s="122">
        <f t="shared" si="0"/>
        <v>15306667</v>
      </c>
      <c r="N45" s="117">
        <v>1082990677</v>
      </c>
      <c r="O45" s="123" t="s">
        <v>772</v>
      </c>
      <c r="P45" s="116" t="s">
        <v>773</v>
      </c>
      <c r="Q45" s="124">
        <v>44953</v>
      </c>
      <c r="R45" s="124">
        <v>44953</v>
      </c>
      <c r="S45" s="124">
        <v>45107</v>
      </c>
      <c r="T45" s="125" t="s">
        <v>612</v>
      </c>
      <c r="U45" s="124"/>
      <c r="V45" s="124"/>
      <c r="W45" s="126"/>
      <c r="X45" s="127"/>
      <c r="Y45" s="121">
        <v>15306667</v>
      </c>
      <c r="Z45" s="120">
        <v>0</v>
      </c>
      <c r="AA45" s="128">
        <v>1</v>
      </c>
      <c r="AB45" s="119">
        <v>1082884010</v>
      </c>
      <c r="AC45" s="117" t="s">
        <v>686</v>
      </c>
      <c r="AD45" s="116"/>
      <c r="AE45" s="116"/>
      <c r="AF45" s="125"/>
      <c r="AG45" s="129" t="s">
        <v>774</v>
      </c>
      <c r="AH45" s="119" t="s">
        <v>192</v>
      </c>
      <c r="AI45" s="119" t="s">
        <v>192</v>
      </c>
    </row>
    <row r="46" spans="1:35" s="130" customFormat="1" ht="17.25" customHeight="1" x14ac:dyDescent="0.25">
      <c r="A46" s="114">
        <v>891780111</v>
      </c>
      <c r="B46" s="115" t="s">
        <v>54</v>
      </c>
      <c r="C46" s="116" t="s">
        <v>57</v>
      </c>
      <c r="D46" s="115" t="s">
        <v>60</v>
      </c>
      <c r="E46" s="119" t="s">
        <v>775</v>
      </c>
      <c r="F46" s="118" t="s">
        <v>61</v>
      </c>
      <c r="G46" s="118" t="s">
        <v>69</v>
      </c>
      <c r="H46" s="118" t="s">
        <v>609</v>
      </c>
      <c r="I46" s="133">
        <v>14000000</v>
      </c>
      <c r="J46" s="118"/>
      <c r="K46" s="121"/>
      <c r="L46" s="121"/>
      <c r="M46" s="122">
        <f t="shared" si="0"/>
        <v>14000000</v>
      </c>
      <c r="N46" s="134">
        <v>1082995408</v>
      </c>
      <c r="O46" s="118" t="s">
        <v>776</v>
      </c>
      <c r="P46" s="116" t="s">
        <v>777</v>
      </c>
      <c r="Q46" s="124">
        <v>44958</v>
      </c>
      <c r="R46" s="124">
        <v>44958</v>
      </c>
      <c r="S46" s="124">
        <v>45107</v>
      </c>
      <c r="T46" s="125" t="s">
        <v>612</v>
      </c>
      <c r="U46" s="124"/>
      <c r="V46" s="124"/>
      <c r="W46" s="126"/>
      <c r="X46" s="127"/>
      <c r="Y46" s="121">
        <v>14000000</v>
      </c>
      <c r="Z46" s="120">
        <v>0</v>
      </c>
      <c r="AA46" s="128">
        <v>1</v>
      </c>
      <c r="AB46" s="119">
        <v>1082884010</v>
      </c>
      <c r="AC46" s="119" t="s">
        <v>686</v>
      </c>
      <c r="AD46" s="116"/>
      <c r="AE46" s="116"/>
      <c r="AF46" s="125"/>
      <c r="AG46" s="129" t="s">
        <v>778</v>
      </c>
      <c r="AH46" s="119" t="s">
        <v>192</v>
      </c>
      <c r="AI46" s="119" t="s">
        <v>192</v>
      </c>
    </row>
    <row r="47" spans="1:35" s="130" customFormat="1" ht="17.25" customHeight="1" x14ac:dyDescent="0.25">
      <c r="A47" s="114">
        <v>891780111</v>
      </c>
      <c r="B47" s="115" t="s">
        <v>54</v>
      </c>
      <c r="C47" s="116" t="s">
        <v>57</v>
      </c>
      <c r="D47" s="115" t="s">
        <v>60</v>
      </c>
      <c r="E47" s="119" t="s">
        <v>779</v>
      </c>
      <c r="F47" s="118" t="s">
        <v>61</v>
      </c>
      <c r="G47" s="118" t="s">
        <v>69</v>
      </c>
      <c r="H47" s="118" t="s">
        <v>609</v>
      </c>
      <c r="I47" s="133">
        <v>17000000</v>
      </c>
      <c r="J47" s="118"/>
      <c r="K47" s="121"/>
      <c r="L47" s="121"/>
      <c r="M47" s="122">
        <f t="shared" si="0"/>
        <v>17000000</v>
      </c>
      <c r="N47" s="134">
        <v>1082950124</v>
      </c>
      <c r="O47" s="118" t="s">
        <v>780</v>
      </c>
      <c r="P47" s="116" t="s">
        <v>781</v>
      </c>
      <c r="Q47" s="124">
        <v>44958</v>
      </c>
      <c r="R47" s="124">
        <v>44958</v>
      </c>
      <c r="S47" s="124">
        <v>45107</v>
      </c>
      <c r="T47" s="125" t="s">
        <v>612</v>
      </c>
      <c r="U47" s="124"/>
      <c r="V47" s="124"/>
      <c r="W47" s="126"/>
      <c r="X47" s="127"/>
      <c r="Y47" s="121">
        <v>17000000</v>
      </c>
      <c r="Z47" s="120">
        <v>0</v>
      </c>
      <c r="AA47" s="128">
        <v>1</v>
      </c>
      <c r="AB47" s="119">
        <v>1082884010</v>
      </c>
      <c r="AC47" s="119" t="s">
        <v>686</v>
      </c>
      <c r="AD47" s="116"/>
      <c r="AE47" s="116"/>
      <c r="AF47" s="125"/>
      <c r="AG47" s="129" t="s">
        <v>782</v>
      </c>
      <c r="AH47" s="119" t="s">
        <v>192</v>
      </c>
      <c r="AI47" s="119" t="s">
        <v>192</v>
      </c>
    </row>
    <row r="48" spans="1:35" s="130" customFormat="1" ht="17.25" customHeight="1" x14ac:dyDescent="0.25">
      <c r="A48" s="114">
        <v>891780111</v>
      </c>
      <c r="B48" s="115" t="s">
        <v>54</v>
      </c>
      <c r="C48" s="116" t="s">
        <v>57</v>
      </c>
      <c r="D48" s="115" t="s">
        <v>60</v>
      </c>
      <c r="E48" s="119" t="s">
        <v>783</v>
      </c>
      <c r="F48" s="118" t="s">
        <v>61</v>
      </c>
      <c r="G48" s="118" t="s">
        <v>69</v>
      </c>
      <c r="H48" s="118" t="s">
        <v>609</v>
      </c>
      <c r="I48" s="133">
        <v>14000000</v>
      </c>
      <c r="J48" s="118"/>
      <c r="K48" s="121"/>
      <c r="L48" s="121"/>
      <c r="M48" s="122">
        <f t="shared" si="0"/>
        <v>14000000</v>
      </c>
      <c r="N48" s="134">
        <v>1047476135</v>
      </c>
      <c r="O48" s="118" t="s">
        <v>784</v>
      </c>
      <c r="P48" s="116" t="s">
        <v>785</v>
      </c>
      <c r="Q48" s="124">
        <v>44958</v>
      </c>
      <c r="R48" s="124">
        <v>44958</v>
      </c>
      <c r="S48" s="124">
        <v>45107</v>
      </c>
      <c r="T48" s="125" t="s">
        <v>612</v>
      </c>
      <c r="U48" s="124"/>
      <c r="V48" s="124"/>
      <c r="W48" s="126"/>
      <c r="X48" s="127"/>
      <c r="Y48" s="121">
        <v>14000000</v>
      </c>
      <c r="Z48" s="120">
        <v>0</v>
      </c>
      <c r="AA48" s="128">
        <v>1</v>
      </c>
      <c r="AB48" s="119">
        <v>1082884010</v>
      </c>
      <c r="AC48" s="119" t="s">
        <v>686</v>
      </c>
      <c r="AD48" s="116"/>
      <c r="AE48" s="116"/>
      <c r="AF48" s="125"/>
      <c r="AG48" s="129" t="s">
        <v>786</v>
      </c>
      <c r="AH48" s="119" t="s">
        <v>192</v>
      </c>
      <c r="AI48" s="119" t="s">
        <v>192</v>
      </c>
    </row>
    <row r="49" spans="1:35" s="130" customFormat="1" ht="17.25" customHeight="1" x14ac:dyDescent="0.25">
      <c r="A49" s="114">
        <v>891780111</v>
      </c>
      <c r="B49" s="115" t="s">
        <v>54</v>
      </c>
      <c r="C49" s="116" t="s">
        <v>57</v>
      </c>
      <c r="D49" s="115" t="s">
        <v>60</v>
      </c>
      <c r="E49" s="119" t="s">
        <v>787</v>
      </c>
      <c r="F49" s="118" t="s">
        <v>61</v>
      </c>
      <c r="G49" s="118" t="s">
        <v>69</v>
      </c>
      <c r="H49" s="118" t="s">
        <v>609</v>
      </c>
      <c r="I49" s="133">
        <v>14746667</v>
      </c>
      <c r="J49" s="118"/>
      <c r="K49" s="121"/>
      <c r="L49" s="121"/>
      <c r="M49" s="122">
        <f t="shared" si="0"/>
        <v>14746667</v>
      </c>
      <c r="N49" s="134">
        <v>1083034387</v>
      </c>
      <c r="O49" s="118" t="s">
        <v>788</v>
      </c>
      <c r="P49" s="116" t="s">
        <v>789</v>
      </c>
      <c r="Q49" s="124">
        <v>44958</v>
      </c>
      <c r="R49" s="124">
        <v>44958</v>
      </c>
      <c r="S49" s="124">
        <v>45107</v>
      </c>
      <c r="T49" s="125" t="s">
        <v>612</v>
      </c>
      <c r="U49" s="124"/>
      <c r="V49" s="124"/>
      <c r="W49" s="126"/>
      <c r="X49" s="127"/>
      <c r="Y49" s="121">
        <v>14746667</v>
      </c>
      <c r="Z49" s="120">
        <v>0</v>
      </c>
      <c r="AA49" s="128">
        <v>1</v>
      </c>
      <c r="AB49" s="119">
        <v>1082903415</v>
      </c>
      <c r="AC49" s="119" t="s">
        <v>643</v>
      </c>
      <c r="AD49" s="116"/>
      <c r="AE49" s="116"/>
      <c r="AF49" s="125"/>
      <c r="AG49" s="129" t="s">
        <v>790</v>
      </c>
      <c r="AH49" s="119" t="s">
        <v>192</v>
      </c>
      <c r="AI49" s="119" t="s">
        <v>192</v>
      </c>
    </row>
    <row r="50" spans="1:35" s="130" customFormat="1" ht="17.25" customHeight="1" x14ac:dyDescent="0.25">
      <c r="A50" s="114">
        <v>891780111</v>
      </c>
      <c r="B50" s="115" t="s">
        <v>54</v>
      </c>
      <c r="C50" s="116" t="s">
        <v>57</v>
      </c>
      <c r="D50" s="115" t="s">
        <v>60</v>
      </c>
      <c r="E50" s="119" t="s">
        <v>791</v>
      </c>
      <c r="F50" s="118" t="s">
        <v>61</v>
      </c>
      <c r="G50" s="118" t="s">
        <v>69</v>
      </c>
      <c r="H50" s="118" t="s">
        <v>609</v>
      </c>
      <c r="I50" s="133">
        <v>15000000</v>
      </c>
      <c r="J50" s="118"/>
      <c r="K50" s="121"/>
      <c r="L50" s="121"/>
      <c r="M50" s="122">
        <f t="shared" si="0"/>
        <v>15000000</v>
      </c>
      <c r="N50" s="134">
        <v>1082996756</v>
      </c>
      <c r="O50" s="118" t="s">
        <v>792</v>
      </c>
      <c r="P50" s="116" t="s">
        <v>793</v>
      </c>
      <c r="Q50" s="124">
        <v>44958</v>
      </c>
      <c r="R50" s="124">
        <v>44958</v>
      </c>
      <c r="S50" s="124">
        <v>45107</v>
      </c>
      <c r="T50" s="125" t="s">
        <v>612</v>
      </c>
      <c r="U50" s="124"/>
      <c r="V50" s="124"/>
      <c r="W50" s="126"/>
      <c r="X50" s="127"/>
      <c r="Y50" s="121">
        <v>15000000</v>
      </c>
      <c r="Z50" s="120">
        <v>0</v>
      </c>
      <c r="AA50" s="128">
        <v>1</v>
      </c>
      <c r="AB50" s="119">
        <v>1082884010</v>
      </c>
      <c r="AC50" s="119" t="s">
        <v>686</v>
      </c>
      <c r="AD50" s="116"/>
      <c r="AE50" s="116"/>
      <c r="AF50" s="125"/>
      <c r="AG50" s="129" t="s">
        <v>794</v>
      </c>
      <c r="AH50" s="119" t="s">
        <v>192</v>
      </c>
      <c r="AI50" s="119" t="s">
        <v>192</v>
      </c>
    </row>
    <row r="51" spans="1:35" s="130" customFormat="1" ht="17.25" customHeight="1" x14ac:dyDescent="0.25">
      <c r="A51" s="114">
        <v>891780111</v>
      </c>
      <c r="B51" s="115" t="s">
        <v>54</v>
      </c>
      <c r="C51" s="116" t="s">
        <v>57</v>
      </c>
      <c r="D51" s="115" t="s">
        <v>60</v>
      </c>
      <c r="E51" s="119" t="s">
        <v>795</v>
      </c>
      <c r="F51" s="118" t="s">
        <v>61</v>
      </c>
      <c r="G51" s="118" t="s">
        <v>69</v>
      </c>
      <c r="H51" s="118" t="s">
        <v>609</v>
      </c>
      <c r="I51" s="133">
        <v>14000000</v>
      </c>
      <c r="J51" s="118"/>
      <c r="K51" s="121"/>
      <c r="L51" s="121"/>
      <c r="M51" s="122">
        <f t="shared" si="0"/>
        <v>14000000</v>
      </c>
      <c r="N51" s="134">
        <v>1083023299</v>
      </c>
      <c r="O51" s="118" t="s">
        <v>796</v>
      </c>
      <c r="P51" s="116" t="s">
        <v>797</v>
      </c>
      <c r="Q51" s="124">
        <v>44958</v>
      </c>
      <c r="R51" s="124">
        <v>44958</v>
      </c>
      <c r="S51" s="124">
        <v>45107</v>
      </c>
      <c r="T51" s="125" t="s">
        <v>612</v>
      </c>
      <c r="U51" s="124"/>
      <c r="V51" s="124"/>
      <c r="W51" s="126"/>
      <c r="X51" s="127"/>
      <c r="Y51" s="121">
        <v>14000000</v>
      </c>
      <c r="Z51" s="120">
        <v>0</v>
      </c>
      <c r="AA51" s="128">
        <v>1</v>
      </c>
      <c r="AB51" s="119">
        <v>1082884010</v>
      </c>
      <c r="AC51" s="119" t="s">
        <v>686</v>
      </c>
      <c r="AD51" s="116"/>
      <c r="AE51" s="116"/>
      <c r="AF51" s="125"/>
      <c r="AG51" s="129" t="s">
        <v>798</v>
      </c>
      <c r="AH51" s="119" t="s">
        <v>192</v>
      </c>
      <c r="AI51" s="119" t="s">
        <v>192</v>
      </c>
    </row>
    <row r="52" spans="1:35" s="130" customFormat="1" ht="17.25" customHeight="1" x14ac:dyDescent="0.25">
      <c r="A52" s="114">
        <v>891780111</v>
      </c>
      <c r="B52" s="115" t="s">
        <v>54</v>
      </c>
      <c r="C52" s="116" t="s">
        <v>57</v>
      </c>
      <c r="D52" s="115" t="s">
        <v>60</v>
      </c>
      <c r="E52" s="119" t="s">
        <v>799</v>
      </c>
      <c r="F52" s="118" t="s">
        <v>61</v>
      </c>
      <c r="G52" s="118" t="s">
        <v>69</v>
      </c>
      <c r="H52" s="118" t="s">
        <v>609</v>
      </c>
      <c r="I52" s="133">
        <v>14000000</v>
      </c>
      <c r="J52" s="118"/>
      <c r="K52" s="121"/>
      <c r="L52" s="121"/>
      <c r="M52" s="122">
        <f t="shared" si="0"/>
        <v>14000000</v>
      </c>
      <c r="N52" s="134">
        <v>1143154018</v>
      </c>
      <c r="O52" s="118" t="s">
        <v>800</v>
      </c>
      <c r="P52" s="116" t="s">
        <v>801</v>
      </c>
      <c r="Q52" s="124">
        <v>44958</v>
      </c>
      <c r="R52" s="124">
        <v>44958</v>
      </c>
      <c r="S52" s="124">
        <v>45107</v>
      </c>
      <c r="T52" s="125" t="s">
        <v>612</v>
      </c>
      <c r="U52" s="124"/>
      <c r="V52" s="124"/>
      <c r="W52" s="126"/>
      <c r="X52" s="127"/>
      <c r="Y52" s="121">
        <v>14000000</v>
      </c>
      <c r="Z52" s="120">
        <v>0</v>
      </c>
      <c r="AA52" s="128">
        <v>1</v>
      </c>
      <c r="AB52" s="119">
        <v>1082903415</v>
      </c>
      <c r="AC52" s="119" t="s">
        <v>643</v>
      </c>
      <c r="AD52" s="116"/>
      <c r="AE52" s="116"/>
      <c r="AF52" s="125"/>
      <c r="AG52" s="129" t="s">
        <v>802</v>
      </c>
      <c r="AH52" s="119" t="s">
        <v>192</v>
      </c>
      <c r="AI52" s="119" t="s">
        <v>192</v>
      </c>
    </row>
    <row r="53" spans="1:35" s="130" customFormat="1" ht="17.25" customHeight="1" x14ac:dyDescent="0.25">
      <c r="A53" s="114">
        <v>891780111</v>
      </c>
      <c r="B53" s="115" t="s">
        <v>54</v>
      </c>
      <c r="C53" s="116" t="s">
        <v>57</v>
      </c>
      <c r="D53" s="115" t="s">
        <v>60</v>
      </c>
      <c r="E53" s="119" t="s">
        <v>803</v>
      </c>
      <c r="F53" s="118" t="s">
        <v>61</v>
      </c>
      <c r="G53" s="118" t="s">
        <v>69</v>
      </c>
      <c r="H53" s="118" t="s">
        <v>609</v>
      </c>
      <c r="I53" s="133">
        <v>12500000</v>
      </c>
      <c r="J53" s="118"/>
      <c r="K53" s="121"/>
      <c r="L53" s="121"/>
      <c r="M53" s="122">
        <f t="shared" si="0"/>
        <v>12500000</v>
      </c>
      <c r="N53" s="134">
        <v>1118868814</v>
      </c>
      <c r="O53" s="118" t="s">
        <v>804</v>
      </c>
      <c r="P53" s="116" t="s">
        <v>805</v>
      </c>
      <c r="Q53" s="124">
        <v>44958</v>
      </c>
      <c r="R53" s="124">
        <v>44958</v>
      </c>
      <c r="S53" s="124">
        <v>45107</v>
      </c>
      <c r="T53" s="125" t="s">
        <v>612</v>
      </c>
      <c r="U53" s="124"/>
      <c r="V53" s="124"/>
      <c r="W53" s="126"/>
      <c r="X53" s="127"/>
      <c r="Y53" s="121">
        <v>12500000</v>
      </c>
      <c r="Z53" s="120">
        <v>0</v>
      </c>
      <c r="AA53" s="128">
        <v>1</v>
      </c>
      <c r="AB53" s="119">
        <v>63563343</v>
      </c>
      <c r="AC53" s="119" t="s">
        <v>806</v>
      </c>
      <c r="AD53" s="116"/>
      <c r="AE53" s="116"/>
      <c r="AF53" s="125"/>
      <c r="AG53" s="129" t="s">
        <v>807</v>
      </c>
      <c r="AH53" s="119" t="s">
        <v>192</v>
      </c>
      <c r="AI53" s="119" t="s">
        <v>192</v>
      </c>
    </row>
    <row r="54" spans="1:35" s="130" customFormat="1" ht="17.25" customHeight="1" x14ac:dyDescent="0.25">
      <c r="A54" s="114">
        <v>891780111</v>
      </c>
      <c r="B54" s="115" t="s">
        <v>54</v>
      </c>
      <c r="C54" s="116" t="s">
        <v>57</v>
      </c>
      <c r="D54" s="115" t="s">
        <v>60</v>
      </c>
      <c r="E54" s="119" t="s">
        <v>808</v>
      </c>
      <c r="F54" s="118" t="s">
        <v>61</v>
      </c>
      <c r="G54" s="118" t="s">
        <v>69</v>
      </c>
      <c r="H54" s="118" t="s">
        <v>609</v>
      </c>
      <c r="I54" s="133">
        <v>14000000</v>
      </c>
      <c r="J54" s="118"/>
      <c r="K54" s="121"/>
      <c r="L54" s="121"/>
      <c r="M54" s="122">
        <f t="shared" si="0"/>
        <v>14000000</v>
      </c>
      <c r="N54" s="134">
        <v>1140863901</v>
      </c>
      <c r="O54" s="118" t="s">
        <v>809</v>
      </c>
      <c r="P54" s="116" t="s">
        <v>810</v>
      </c>
      <c r="Q54" s="124">
        <v>44958</v>
      </c>
      <c r="R54" s="124">
        <v>44958</v>
      </c>
      <c r="S54" s="124">
        <v>45107</v>
      </c>
      <c r="T54" s="125" t="s">
        <v>612</v>
      </c>
      <c r="U54" s="124"/>
      <c r="V54" s="124"/>
      <c r="W54" s="126"/>
      <c r="X54" s="127"/>
      <c r="Y54" s="121">
        <v>14000000</v>
      </c>
      <c r="Z54" s="120">
        <v>0</v>
      </c>
      <c r="AA54" s="128">
        <v>1</v>
      </c>
      <c r="AB54" s="119">
        <v>1082903415</v>
      </c>
      <c r="AC54" s="119" t="s">
        <v>811</v>
      </c>
      <c r="AD54" s="116"/>
      <c r="AE54" s="116"/>
      <c r="AF54" s="125"/>
      <c r="AG54" s="129" t="s">
        <v>812</v>
      </c>
      <c r="AH54" s="119" t="s">
        <v>192</v>
      </c>
      <c r="AI54" s="119" t="s">
        <v>192</v>
      </c>
    </row>
    <row r="55" spans="1:35" s="130" customFormat="1" ht="17.25" customHeight="1" x14ac:dyDescent="0.25">
      <c r="A55" s="114">
        <v>891780111</v>
      </c>
      <c r="B55" s="115" t="s">
        <v>54</v>
      </c>
      <c r="C55" s="116" t="s">
        <v>57</v>
      </c>
      <c r="D55" s="115" t="s">
        <v>60</v>
      </c>
      <c r="E55" s="119" t="s">
        <v>813</v>
      </c>
      <c r="F55" s="118" t="s">
        <v>61</v>
      </c>
      <c r="G55" s="118" t="s">
        <v>69</v>
      </c>
      <c r="H55" s="118" t="s">
        <v>609</v>
      </c>
      <c r="I55" s="133">
        <v>14000000</v>
      </c>
      <c r="J55" s="118"/>
      <c r="K55" s="121"/>
      <c r="L55" s="121"/>
      <c r="M55" s="122">
        <f t="shared" si="0"/>
        <v>14000000</v>
      </c>
      <c r="N55" s="134">
        <v>1104435442</v>
      </c>
      <c r="O55" s="118" t="s">
        <v>814</v>
      </c>
      <c r="P55" s="116" t="s">
        <v>815</v>
      </c>
      <c r="Q55" s="124">
        <v>44958</v>
      </c>
      <c r="R55" s="124">
        <v>44958</v>
      </c>
      <c r="S55" s="124">
        <v>45107</v>
      </c>
      <c r="T55" s="125" t="s">
        <v>612</v>
      </c>
      <c r="U55" s="124"/>
      <c r="V55" s="124"/>
      <c r="W55" s="126"/>
      <c r="X55" s="127"/>
      <c r="Y55" s="121">
        <v>14000000</v>
      </c>
      <c r="Z55" s="120">
        <v>0</v>
      </c>
      <c r="AA55" s="128">
        <v>1</v>
      </c>
      <c r="AB55" s="119">
        <v>1082903415</v>
      </c>
      <c r="AC55" s="119" t="s">
        <v>643</v>
      </c>
      <c r="AD55" s="116"/>
      <c r="AE55" s="116"/>
      <c r="AF55" s="125"/>
      <c r="AG55" s="129" t="s">
        <v>816</v>
      </c>
      <c r="AH55" s="119" t="s">
        <v>192</v>
      </c>
      <c r="AI55" s="119" t="s">
        <v>192</v>
      </c>
    </row>
    <row r="56" spans="1:35" s="130" customFormat="1" ht="17.25" customHeight="1" x14ac:dyDescent="0.25">
      <c r="A56" s="114">
        <v>891780111</v>
      </c>
      <c r="B56" s="115" t="s">
        <v>54</v>
      </c>
      <c r="C56" s="116" t="s">
        <v>57</v>
      </c>
      <c r="D56" s="115" t="s">
        <v>60</v>
      </c>
      <c r="E56" s="119" t="s">
        <v>817</v>
      </c>
      <c r="F56" s="118" t="s">
        <v>61</v>
      </c>
      <c r="G56" s="118" t="s">
        <v>69</v>
      </c>
      <c r="H56" s="118" t="s">
        <v>609</v>
      </c>
      <c r="I56" s="133">
        <v>4500000</v>
      </c>
      <c r="J56" s="118"/>
      <c r="K56" s="121"/>
      <c r="L56" s="121"/>
      <c r="M56" s="122">
        <f t="shared" si="0"/>
        <v>4500000</v>
      </c>
      <c r="N56" s="134">
        <v>1082934092</v>
      </c>
      <c r="O56" s="118" t="s">
        <v>818</v>
      </c>
      <c r="P56" s="116" t="s">
        <v>819</v>
      </c>
      <c r="Q56" s="124">
        <v>44959</v>
      </c>
      <c r="R56" s="124">
        <v>44959</v>
      </c>
      <c r="S56" s="124">
        <v>44985</v>
      </c>
      <c r="T56" s="125" t="s">
        <v>612</v>
      </c>
      <c r="U56" s="124"/>
      <c r="V56" s="124"/>
      <c r="W56" s="126"/>
      <c r="X56" s="127"/>
      <c r="Y56" s="121">
        <v>4500000</v>
      </c>
      <c r="Z56" s="120">
        <v>0</v>
      </c>
      <c r="AA56" s="128">
        <v>1</v>
      </c>
      <c r="AB56" s="119">
        <v>57435262</v>
      </c>
      <c r="AC56" s="119" t="s">
        <v>820</v>
      </c>
      <c r="AD56" s="116"/>
      <c r="AE56" s="116"/>
      <c r="AF56" s="125"/>
      <c r="AG56" s="129" t="s">
        <v>821</v>
      </c>
      <c r="AH56" s="119" t="s">
        <v>192</v>
      </c>
      <c r="AI56" s="119" t="s">
        <v>192</v>
      </c>
    </row>
    <row r="57" spans="1:35" s="130" customFormat="1" ht="17.25" customHeight="1" x14ac:dyDescent="0.25">
      <c r="A57" s="114">
        <v>891780111</v>
      </c>
      <c r="B57" s="115" t="s">
        <v>54</v>
      </c>
      <c r="C57" s="116" t="s">
        <v>57</v>
      </c>
      <c r="D57" s="115" t="s">
        <v>60</v>
      </c>
      <c r="E57" s="119" t="s">
        <v>822</v>
      </c>
      <c r="F57" s="118" t="s">
        <v>61</v>
      </c>
      <c r="G57" s="118" t="s">
        <v>69</v>
      </c>
      <c r="H57" s="118" t="s">
        <v>609</v>
      </c>
      <c r="I57" s="133">
        <v>4500000</v>
      </c>
      <c r="J57" s="118"/>
      <c r="K57" s="121"/>
      <c r="L57" s="121"/>
      <c r="M57" s="122">
        <f t="shared" si="0"/>
        <v>4500000</v>
      </c>
      <c r="N57" s="134">
        <v>1084788615</v>
      </c>
      <c r="O57" s="118" t="s">
        <v>823</v>
      </c>
      <c r="P57" s="116" t="s">
        <v>824</v>
      </c>
      <c r="Q57" s="124">
        <v>44959</v>
      </c>
      <c r="R57" s="124">
        <v>44959</v>
      </c>
      <c r="S57" s="124">
        <v>44985</v>
      </c>
      <c r="T57" s="125" t="s">
        <v>612</v>
      </c>
      <c r="U57" s="124"/>
      <c r="V57" s="124"/>
      <c r="W57" s="126"/>
      <c r="X57" s="127"/>
      <c r="Y57" s="121">
        <v>4500000</v>
      </c>
      <c r="Z57" s="120">
        <v>0</v>
      </c>
      <c r="AA57" s="128">
        <v>1</v>
      </c>
      <c r="AB57" s="119">
        <v>72004252</v>
      </c>
      <c r="AC57" s="119" t="s">
        <v>825</v>
      </c>
      <c r="AD57" s="116"/>
      <c r="AE57" s="116"/>
      <c r="AF57" s="125"/>
      <c r="AG57" s="129" t="s">
        <v>826</v>
      </c>
      <c r="AH57" s="119" t="s">
        <v>192</v>
      </c>
      <c r="AI57" s="119" t="s">
        <v>192</v>
      </c>
    </row>
    <row r="58" spans="1:35" s="130" customFormat="1" ht="17.25" customHeight="1" x14ac:dyDescent="0.25">
      <c r="A58" s="114">
        <v>891780111</v>
      </c>
      <c r="B58" s="115" t="s">
        <v>54</v>
      </c>
      <c r="C58" s="116" t="s">
        <v>57</v>
      </c>
      <c r="D58" s="115" t="s">
        <v>60</v>
      </c>
      <c r="E58" s="119" t="s">
        <v>827</v>
      </c>
      <c r="F58" s="118" t="s">
        <v>61</v>
      </c>
      <c r="G58" s="118" t="s">
        <v>69</v>
      </c>
      <c r="H58" s="118" t="s">
        <v>609</v>
      </c>
      <c r="I58" s="133">
        <v>4500000</v>
      </c>
      <c r="J58" s="118"/>
      <c r="K58" s="121"/>
      <c r="L58" s="121"/>
      <c r="M58" s="122">
        <f t="shared" si="0"/>
        <v>4500000</v>
      </c>
      <c r="N58" s="134">
        <v>1082374545</v>
      </c>
      <c r="O58" s="118" t="s">
        <v>828</v>
      </c>
      <c r="P58" s="116" t="s">
        <v>829</v>
      </c>
      <c r="Q58" s="124">
        <v>44959</v>
      </c>
      <c r="R58" s="124">
        <v>44959</v>
      </c>
      <c r="S58" s="124">
        <v>44985</v>
      </c>
      <c r="T58" s="125" t="s">
        <v>612</v>
      </c>
      <c r="U58" s="124"/>
      <c r="V58" s="124"/>
      <c r="W58" s="126"/>
      <c r="X58" s="127"/>
      <c r="Y58" s="121">
        <v>4500000</v>
      </c>
      <c r="Z58" s="120">
        <v>0</v>
      </c>
      <c r="AA58" s="128">
        <v>1</v>
      </c>
      <c r="AB58" s="119">
        <v>7634885</v>
      </c>
      <c r="AC58" s="119" t="s">
        <v>830</v>
      </c>
      <c r="AD58" s="116"/>
      <c r="AE58" s="116"/>
      <c r="AF58" s="125"/>
      <c r="AG58" s="129" t="s">
        <v>831</v>
      </c>
      <c r="AH58" s="119" t="s">
        <v>192</v>
      </c>
      <c r="AI58" s="119" t="s">
        <v>192</v>
      </c>
    </row>
    <row r="59" spans="1:35" s="130" customFormat="1" ht="17.25" customHeight="1" x14ac:dyDescent="0.25">
      <c r="A59" s="114">
        <v>891780111</v>
      </c>
      <c r="B59" s="115" t="s">
        <v>54</v>
      </c>
      <c r="C59" s="116" t="s">
        <v>57</v>
      </c>
      <c r="D59" s="115" t="s">
        <v>60</v>
      </c>
      <c r="E59" s="119" t="s">
        <v>832</v>
      </c>
      <c r="F59" s="118" t="s">
        <v>61</v>
      </c>
      <c r="G59" s="118" t="s">
        <v>69</v>
      </c>
      <c r="H59" s="118" t="s">
        <v>609</v>
      </c>
      <c r="I59" s="133">
        <v>15000000</v>
      </c>
      <c r="J59" s="118"/>
      <c r="K59" s="121"/>
      <c r="L59" s="121"/>
      <c r="M59" s="122">
        <f t="shared" si="0"/>
        <v>15000000</v>
      </c>
      <c r="N59" s="134">
        <v>1082989734</v>
      </c>
      <c r="O59" s="118" t="s">
        <v>833</v>
      </c>
      <c r="P59" s="116" t="s">
        <v>834</v>
      </c>
      <c r="Q59" s="124">
        <v>44959</v>
      </c>
      <c r="R59" s="124">
        <v>44959</v>
      </c>
      <c r="S59" s="124">
        <v>45107</v>
      </c>
      <c r="T59" s="125" t="s">
        <v>612</v>
      </c>
      <c r="U59" s="124"/>
      <c r="V59" s="124"/>
      <c r="W59" s="126"/>
      <c r="X59" s="127"/>
      <c r="Y59" s="121">
        <v>15000000</v>
      </c>
      <c r="Z59" s="120">
        <v>0</v>
      </c>
      <c r="AA59" s="128">
        <v>1</v>
      </c>
      <c r="AB59" s="119">
        <v>63563343</v>
      </c>
      <c r="AC59" s="119" t="s">
        <v>806</v>
      </c>
      <c r="AD59" s="116"/>
      <c r="AE59" s="116"/>
      <c r="AF59" s="125"/>
      <c r="AG59" s="129" t="s">
        <v>835</v>
      </c>
      <c r="AH59" s="119" t="s">
        <v>192</v>
      </c>
      <c r="AI59" s="119" t="s">
        <v>192</v>
      </c>
    </row>
    <row r="60" spans="1:35" s="130" customFormat="1" ht="17.25" customHeight="1" x14ac:dyDescent="0.25">
      <c r="A60" s="114">
        <v>891780111</v>
      </c>
      <c r="B60" s="115" t="s">
        <v>54</v>
      </c>
      <c r="C60" s="116" t="s">
        <v>57</v>
      </c>
      <c r="D60" s="115" t="s">
        <v>60</v>
      </c>
      <c r="E60" s="119" t="s">
        <v>836</v>
      </c>
      <c r="F60" s="118" t="s">
        <v>61</v>
      </c>
      <c r="G60" s="118" t="s">
        <v>69</v>
      </c>
      <c r="H60" s="118" t="s">
        <v>609</v>
      </c>
      <c r="I60" s="133">
        <v>17000000</v>
      </c>
      <c r="J60" s="118"/>
      <c r="K60" s="121"/>
      <c r="L60" s="121"/>
      <c r="M60" s="122">
        <f t="shared" si="0"/>
        <v>17000000</v>
      </c>
      <c r="N60" s="134">
        <v>57299250</v>
      </c>
      <c r="O60" s="118" t="s">
        <v>837</v>
      </c>
      <c r="P60" s="116" t="s">
        <v>838</v>
      </c>
      <c r="Q60" s="124">
        <v>44959</v>
      </c>
      <c r="R60" s="124">
        <v>44959</v>
      </c>
      <c r="S60" s="124">
        <v>45107</v>
      </c>
      <c r="T60" s="125" t="s">
        <v>612</v>
      </c>
      <c r="U60" s="124"/>
      <c r="V60" s="124"/>
      <c r="W60" s="126"/>
      <c r="X60" s="127"/>
      <c r="Y60" s="121">
        <v>17000000</v>
      </c>
      <c r="Z60" s="120">
        <v>0</v>
      </c>
      <c r="AA60" s="128">
        <v>1</v>
      </c>
      <c r="AB60" s="119">
        <v>63563343</v>
      </c>
      <c r="AC60" s="119" t="s">
        <v>806</v>
      </c>
      <c r="AD60" s="116"/>
      <c r="AE60" s="116"/>
      <c r="AF60" s="125"/>
      <c r="AG60" s="129" t="s">
        <v>839</v>
      </c>
      <c r="AH60" s="119" t="s">
        <v>192</v>
      </c>
      <c r="AI60" s="119" t="s">
        <v>192</v>
      </c>
    </row>
    <row r="61" spans="1:35" s="130" customFormat="1" ht="17.25" customHeight="1" x14ac:dyDescent="0.25">
      <c r="A61" s="114">
        <v>891780111</v>
      </c>
      <c r="B61" s="115" t="s">
        <v>54</v>
      </c>
      <c r="C61" s="116" t="s">
        <v>57</v>
      </c>
      <c r="D61" s="115" t="s">
        <v>60</v>
      </c>
      <c r="E61" s="119" t="s">
        <v>840</v>
      </c>
      <c r="F61" s="118" t="s">
        <v>61</v>
      </c>
      <c r="G61" s="118" t="s">
        <v>69</v>
      </c>
      <c r="H61" s="118" t="s">
        <v>609</v>
      </c>
      <c r="I61" s="133">
        <v>14000000</v>
      </c>
      <c r="J61" s="118"/>
      <c r="K61" s="121"/>
      <c r="L61" s="121"/>
      <c r="M61" s="122">
        <f t="shared" si="0"/>
        <v>14000000</v>
      </c>
      <c r="N61" s="134">
        <v>1130264593</v>
      </c>
      <c r="O61" s="118" t="s">
        <v>841</v>
      </c>
      <c r="P61" s="116" t="s">
        <v>842</v>
      </c>
      <c r="Q61" s="124">
        <v>44959</v>
      </c>
      <c r="R61" s="124">
        <v>44959</v>
      </c>
      <c r="S61" s="124">
        <v>45107</v>
      </c>
      <c r="T61" s="125" t="s">
        <v>612</v>
      </c>
      <c r="U61" s="124"/>
      <c r="V61" s="124"/>
      <c r="W61" s="126"/>
      <c r="X61" s="127"/>
      <c r="Y61" s="121">
        <v>14000000</v>
      </c>
      <c r="Z61" s="120">
        <v>0</v>
      </c>
      <c r="AA61" s="128">
        <v>1</v>
      </c>
      <c r="AB61" s="119">
        <v>1082903415</v>
      </c>
      <c r="AC61" s="119" t="s">
        <v>843</v>
      </c>
      <c r="AD61" s="116"/>
      <c r="AE61" s="116"/>
      <c r="AF61" s="125"/>
      <c r="AG61" s="129" t="s">
        <v>844</v>
      </c>
      <c r="AH61" s="119" t="s">
        <v>192</v>
      </c>
      <c r="AI61" s="119" t="s">
        <v>192</v>
      </c>
    </row>
    <row r="62" spans="1:35" s="130" customFormat="1" ht="17.25" customHeight="1" x14ac:dyDescent="0.25">
      <c r="A62" s="114">
        <v>891780111</v>
      </c>
      <c r="B62" s="115" t="s">
        <v>54</v>
      </c>
      <c r="C62" s="116" t="s">
        <v>57</v>
      </c>
      <c r="D62" s="115" t="s">
        <v>60</v>
      </c>
      <c r="E62" s="119" t="s">
        <v>845</v>
      </c>
      <c r="F62" s="118" t="s">
        <v>61</v>
      </c>
      <c r="G62" s="118" t="s">
        <v>69</v>
      </c>
      <c r="H62" s="118" t="s">
        <v>609</v>
      </c>
      <c r="I62" s="133">
        <v>15000000</v>
      </c>
      <c r="J62" s="118"/>
      <c r="K62" s="121"/>
      <c r="L62" s="121"/>
      <c r="M62" s="122">
        <f t="shared" si="0"/>
        <v>15000000</v>
      </c>
      <c r="N62" s="134">
        <v>57462496</v>
      </c>
      <c r="O62" s="118" t="s">
        <v>846</v>
      </c>
      <c r="P62" s="116" t="s">
        <v>847</v>
      </c>
      <c r="Q62" s="124">
        <v>44959</v>
      </c>
      <c r="R62" s="124">
        <v>44959</v>
      </c>
      <c r="S62" s="124">
        <v>45107</v>
      </c>
      <c r="T62" s="125" t="s">
        <v>612</v>
      </c>
      <c r="U62" s="124"/>
      <c r="V62" s="124"/>
      <c r="W62" s="126"/>
      <c r="X62" s="127"/>
      <c r="Y62" s="121">
        <v>15000000</v>
      </c>
      <c r="Z62" s="120">
        <v>0</v>
      </c>
      <c r="AA62" s="128">
        <v>1</v>
      </c>
      <c r="AB62" s="119">
        <v>39049658</v>
      </c>
      <c r="AC62" s="119" t="s">
        <v>699</v>
      </c>
      <c r="AD62" s="116"/>
      <c r="AE62" s="116"/>
      <c r="AF62" s="125"/>
      <c r="AG62" s="129" t="s">
        <v>848</v>
      </c>
      <c r="AH62" s="119" t="s">
        <v>192</v>
      </c>
      <c r="AI62" s="119" t="s">
        <v>192</v>
      </c>
    </row>
    <row r="63" spans="1:35" s="130" customFormat="1" ht="17.25" customHeight="1" x14ac:dyDescent="0.25">
      <c r="A63" s="114">
        <v>891780111</v>
      </c>
      <c r="B63" s="115" t="s">
        <v>54</v>
      </c>
      <c r="C63" s="116" t="s">
        <v>57</v>
      </c>
      <c r="D63" s="115" t="s">
        <v>60</v>
      </c>
      <c r="E63" s="119" t="s">
        <v>849</v>
      </c>
      <c r="F63" s="118" t="s">
        <v>61</v>
      </c>
      <c r="G63" s="118" t="s">
        <v>69</v>
      </c>
      <c r="H63" s="118" t="s">
        <v>609</v>
      </c>
      <c r="I63" s="133">
        <v>12500000</v>
      </c>
      <c r="J63" s="118"/>
      <c r="K63" s="121"/>
      <c r="L63" s="121"/>
      <c r="M63" s="122">
        <f t="shared" si="0"/>
        <v>12500000</v>
      </c>
      <c r="N63" s="134">
        <v>1129504010</v>
      </c>
      <c r="O63" s="118" t="s">
        <v>850</v>
      </c>
      <c r="P63" s="116" t="s">
        <v>851</v>
      </c>
      <c r="Q63" s="124">
        <v>44959</v>
      </c>
      <c r="R63" s="124">
        <v>44959</v>
      </c>
      <c r="S63" s="124">
        <v>45107</v>
      </c>
      <c r="T63" s="125" t="s">
        <v>612</v>
      </c>
      <c r="U63" s="124"/>
      <c r="V63" s="124"/>
      <c r="W63" s="126"/>
      <c r="X63" s="127"/>
      <c r="Y63" s="121">
        <v>12500000</v>
      </c>
      <c r="Z63" s="120">
        <v>0</v>
      </c>
      <c r="AA63" s="128">
        <v>1</v>
      </c>
      <c r="AB63" s="119">
        <v>63563343</v>
      </c>
      <c r="AC63" s="119" t="s">
        <v>806</v>
      </c>
      <c r="AD63" s="116"/>
      <c r="AE63" s="116"/>
      <c r="AF63" s="125"/>
      <c r="AG63" s="129" t="s">
        <v>852</v>
      </c>
      <c r="AH63" s="119" t="s">
        <v>192</v>
      </c>
      <c r="AI63" s="119" t="s">
        <v>192</v>
      </c>
    </row>
    <row r="64" spans="1:35" s="130" customFormat="1" ht="17.25" customHeight="1" x14ac:dyDescent="0.25">
      <c r="A64" s="114">
        <v>891780111</v>
      </c>
      <c r="B64" s="115" t="s">
        <v>54</v>
      </c>
      <c r="C64" s="116" t="s">
        <v>57</v>
      </c>
      <c r="D64" s="115" t="s">
        <v>60</v>
      </c>
      <c r="E64" s="119" t="s">
        <v>853</v>
      </c>
      <c r="F64" s="118" t="s">
        <v>61</v>
      </c>
      <c r="G64" s="118" t="s">
        <v>69</v>
      </c>
      <c r="H64" s="118" t="s">
        <v>609</v>
      </c>
      <c r="I64" s="133">
        <v>12500000</v>
      </c>
      <c r="J64" s="118"/>
      <c r="K64" s="121"/>
      <c r="L64" s="121"/>
      <c r="M64" s="122">
        <f t="shared" si="0"/>
        <v>12500000</v>
      </c>
      <c r="N64" s="134">
        <v>1082989702</v>
      </c>
      <c r="O64" s="118" t="s">
        <v>854</v>
      </c>
      <c r="P64" s="116" t="s">
        <v>855</v>
      </c>
      <c r="Q64" s="124">
        <v>44959</v>
      </c>
      <c r="R64" s="124">
        <v>44959</v>
      </c>
      <c r="S64" s="124">
        <v>45107</v>
      </c>
      <c r="T64" s="125" t="s">
        <v>612</v>
      </c>
      <c r="U64" s="124"/>
      <c r="V64" s="124"/>
      <c r="W64" s="126"/>
      <c r="X64" s="127"/>
      <c r="Y64" s="121">
        <v>12500000</v>
      </c>
      <c r="Z64" s="120">
        <v>0</v>
      </c>
      <c r="AA64" s="128">
        <v>1</v>
      </c>
      <c r="AB64" s="119">
        <v>63563343</v>
      </c>
      <c r="AC64" s="119" t="s">
        <v>806</v>
      </c>
      <c r="AD64" s="116"/>
      <c r="AE64" s="116"/>
      <c r="AF64" s="125"/>
      <c r="AG64" s="129" t="s">
        <v>856</v>
      </c>
      <c r="AH64" s="119" t="s">
        <v>192</v>
      </c>
      <c r="AI64" s="119" t="s">
        <v>192</v>
      </c>
    </row>
    <row r="65" spans="1:35" s="130" customFormat="1" ht="17.25" customHeight="1" x14ac:dyDescent="0.25">
      <c r="A65" s="114">
        <v>891780111</v>
      </c>
      <c r="B65" s="115" t="s">
        <v>54</v>
      </c>
      <c r="C65" s="116" t="s">
        <v>57</v>
      </c>
      <c r="D65" s="115" t="s">
        <v>60</v>
      </c>
      <c r="E65" s="119" t="s">
        <v>857</v>
      </c>
      <c r="F65" s="118" t="s">
        <v>61</v>
      </c>
      <c r="G65" s="118" t="s">
        <v>69</v>
      </c>
      <c r="H65" s="118" t="s">
        <v>609</v>
      </c>
      <c r="I65" s="133">
        <v>15000000</v>
      </c>
      <c r="J65" s="118"/>
      <c r="K65" s="121"/>
      <c r="L65" s="121"/>
      <c r="M65" s="122">
        <f t="shared" si="0"/>
        <v>15000000</v>
      </c>
      <c r="N65" s="134">
        <v>1082992358</v>
      </c>
      <c r="O65" s="118" t="s">
        <v>858</v>
      </c>
      <c r="P65" s="116" t="s">
        <v>859</v>
      </c>
      <c r="Q65" s="124">
        <v>44959</v>
      </c>
      <c r="R65" s="124">
        <v>44959</v>
      </c>
      <c r="S65" s="124">
        <v>45107</v>
      </c>
      <c r="T65" s="125" t="s">
        <v>612</v>
      </c>
      <c r="U65" s="124"/>
      <c r="V65" s="124"/>
      <c r="W65" s="126"/>
      <c r="X65" s="127"/>
      <c r="Y65" s="121">
        <v>15000000</v>
      </c>
      <c r="Z65" s="120">
        <v>0</v>
      </c>
      <c r="AA65" s="128">
        <v>1</v>
      </c>
      <c r="AB65" s="119">
        <v>1082884010</v>
      </c>
      <c r="AC65" s="119" t="s">
        <v>686</v>
      </c>
      <c r="AD65" s="116"/>
      <c r="AE65" s="116"/>
      <c r="AF65" s="125"/>
      <c r="AG65" s="129" t="s">
        <v>860</v>
      </c>
      <c r="AH65" s="119" t="s">
        <v>192</v>
      </c>
      <c r="AI65" s="119" t="s">
        <v>192</v>
      </c>
    </row>
    <row r="66" spans="1:35" s="130" customFormat="1" ht="17.25" customHeight="1" x14ac:dyDescent="0.25">
      <c r="A66" s="114">
        <v>891780111</v>
      </c>
      <c r="B66" s="115" t="s">
        <v>54</v>
      </c>
      <c r="C66" s="116" t="s">
        <v>57</v>
      </c>
      <c r="D66" s="115" t="s">
        <v>60</v>
      </c>
      <c r="E66" s="119" t="s">
        <v>861</v>
      </c>
      <c r="F66" s="118" t="s">
        <v>61</v>
      </c>
      <c r="G66" s="118" t="s">
        <v>69</v>
      </c>
      <c r="H66" s="118" t="s">
        <v>609</v>
      </c>
      <c r="I66" s="133">
        <v>18500000</v>
      </c>
      <c r="J66" s="118"/>
      <c r="K66" s="121"/>
      <c r="L66" s="121"/>
      <c r="M66" s="122">
        <f t="shared" si="0"/>
        <v>18500000</v>
      </c>
      <c r="N66" s="134">
        <v>1065647873</v>
      </c>
      <c r="O66" s="118" t="s">
        <v>862</v>
      </c>
      <c r="P66" s="116" t="s">
        <v>863</v>
      </c>
      <c r="Q66" s="124">
        <v>44959</v>
      </c>
      <c r="R66" s="124">
        <v>44959</v>
      </c>
      <c r="S66" s="124">
        <v>45107</v>
      </c>
      <c r="T66" s="125" t="s">
        <v>612</v>
      </c>
      <c r="U66" s="124"/>
      <c r="V66" s="124"/>
      <c r="W66" s="126"/>
      <c r="X66" s="127"/>
      <c r="Y66" s="121">
        <v>18500000</v>
      </c>
      <c r="Z66" s="120">
        <v>0</v>
      </c>
      <c r="AA66" s="128">
        <v>1</v>
      </c>
      <c r="AB66" s="119">
        <v>52389076</v>
      </c>
      <c r="AC66" s="119" t="s">
        <v>864</v>
      </c>
      <c r="AD66" s="116"/>
      <c r="AE66" s="116"/>
      <c r="AF66" s="125"/>
      <c r="AG66" s="129" t="s">
        <v>865</v>
      </c>
      <c r="AH66" s="119" t="s">
        <v>192</v>
      </c>
      <c r="AI66" s="119" t="s">
        <v>192</v>
      </c>
    </row>
    <row r="67" spans="1:35" s="130" customFormat="1" ht="17.25" customHeight="1" x14ac:dyDescent="0.25">
      <c r="A67" s="114">
        <v>891780111</v>
      </c>
      <c r="B67" s="115" t="s">
        <v>54</v>
      </c>
      <c r="C67" s="116" t="s">
        <v>57</v>
      </c>
      <c r="D67" s="115" t="s">
        <v>60</v>
      </c>
      <c r="E67" s="119" t="s">
        <v>866</v>
      </c>
      <c r="F67" s="118" t="s">
        <v>61</v>
      </c>
      <c r="G67" s="118" t="s">
        <v>69</v>
      </c>
      <c r="H67" s="118" t="s">
        <v>609</v>
      </c>
      <c r="I67" s="133">
        <v>12500000</v>
      </c>
      <c r="J67" s="118"/>
      <c r="K67" s="121"/>
      <c r="L67" s="121"/>
      <c r="M67" s="122">
        <f t="shared" si="0"/>
        <v>12500000</v>
      </c>
      <c r="N67" s="134">
        <v>1118842355</v>
      </c>
      <c r="O67" s="118" t="s">
        <v>867</v>
      </c>
      <c r="P67" s="116" t="s">
        <v>868</v>
      </c>
      <c r="Q67" s="124">
        <v>44959</v>
      </c>
      <c r="R67" s="124">
        <v>44959</v>
      </c>
      <c r="S67" s="124">
        <v>45107</v>
      </c>
      <c r="T67" s="125" t="s">
        <v>612</v>
      </c>
      <c r="U67" s="124"/>
      <c r="V67" s="124"/>
      <c r="W67" s="126"/>
      <c r="X67" s="127"/>
      <c r="Y67" s="121">
        <v>7500000</v>
      </c>
      <c r="Z67" s="120">
        <v>5000000</v>
      </c>
      <c r="AA67" s="128">
        <v>0.6</v>
      </c>
      <c r="AB67" s="119">
        <v>52389076</v>
      </c>
      <c r="AC67" s="119" t="s">
        <v>864</v>
      </c>
      <c r="AD67" s="116"/>
      <c r="AE67" s="116"/>
      <c r="AF67" s="125"/>
      <c r="AG67" s="129" t="s">
        <v>869</v>
      </c>
      <c r="AH67" s="119" t="s">
        <v>192</v>
      </c>
      <c r="AI67" s="119" t="s">
        <v>192</v>
      </c>
    </row>
    <row r="68" spans="1:35" s="130" customFormat="1" ht="17.25" customHeight="1" x14ac:dyDescent="0.25">
      <c r="A68" s="114">
        <v>891780111</v>
      </c>
      <c r="B68" s="115" t="s">
        <v>54</v>
      </c>
      <c r="C68" s="116" t="s">
        <v>57</v>
      </c>
      <c r="D68" s="115" t="s">
        <v>60</v>
      </c>
      <c r="E68" s="119" t="s">
        <v>870</v>
      </c>
      <c r="F68" s="118" t="s">
        <v>61</v>
      </c>
      <c r="G68" s="118" t="s">
        <v>69</v>
      </c>
      <c r="H68" s="118" t="s">
        <v>609</v>
      </c>
      <c r="I68" s="133">
        <v>15000000</v>
      </c>
      <c r="J68" s="118"/>
      <c r="K68" s="121"/>
      <c r="L68" s="121"/>
      <c r="M68" s="122">
        <f t="shared" si="0"/>
        <v>15000000</v>
      </c>
      <c r="N68" s="134">
        <v>1082890110</v>
      </c>
      <c r="O68" s="118" t="s">
        <v>871</v>
      </c>
      <c r="P68" s="116" t="s">
        <v>872</v>
      </c>
      <c r="Q68" s="124">
        <v>44959</v>
      </c>
      <c r="R68" s="124">
        <v>44959</v>
      </c>
      <c r="S68" s="124">
        <v>45107</v>
      </c>
      <c r="T68" s="125" t="s">
        <v>612</v>
      </c>
      <c r="U68" s="124"/>
      <c r="V68" s="124"/>
      <c r="W68" s="126"/>
      <c r="X68" s="127"/>
      <c r="Y68" s="121">
        <v>15000000</v>
      </c>
      <c r="Z68" s="120">
        <v>0</v>
      </c>
      <c r="AA68" s="128">
        <v>1</v>
      </c>
      <c r="AB68" s="119">
        <v>1082884010</v>
      </c>
      <c r="AC68" s="119" t="s">
        <v>686</v>
      </c>
      <c r="AD68" s="116"/>
      <c r="AE68" s="116"/>
      <c r="AF68" s="125"/>
      <c r="AG68" s="129" t="s">
        <v>873</v>
      </c>
      <c r="AH68" s="119" t="s">
        <v>192</v>
      </c>
      <c r="AI68" s="119" t="s">
        <v>192</v>
      </c>
    </row>
    <row r="69" spans="1:35" s="130" customFormat="1" ht="17.25" customHeight="1" x14ac:dyDescent="0.25">
      <c r="A69" s="114">
        <v>891780111</v>
      </c>
      <c r="B69" s="115" t="s">
        <v>54</v>
      </c>
      <c r="C69" s="116" t="s">
        <v>57</v>
      </c>
      <c r="D69" s="115" t="s">
        <v>60</v>
      </c>
      <c r="E69" s="119" t="s">
        <v>874</v>
      </c>
      <c r="F69" s="118" t="s">
        <v>61</v>
      </c>
      <c r="G69" s="118" t="s">
        <v>69</v>
      </c>
      <c r="H69" s="118" t="s">
        <v>609</v>
      </c>
      <c r="I69" s="133">
        <v>15000000</v>
      </c>
      <c r="J69" s="118"/>
      <c r="K69" s="121"/>
      <c r="L69" s="121"/>
      <c r="M69" s="122">
        <f t="shared" si="0"/>
        <v>15000000</v>
      </c>
      <c r="N69" s="134">
        <v>1010124615</v>
      </c>
      <c r="O69" s="118" t="s">
        <v>875</v>
      </c>
      <c r="P69" s="116" t="s">
        <v>876</v>
      </c>
      <c r="Q69" s="124">
        <v>44963</v>
      </c>
      <c r="R69" s="124">
        <v>44963</v>
      </c>
      <c r="S69" s="124">
        <v>45107</v>
      </c>
      <c r="T69" s="125" t="s">
        <v>612</v>
      </c>
      <c r="U69" s="124"/>
      <c r="V69" s="124"/>
      <c r="W69" s="126"/>
      <c r="X69" s="127"/>
      <c r="Y69" s="121">
        <v>15000000</v>
      </c>
      <c r="Z69" s="120">
        <v>0</v>
      </c>
      <c r="AA69" s="128">
        <v>1</v>
      </c>
      <c r="AB69" s="119">
        <v>63563343</v>
      </c>
      <c r="AC69" s="119" t="s">
        <v>806</v>
      </c>
      <c r="AD69" s="116"/>
      <c r="AE69" s="116"/>
      <c r="AF69" s="125"/>
      <c r="AG69" s="129" t="s">
        <v>877</v>
      </c>
      <c r="AH69" s="119" t="s">
        <v>192</v>
      </c>
      <c r="AI69" s="119" t="s">
        <v>192</v>
      </c>
    </row>
    <row r="70" spans="1:35" s="130" customFormat="1" ht="17.25" customHeight="1" x14ac:dyDescent="0.25">
      <c r="A70" s="114">
        <v>891780111</v>
      </c>
      <c r="B70" s="115" t="s">
        <v>54</v>
      </c>
      <c r="C70" s="116" t="s">
        <v>57</v>
      </c>
      <c r="D70" s="115" t="s">
        <v>60</v>
      </c>
      <c r="E70" s="119" t="s">
        <v>878</v>
      </c>
      <c r="F70" s="118" t="s">
        <v>61</v>
      </c>
      <c r="G70" s="118" t="s">
        <v>69</v>
      </c>
      <c r="H70" s="118" t="s">
        <v>609</v>
      </c>
      <c r="I70" s="133">
        <v>2000000</v>
      </c>
      <c r="J70" s="118"/>
      <c r="K70" s="121"/>
      <c r="L70" s="121"/>
      <c r="M70" s="122">
        <f t="shared" ref="M70:M133" si="1">+(I70+K70)-L70</f>
        <v>2000000</v>
      </c>
      <c r="N70" s="134">
        <v>1083041298</v>
      </c>
      <c r="O70" s="118" t="s">
        <v>879</v>
      </c>
      <c r="P70" s="116" t="s">
        <v>880</v>
      </c>
      <c r="Q70" s="124">
        <v>44963</v>
      </c>
      <c r="R70" s="124">
        <v>44963</v>
      </c>
      <c r="S70" s="124">
        <v>44985</v>
      </c>
      <c r="T70" s="125" t="s">
        <v>612</v>
      </c>
      <c r="U70" s="124"/>
      <c r="V70" s="124"/>
      <c r="W70" s="126"/>
      <c r="X70" s="127"/>
      <c r="Y70" s="121">
        <v>2000000</v>
      </c>
      <c r="Z70" s="120">
        <v>0</v>
      </c>
      <c r="AA70" s="128">
        <v>1</v>
      </c>
      <c r="AB70" s="119">
        <v>84453903</v>
      </c>
      <c r="AC70" s="119" t="s">
        <v>881</v>
      </c>
      <c r="AD70" s="116"/>
      <c r="AE70" s="116"/>
      <c r="AF70" s="125"/>
      <c r="AG70" s="129" t="s">
        <v>882</v>
      </c>
      <c r="AH70" s="119" t="s">
        <v>192</v>
      </c>
      <c r="AI70" s="119" t="s">
        <v>192</v>
      </c>
    </row>
    <row r="71" spans="1:35" s="130" customFormat="1" ht="17.25" customHeight="1" x14ac:dyDescent="0.25">
      <c r="A71" s="114">
        <v>891780111</v>
      </c>
      <c r="B71" s="115" t="s">
        <v>54</v>
      </c>
      <c r="C71" s="116" t="s">
        <v>57</v>
      </c>
      <c r="D71" s="115" t="s">
        <v>60</v>
      </c>
      <c r="E71" s="119" t="s">
        <v>883</v>
      </c>
      <c r="F71" s="118" t="s">
        <v>61</v>
      </c>
      <c r="G71" s="118" t="s">
        <v>69</v>
      </c>
      <c r="H71" s="118" t="s">
        <v>609</v>
      </c>
      <c r="I71" s="133">
        <v>10000000</v>
      </c>
      <c r="J71" s="118"/>
      <c r="K71" s="121"/>
      <c r="L71" s="121"/>
      <c r="M71" s="122">
        <f t="shared" si="1"/>
        <v>10000000</v>
      </c>
      <c r="N71" s="134">
        <v>1010191398</v>
      </c>
      <c r="O71" s="118" t="s">
        <v>884</v>
      </c>
      <c r="P71" s="116" t="s">
        <v>885</v>
      </c>
      <c r="Q71" s="124">
        <v>44964</v>
      </c>
      <c r="R71" s="124">
        <v>44964</v>
      </c>
      <c r="S71" s="124">
        <v>45077</v>
      </c>
      <c r="T71" s="125" t="s">
        <v>612</v>
      </c>
      <c r="U71" s="124"/>
      <c r="V71" s="124"/>
      <c r="W71" s="126">
        <v>45107</v>
      </c>
      <c r="X71" s="127">
        <v>1</v>
      </c>
      <c r="Y71" s="121">
        <v>10000000</v>
      </c>
      <c r="Z71" s="120">
        <v>0</v>
      </c>
      <c r="AA71" s="128">
        <v>1</v>
      </c>
      <c r="AB71" s="119">
        <v>85155551</v>
      </c>
      <c r="AC71" s="119" t="s">
        <v>648</v>
      </c>
      <c r="AD71" s="116"/>
      <c r="AE71" s="116"/>
      <c r="AF71" s="125"/>
      <c r="AG71" s="129" t="s">
        <v>886</v>
      </c>
      <c r="AH71" s="119" t="s">
        <v>192</v>
      </c>
      <c r="AI71" s="119" t="s">
        <v>192</v>
      </c>
    </row>
    <row r="72" spans="1:35" s="130" customFormat="1" ht="17.25" customHeight="1" x14ac:dyDescent="0.25">
      <c r="A72" s="114">
        <v>891780111</v>
      </c>
      <c r="B72" s="115" t="s">
        <v>54</v>
      </c>
      <c r="C72" s="116" t="s">
        <v>57</v>
      </c>
      <c r="D72" s="115" t="s">
        <v>60</v>
      </c>
      <c r="E72" s="119" t="s">
        <v>887</v>
      </c>
      <c r="F72" s="118" t="s">
        <v>61</v>
      </c>
      <c r="G72" s="118" t="s">
        <v>69</v>
      </c>
      <c r="H72" s="118" t="s">
        <v>609</v>
      </c>
      <c r="I72" s="133">
        <v>12000000</v>
      </c>
      <c r="J72" s="118">
        <v>1</v>
      </c>
      <c r="K72" s="121">
        <v>3000000</v>
      </c>
      <c r="L72" s="121"/>
      <c r="M72" s="122">
        <f t="shared" si="1"/>
        <v>15000000</v>
      </c>
      <c r="N72" s="134">
        <v>36453856</v>
      </c>
      <c r="O72" s="118" t="s">
        <v>888</v>
      </c>
      <c r="P72" s="116" t="s">
        <v>889</v>
      </c>
      <c r="Q72" s="124">
        <v>44964</v>
      </c>
      <c r="R72" s="124">
        <v>44964</v>
      </c>
      <c r="S72" s="124">
        <v>45083</v>
      </c>
      <c r="T72" s="125" t="s">
        <v>612</v>
      </c>
      <c r="U72" s="124"/>
      <c r="V72" s="124"/>
      <c r="W72" s="126">
        <v>45113</v>
      </c>
      <c r="X72" s="127">
        <v>1</v>
      </c>
      <c r="Y72" s="121">
        <v>15000000</v>
      </c>
      <c r="Z72" s="120">
        <v>0</v>
      </c>
      <c r="AA72" s="128">
        <v>1</v>
      </c>
      <c r="AB72" s="119">
        <v>52389076</v>
      </c>
      <c r="AC72" s="119" t="s">
        <v>864</v>
      </c>
      <c r="AD72" s="116"/>
      <c r="AE72" s="116"/>
      <c r="AF72" s="125"/>
      <c r="AG72" s="129" t="s">
        <v>890</v>
      </c>
      <c r="AH72" s="119" t="s">
        <v>192</v>
      </c>
      <c r="AI72" s="119" t="s">
        <v>192</v>
      </c>
    </row>
    <row r="73" spans="1:35" s="130" customFormat="1" ht="17.25" customHeight="1" x14ac:dyDescent="0.25">
      <c r="A73" s="114">
        <v>891780111</v>
      </c>
      <c r="B73" s="115" t="s">
        <v>54</v>
      </c>
      <c r="C73" s="116" t="s">
        <v>57</v>
      </c>
      <c r="D73" s="115" t="s">
        <v>60</v>
      </c>
      <c r="E73" s="119" t="s">
        <v>891</v>
      </c>
      <c r="F73" s="118" t="s">
        <v>61</v>
      </c>
      <c r="G73" s="118" t="s">
        <v>69</v>
      </c>
      <c r="H73" s="118" t="s">
        <v>609</v>
      </c>
      <c r="I73" s="133">
        <v>5000000</v>
      </c>
      <c r="J73" s="118"/>
      <c r="K73" s="121"/>
      <c r="L73" s="121"/>
      <c r="M73" s="122">
        <f t="shared" si="1"/>
        <v>5000000</v>
      </c>
      <c r="N73" s="134">
        <v>1083010243</v>
      </c>
      <c r="O73" s="118" t="s">
        <v>892</v>
      </c>
      <c r="P73" s="116" t="s">
        <v>893</v>
      </c>
      <c r="Q73" s="124">
        <v>44964</v>
      </c>
      <c r="R73" s="124">
        <v>44964</v>
      </c>
      <c r="S73" s="124">
        <v>44985</v>
      </c>
      <c r="T73" s="125" t="s">
        <v>612</v>
      </c>
      <c r="U73" s="124"/>
      <c r="V73" s="124"/>
      <c r="W73" s="126"/>
      <c r="X73" s="127"/>
      <c r="Y73" s="121">
        <v>5000000</v>
      </c>
      <c r="Z73" s="120">
        <v>0</v>
      </c>
      <c r="AA73" s="128">
        <v>1</v>
      </c>
      <c r="AB73" s="119">
        <v>84453903</v>
      </c>
      <c r="AC73" s="119" t="s">
        <v>894</v>
      </c>
      <c r="AD73" s="116"/>
      <c r="AE73" s="116"/>
      <c r="AF73" s="125"/>
      <c r="AG73" s="129" t="s">
        <v>895</v>
      </c>
      <c r="AH73" s="119" t="s">
        <v>192</v>
      </c>
      <c r="AI73" s="119" t="s">
        <v>192</v>
      </c>
    </row>
    <row r="74" spans="1:35" s="130" customFormat="1" ht="17.25" customHeight="1" x14ac:dyDescent="0.25">
      <c r="A74" s="114">
        <v>891780111</v>
      </c>
      <c r="B74" s="115" t="s">
        <v>54</v>
      </c>
      <c r="C74" s="116" t="s">
        <v>57</v>
      </c>
      <c r="D74" s="115" t="s">
        <v>60</v>
      </c>
      <c r="E74" s="119" t="s">
        <v>896</v>
      </c>
      <c r="F74" s="118" t="s">
        <v>61</v>
      </c>
      <c r="G74" s="118" t="s">
        <v>69</v>
      </c>
      <c r="H74" s="118" t="s">
        <v>609</v>
      </c>
      <c r="I74" s="133">
        <v>10000000</v>
      </c>
      <c r="J74" s="118"/>
      <c r="K74" s="121"/>
      <c r="L74" s="121"/>
      <c r="M74" s="122">
        <f t="shared" si="1"/>
        <v>10000000</v>
      </c>
      <c r="N74" s="134">
        <v>1018462328</v>
      </c>
      <c r="O74" s="118" t="s">
        <v>897</v>
      </c>
      <c r="P74" s="116" t="s">
        <v>898</v>
      </c>
      <c r="Q74" s="124">
        <v>44965</v>
      </c>
      <c r="R74" s="124">
        <v>44965</v>
      </c>
      <c r="S74" s="124">
        <v>45077</v>
      </c>
      <c r="T74" s="125" t="s">
        <v>612</v>
      </c>
      <c r="U74" s="124"/>
      <c r="V74" s="124"/>
      <c r="W74" s="126"/>
      <c r="X74" s="127"/>
      <c r="Y74" s="121">
        <v>10000000</v>
      </c>
      <c r="Z74" s="120">
        <v>0</v>
      </c>
      <c r="AA74" s="128">
        <v>1</v>
      </c>
      <c r="AB74" s="119">
        <v>85155551</v>
      </c>
      <c r="AC74" s="119" t="s">
        <v>648</v>
      </c>
      <c r="AD74" s="116"/>
      <c r="AE74" s="116"/>
      <c r="AF74" s="125"/>
      <c r="AG74" s="129" t="s">
        <v>899</v>
      </c>
      <c r="AH74" s="119" t="s">
        <v>192</v>
      </c>
      <c r="AI74" s="119" t="s">
        <v>192</v>
      </c>
    </row>
    <row r="75" spans="1:35" s="130" customFormat="1" ht="17.25" customHeight="1" x14ac:dyDescent="0.25">
      <c r="A75" s="114">
        <v>891780111</v>
      </c>
      <c r="B75" s="115" t="s">
        <v>54</v>
      </c>
      <c r="C75" s="116" t="s">
        <v>57</v>
      </c>
      <c r="D75" s="115" t="s">
        <v>60</v>
      </c>
      <c r="E75" s="119" t="s">
        <v>900</v>
      </c>
      <c r="F75" s="118" t="s">
        <v>61</v>
      </c>
      <c r="G75" s="118" t="s">
        <v>69</v>
      </c>
      <c r="H75" s="118" t="s">
        <v>609</v>
      </c>
      <c r="I75" s="133">
        <v>7500000</v>
      </c>
      <c r="J75" s="118"/>
      <c r="K75" s="121"/>
      <c r="L75" s="121"/>
      <c r="M75" s="122">
        <f t="shared" si="1"/>
        <v>7500000</v>
      </c>
      <c r="N75" s="134">
        <v>1082999406</v>
      </c>
      <c r="O75" s="118" t="s">
        <v>901</v>
      </c>
      <c r="P75" s="116" t="s">
        <v>902</v>
      </c>
      <c r="Q75" s="124">
        <v>44965</v>
      </c>
      <c r="R75" s="124">
        <v>44965</v>
      </c>
      <c r="S75" s="124">
        <v>45053</v>
      </c>
      <c r="T75" s="125" t="s">
        <v>612</v>
      </c>
      <c r="U75" s="124"/>
      <c r="V75" s="124"/>
      <c r="W75" s="126"/>
      <c r="X75" s="127"/>
      <c r="Y75" s="121">
        <v>7500000</v>
      </c>
      <c r="Z75" s="120">
        <v>0</v>
      </c>
      <c r="AA75" s="128">
        <v>1</v>
      </c>
      <c r="AB75" s="119">
        <v>63563343</v>
      </c>
      <c r="AC75" s="118" t="s">
        <v>806</v>
      </c>
      <c r="AD75" s="116"/>
      <c r="AE75" s="116"/>
      <c r="AF75" s="125"/>
      <c r="AG75" s="129" t="s">
        <v>903</v>
      </c>
      <c r="AH75" s="119" t="s">
        <v>192</v>
      </c>
      <c r="AI75" s="119" t="s">
        <v>192</v>
      </c>
    </row>
    <row r="76" spans="1:35" s="130" customFormat="1" ht="17.25" customHeight="1" x14ac:dyDescent="0.25">
      <c r="A76" s="114">
        <v>891780111</v>
      </c>
      <c r="B76" s="115" t="s">
        <v>54</v>
      </c>
      <c r="C76" s="116" t="s">
        <v>57</v>
      </c>
      <c r="D76" s="115" t="s">
        <v>60</v>
      </c>
      <c r="E76" s="119" t="s">
        <v>904</v>
      </c>
      <c r="F76" s="118" t="s">
        <v>61</v>
      </c>
      <c r="G76" s="118" t="s">
        <v>69</v>
      </c>
      <c r="H76" s="118" t="s">
        <v>609</v>
      </c>
      <c r="I76" s="133">
        <v>14000000</v>
      </c>
      <c r="J76" s="118"/>
      <c r="K76" s="121"/>
      <c r="L76" s="121"/>
      <c r="M76" s="122">
        <f t="shared" si="1"/>
        <v>14000000</v>
      </c>
      <c r="N76" s="134">
        <v>1082979078</v>
      </c>
      <c r="O76" s="118" t="s">
        <v>905</v>
      </c>
      <c r="P76" s="116" t="s">
        <v>906</v>
      </c>
      <c r="Q76" s="124">
        <v>44965</v>
      </c>
      <c r="R76" s="124">
        <v>44965</v>
      </c>
      <c r="S76" s="124">
        <v>45107</v>
      </c>
      <c r="T76" s="125" t="s">
        <v>612</v>
      </c>
      <c r="U76" s="124"/>
      <c r="V76" s="124"/>
      <c r="W76" s="126"/>
      <c r="X76" s="127"/>
      <c r="Y76" s="121">
        <v>14000000</v>
      </c>
      <c r="Z76" s="120">
        <v>0</v>
      </c>
      <c r="AA76" s="128">
        <v>1</v>
      </c>
      <c r="AB76" s="119">
        <v>1082884010</v>
      </c>
      <c r="AC76" s="118" t="s">
        <v>686</v>
      </c>
      <c r="AD76" s="116"/>
      <c r="AE76" s="116"/>
      <c r="AF76" s="125"/>
      <c r="AG76" s="129" t="s">
        <v>907</v>
      </c>
      <c r="AH76" s="119" t="s">
        <v>192</v>
      </c>
      <c r="AI76" s="119" t="s">
        <v>192</v>
      </c>
    </row>
    <row r="77" spans="1:35" s="130" customFormat="1" ht="17.25" customHeight="1" x14ac:dyDescent="0.25">
      <c r="A77" s="114">
        <v>891780111</v>
      </c>
      <c r="B77" s="115" t="s">
        <v>54</v>
      </c>
      <c r="C77" s="116" t="s">
        <v>57</v>
      </c>
      <c r="D77" s="115" t="s">
        <v>60</v>
      </c>
      <c r="E77" s="119" t="s">
        <v>908</v>
      </c>
      <c r="F77" s="118" t="s">
        <v>61</v>
      </c>
      <c r="G77" s="118" t="s">
        <v>69</v>
      </c>
      <c r="H77" s="118" t="s">
        <v>609</v>
      </c>
      <c r="I77" s="133">
        <v>14000000</v>
      </c>
      <c r="J77" s="118"/>
      <c r="K77" s="121"/>
      <c r="L77" s="121"/>
      <c r="M77" s="122">
        <f t="shared" si="1"/>
        <v>14000000</v>
      </c>
      <c r="N77" s="134">
        <v>1082944396</v>
      </c>
      <c r="O77" s="118" t="s">
        <v>909</v>
      </c>
      <c r="P77" s="116" t="s">
        <v>910</v>
      </c>
      <c r="Q77" s="124">
        <v>44965</v>
      </c>
      <c r="R77" s="124">
        <v>44965</v>
      </c>
      <c r="S77" s="124">
        <v>45107</v>
      </c>
      <c r="T77" s="125" t="s">
        <v>612</v>
      </c>
      <c r="U77" s="124"/>
      <c r="V77" s="124"/>
      <c r="W77" s="126"/>
      <c r="X77" s="127"/>
      <c r="Y77" s="121">
        <v>14000000</v>
      </c>
      <c r="Z77" s="120">
        <v>0</v>
      </c>
      <c r="AA77" s="128">
        <v>1</v>
      </c>
      <c r="AB77" s="119">
        <v>1082884010</v>
      </c>
      <c r="AC77" s="118" t="s">
        <v>686</v>
      </c>
      <c r="AD77" s="116"/>
      <c r="AE77" s="116"/>
      <c r="AF77" s="125"/>
      <c r="AG77" s="129" t="s">
        <v>911</v>
      </c>
      <c r="AH77" s="119" t="s">
        <v>192</v>
      </c>
      <c r="AI77" s="119" t="s">
        <v>192</v>
      </c>
    </row>
    <row r="78" spans="1:35" s="130" customFormat="1" ht="17.25" customHeight="1" x14ac:dyDescent="0.25">
      <c r="A78" s="114">
        <v>891780111</v>
      </c>
      <c r="B78" s="115" t="s">
        <v>54</v>
      </c>
      <c r="C78" s="116" t="s">
        <v>57</v>
      </c>
      <c r="D78" s="115" t="s">
        <v>60</v>
      </c>
      <c r="E78" s="119" t="s">
        <v>912</v>
      </c>
      <c r="F78" s="118" t="s">
        <v>61</v>
      </c>
      <c r="G78" s="118" t="s">
        <v>69</v>
      </c>
      <c r="H78" s="118" t="s">
        <v>609</v>
      </c>
      <c r="I78" s="133">
        <v>14000000</v>
      </c>
      <c r="J78" s="118"/>
      <c r="K78" s="121"/>
      <c r="L78" s="121"/>
      <c r="M78" s="122">
        <f t="shared" si="1"/>
        <v>14000000</v>
      </c>
      <c r="N78" s="134">
        <v>1143161098</v>
      </c>
      <c r="O78" s="118" t="s">
        <v>913</v>
      </c>
      <c r="P78" s="116" t="s">
        <v>760</v>
      </c>
      <c r="Q78" s="124">
        <v>44965</v>
      </c>
      <c r="R78" s="124">
        <v>44965</v>
      </c>
      <c r="S78" s="124">
        <v>45107</v>
      </c>
      <c r="T78" s="125" t="s">
        <v>612</v>
      </c>
      <c r="U78" s="124"/>
      <c r="V78" s="124"/>
      <c r="W78" s="126"/>
      <c r="X78" s="127"/>
      <c r="Y78" s="121">
        <v>14000000</v>
      </c>
      <c r="Z78" s="120">
        <v>0</v>
      </c>
      <c r="AA78" s="128">
        <v>1</v>
      </c>
      <c r="AB78" s="119">
        <v>1082903415</v>
      </c>
      <c r="AC78" s="118" t="s">
        <v>843</v>
      </c>
      <c r="AD78" s="116"/>
      <c r="AE78" s="116"/>
      <c r="AF78" s="125"/>
      <c r="AG78" s="129" t="s">
        <v>914</v>
      </c>
      <c r="AH78" s="119" t="s">
        <v>192</v>
      </c>
      <c r="AI78" s="119" t="s">
        <v>192</v>
      </c>
    </row>
    <row r="79" spans="1:35" s="130" customFormat="1" ht="17.25" customHeight="1" x14ac:dyDescent="0.25">
      <c r="A79" s="114">
        <v>891780111</v>
      </c>
      <c r="B79" s="115" t="s">
        <v>54</v>
      </c>
      <c r="C79" s="116" t="s">
        <v>57</v>
      </c>
      <c r="D79" s="115" t="s">
        <v>60</v>
      </c>
      <c r="E79" s="119" t="s">
        <v>915</v>
      </c>
      <c r="F79" s="118" t="s">
        <v>61</v>
      </c>
      <c r="G79" s="118" t="s">
        <v>69</v>
      </c>
      <c r="H79" s="118" t="s">
        <v>609</v>
      </c>
      <c r="I79" s="133">
        <v>5600000</v>
      </c>
      <c r="J79" s="118"/>
      <c r="K79" s="121"/>
      <c r="L79" s="121"/>
      <c r="M79" s="122">
        <f t="shared" si="1"/>
        <v>5600000</v>
      </c>
      <c r="N79" s="134">
        <v>1018452203</v>
      </c>
      <c r="O79" s="118" t="s">
        <v>916</v>
      </c>
      <c r="P79" s="116" t="s">
        <v>917</v>
      </c>
      <c r="Q79" s="124">
        <v>44966</v>
      </c>
      <c r="R79" s="124">
        <v>44966</v>
      </c>
      <c r="S79" s="124">
        <v>45024</v>
      </c>
      <c r="T79" s="125" t="s">
        <v>612</v>
      </c>
      <c r="U79" s="124"/>
      <c r="V79" s="124"/>
      <c r="W79" s="126"/>
      <c r="X79" s="127"/>
      <c r="Y79" s="121">
        <v>5600000</v>
      </c>
      <c r="Z79" s="120">
        <v>0</v>
      </c>
      <c r="AA79" s="128">
        <v>1</v>
      </c>
      <c r="AB79" s="119">
        <v>85155551</v>
      </c>
      <c r="AC79" s="118" t="s">
        <v>648</v>
      </c>
      <c r="AD79" s="116"/>
      <c r="AE79" s="116"/>
      <c r="AF79" s="125"/>
      <c r="AG79" s="129" t="s">
        <v>918</v>
      </c>
      <c r="AH79" s="119" t="s">
        <v>192</v>
      </c>
      <c r="AI79" s="119" t="s">
        <v>192</v>
      </c>
    </row>
    <row r="80" spans="1:35" s="130" customFormat="1" ht="17.25" customHeight="1" x14ac:dyDescent="0.25">
      <c r="A80" s="114">
        <v>891780111</v>
      </c>
      <c r="B80" s="115" t="s">
        <v>54</v>
      </c>
      <c r="C80" s="116" t="s">
        <v>57</v>
      </c>
      <c r="D80" s="115" t="s">
        <v>60</v>
      </c>
      <c r="E80" s="119" t="s">
        <v>919</v>
      </c>
      <c r="F80" s="118" t="s">
        <v>61</v>
      </c>
      <c r="G80" s="118" t="s">
        <v>69</v>
      </c>
      <c r="H80" s="118" t="s">
        <v>609</v>
      </c>
      <c r="I80" s="133">
        <v>18934000</v>
      </c>
      <c r="J80" s="118"/>
      <c r="K80" s="121"/>
      <c r="L80" s="121"/>
      <c r="M80" s="122">
        <f t="shared" si="1"/>
        <v>18934000</v>
      </c>
      <c r="N80" s="134">
        <v>79542567</v>
      </c>
      <c r="O80" s="118" t="s">
        <v>920</v>
      </c>
      <c r="P80" s="116" t="s">
        <v>921</v>
      </c>
      <c r="Q80" s="124">
        <v>44966</v>
      </c>
      <c r="R80" s="124">
        <v>44966</v>
      </c>
      <c r="S80" s="124">
        <v>45107</v>
      </c>
      <c r="T80" s="125" t="s">
        <v>612</v>
      </c>
      <c r="U80" s="124"/>
      <c r="V80" s="124"/>
      <c r="W80" s="126"/>
      <c r="X80" s="127"/>
      <c r="Y80" s="121">
        <v>14934000</v>
      </c>
      <c r="Z80" s="120">
        <v>4000000</v>
      </c>
      <c r="AA80" s="128">
        <v>0.78873983310446816</v>
      </c>
      <c r="AB80" s="119">
        <v>1082884010</v>
      </c>
      <c r="AC80" s="118" t="s">
        <v>686</v>
      </c>
      <c r="AD80" s="116"/>
      <c r="AE80" s="116"/>
      <c r="AF80" s="125"/>
      <c r="AG80" s="129" t="s">
        <v>922</v>
      </c>
      <c r="AH80" s="119" t="s">
        <v>192</v>
      </c>
      <c r="AI80" s="119" t="s">
        <v>192</v>
      </c>
    </row>
    <row r="81" spans="1:35" s="130" customFormat="1" ht="17.25" customHeight="1" x14ac:dyDescent="0.25">
      <c r="A81" s="114">
        <v>891780111</v>
      </c>
      <c r="B81" s="115" t="s">
        <v>54</v>
      </c>
      <c r="C81" s="116" t="s">
        <v>57</v>
      </c>
      <c r="D81" s="115" t="s">
        <v>60</v>
      </c>
      <c r="E81" s="119" t="s">
        <v>923</v>
      </c>
      <c r="F81" s="118" t="s">
        <v>61</v>
      </c>
      <c r="G81" s="118" t="s">
        <v>69</v>
      </c>
      <c r="H81" s="118" t="s">
        <v>609</v>
      </c>
      <c r="I81" s="133">
        <v>12500000</v>
      </c>
      <c r="J81" s="118"/>
      <c r="K81" s="121"/>
      <c r="L81" s="121"/>
      <c r="M81" s="122">
        <f t="shared" si="1"/>
        <v>12500000</v>
      </c>
      <c r="N81" s="134">
        <v>1082988001</v>
      </c>
      <c r="O81" s="118" t="s">
        <v>924</v>
      </c>
      <c r="P81" s="116" t="s">
        <v>925</v>
      </c>
      <c r="Q81" s="124">
        <v>44966</v>
      </c>
      <c r="R81" s="124">
        <v>44966</v>
      </c>
      <c r="S81" s="124">
        <v>45107</v>
      </c>
      <c r="T81" s="125" t="s">
        <v>612</v>
      </c>
      <c r="U81" s="124"/>
      <c r="V81" s="124"/>
      <c r="W81" s="126"/>
      <c r="X81" s="127"/>
      <c r="Y81" s="121">
        <v>12500000</v>
      </c>
      <c r="Z81" s="120">
        <v>0</v>
      </c>
      <c r="AA81" s="128">
        <v>1</v>
      </c>
      <c r="AB81" s="119">
        <v>63563343</v>
      </c>
      <c r="AC81" s="118" t="s">
        <v>806</v>
      </c>
      <c r="AD81" s="116"/>
      <c r="AE81" s="116"/>
      <c r="AF81" s="125"/>
      <c r="AG81" s="129" t="s">
        <v>926</v>
      </c>
      <c r="AH81" s="119" t="s">
        <v>192</v>
      </c>
      <c r="AI81" s="119" t="s">
        <v>192</v>
      </c>
    </row>
    <row r="82" spans="1:35" s="130" customFormat="1" ht="17.25" customHeight="1" x14ac:dyDescent="0.25">
      <c r="A82" s="114">
        <v>891780111</v>
      </c>
      <c r="B82" s="115" t="s">
        <v>54</v>
      </c>
      <c r="C82" s="116" t="s">
        <v>57</v>
      </c>
      <c r="D82" s="115" t="s">
        <v>60</v>
      </c>
      <c r="E82" s="119" t="s">
        <v>927</v>
      </c>
      <c r="F82" s="118" t="s">
        <v>61</v>
      </c>
      <c r="G82" s="118" t="s">
        <v>69</v>
      </c>
      <c r="H82" s="118" t="s">
        <v>609</v>
      </c>
      <c r="I82" s="133">
        <v>3000000</v>
      </c>
      <c r="J82" s="118">
        <v>1</v>
      </c>
      <c r="K82" s="121">
        <v>1500000</v>
      </c>
      <c r="L82" s="121"/>
      <c r="M82" s="122">
        <f t="shared" si="1"/>
        <v>4500000</v>
      </c>
      <c r="N82" s="134">
        <v>52499962</v>
      </c>
      <c r="O82" s="118" t="s">
        <v>928</v>
      </c>
      <c r="P82" s="116" t="s">
        <v>929</v>
      </c>
      <c r="Q82" s="124">
        <v>44967</v>
      </c>
      <c r="R82" s="124">
        <v>44967</v>
      </c>
      <c r="S82" s="124">
        <v>44994</v>
      </c>
      <c r="T82" s="125" t="s">
        <v>612</v>
      </c>
      <c r="U82" s="124"/>
      <c r="V82" s="124"/>
      <c r="W82" s="126">
        <v>45009</v>
      </c>
      <c r="X82" s="127">
        <v>1</v>
      </c>
      <c r="Y82" s="121">
        <v>4500000</v>
      </c>
      <c r="Z82" s="120">
        <v>0</v>
      </c>
      <c r="AA82" s="128">
        <v>1</v>
      </c>
      <c r="AB82" s="119">
        <v>39049658</v>
      </c>
      <c r="AC82" s="118" t="s">
        <v>930</v>
      </c>
      <c r="AD82" s="116"/>
      <c r="AE82" s="116"/>
      <c r="AF82" s="125"/>
      <c r="AG82" s="129" t="s">
        <v>931</v>
      </c>
      <c r="AH82" s="119" t="s">
        <v>192</v>
      </c>
      <c r="AI82" s="119" t="s">
        <v>192</v>
      </c>
    </row>
    <row r="83" spans="1:35" s="130" customFormat="1" ht="17.25" customHeight="1" x14ac:dyDescent="0.25">
      <c r="A83" s="114">
        <v>891780111</v>
      </c>
      <c r="B83" s="115" t="s">
        <v>54</v>
      </c>
      <c r="C83" s="116" t="s">
        <v>57</v>
      </c>
      <c r="D83" s="115" t="s">
        <v>60</v>
      </c>
      <c r="E83" s="119" t="s">
        <v>932</v>
      </c>
      <c r="F83" s="118" t="s">
        <v>61</v>
      </c>
      <c r="G83" s="118" t="s">
        <v>69</v>
      </c>
      <c r="H83" s="118" t="s">
        <v>609</v>
      </c>
      <c r="I83" s="133">
        <v>13160000</v>
      </c>
      <c r="J83" s="118"/>
      <c r="K83" s="121"/>
      <c r="L83" s="121"/>
      <c r="M83" s="122">
        <f t="shared" si="1"/>
        <v>13160000</v>
      </c>
      <c r="N83" s="134">
        <v>1083467782</v>
      </c>
      <c r="O83" s="118" t="s">
        <v>933</v>
      </c>
      <c r="P83" s="116" t="s">
        <v>934</v>
      </c>
      <c r="Q83" s="124">
        <v>44967</v>
      </c>
      <c r="R83" s="124">
        <v>44967</v>
      </c>
      <c r="S83" s="124">
        <v>45107</v>
      </c>
      <c r="T83" s="125" t="s">
        <v>612</v>
      </c>
      <c r="U83" s="124"/>
      <c r="V83" s="124"/>
      <c r="W83" s="126"/>
      <c r="X83" s="127"/>
      <c r="Y83" s="121">
        <v>13160000</v>
      </c>
      <c r="Z83" s="120">
        <v>0</v>
      </c>
      <c r="AA83" s="128">
        <v>1</v>
      </c>
      <c r="AB83" s="119">
        <v>77105457</v>
      </c>
      <c r="AC83" s="118" t="s">
        <v>935</v>
      </c>
      <c r="AD83" s="116"/>
      <c r="AE83" s="116"/>
      <c r="AF83" s="125"/>
      <c r="AG83" s="129" t="s">
        <v>936</v>
      </c>
      <c r="AH83" s="119" t="s">
        <v>192</v>
      </c>
      <c r="AI83" s="119" t="s">
        <v>192</v>
      </c>
    </row>
    <row r="84" spans="1:35" s="130" customFormat="1" ht="17.25" customHeight="1" x14ac:dyDescent="0.25">
      <c r="A84" s="114">
        <v>891780111</v>
      </c>
      <c r="B84" s="115" t="s">
        <v>54</v>
      </c>
      <c r="C84" s="116" t="s">
        <v>57</v>
      </c>
      <c r="D84" s="115" t="s">
        <v>60</v>
      </c>
      <c r="E84" s="119" t="s">
        <v>937</v>
      </c>
      <c r="F84" s="118" t="s">
        <v>61</v>
      </c>
      <c r="G84" s="118" t="s">
        <v>69</v>
      </c>
      <c r="H84" s="118" t="s">
        <v>609</v>
      </c>
      <c r="I84" s="133">
        <v>13160000</v>
      </c>
      <c r="J84" s="118"/>
      <c r="K84" s="121"/>
      <c r="L84" s="121"/>
      <c r="M84" s="122">
        <f t="shared" si="1"/>
        <v>13160000</v>
      </c>
      <c r="N84" s="134">
        <v>57463378</v>
      </c>
      <c r="O84" s="118" t="s">
        <v>938</v>
      </c>
      <c r="P84" s="116" t="s">
        <v>939</v>
      </c>
      <c r="Q84" s="124">
        <v>44967</v>
      </c>
      <c r="R84" s="124">
        <v>44967</v>
      </c>
      <c r="S84" s="124">
        <v>45107</v>
      </c>
      <c r="T84" s="125" t="s">
        <v>612</v>
      </c>
      <c r="U84" s="124"/>
      <c r="V84" s="124"/>
      <c r="W84" s="126"/>
      <c r="X84" s="127"/>
      <c r="Y84" s="121">
        <v>13160000</v>
      </c>
      <c r="Z84" s="120">
        <v>0</v>
      </c>
      <c r="AA84" s="128">
        <v>1</v>
      </c>
      <c r="AB84" s="119">
        <v>77105457</v>
      </c>
      <c r="AC84" s="118" t="s">
        <v>935</v>
      </c>
      <c r="AD84" s="116"/>
      <c r="AE84" s="116"/>
      <c r="AF84" s="125"/>
      <c r="AG84" s="129" t="s">
        <v>940</v>
      </c>
      <c r="AH84" s="119" t="s">
        <v>192</v>
      </c>
      <c r="AI84" s="119" t="s">
        <v>192</v>
      </c>
    </row>
    <row r="85" spans="1:35" s="130" customFormat="1" ht="17.25" customHeight="1" x14ac:dyDescent="0.25">
      <c r="A85" s="114">
        <v>891780111</v>
      </c>
      <c r="B85" s="115" t="s">
        <v>54</v>
      </c>
      <c r="C85" s="116" t="s">
        <v>57</v>
      </c>
      <c r="D85" s="115" t="s">
        <v>60</v>
      </c>
      <c r="E85" s="119" t="s">
        <v>941</v>
      </c>
      <c r="F85" s="118" t="s">
        <v>61</v>
      </c>
      <c r="G85" s="118" t="s">
        <v>69</v>
      </c>
      <c r="H85" s="118" t="s">
        <v>609</v>
      </c>
      <c r="I85" s="133">
        <v>13160000</v>
      </c>
      <c r="J85" s="118"/>
      <c r="K85" s="121"/>
      <c r="L85" s="121"/>
      <c r="M85" s="122">
        <f t="shared" si="1"/>
        <v>13160000</v>
      </c>
      <c r="N85" s="134">
        <v>1082984823</v>
      </c>
      <c r="O85" s="118" t="s">
        <v>942</v>
      </c>
      <c r="P85" s="116" t="s">
        <v>943</v>
      </c>
      <c r="Q85" s="124">
        <v>44967</v>
      </c>
      <c r="R85" s="124">
        <v>44967</v>
      </c>
      <c r="S85" s="124">
        <v>45107</v>
      </c>
      <c r="T85" s="125" t="s">
        <v>612</v>
      </c>
      <c r="U85" s="124"/>
      <c r="V85" s="124"/>
      <c r="W85" s="126"/>
      <c r="X85" s="127"/>
      <c r="Y85" s="121">
        <v>13160000</v>
      </c>
      <c r="Z85" s="120">
        <v>0</v>
      </c>
      <c r="AA85" s="128">
        <v>1</v>
      </c>
      <c r="AB85" s="119">
        <v>77105457</v>
      </c>
      <c r="AC85" s="118" t="s">
        <v>935</v>
      </c>
      <c r="AD85" s="116"/>
      <c r="AE85" s="116"/>
      <c r="AF85" s="125"/>
      <c r="AG85" s="129" t="s">
        <v>944</v>
      </c>
      <c r="AH85" s="119" t="s">
        <v>192</v>
      </c>
      <c r="AI85" s="119" t="s">
        <v>192</v>
      </c>
    </row>
    <row r="86" spans="1:35" s="130" customFormat="1" ht="17.25" customHeight="1" x14ac:dyDescent="0.25">
      <c r="A86" s="114">
        <v>891780111</v>
      </c>
      <c r="B86" s="115" t="s">
        <v>54</v>
      </c>
      <c r="C86" s="116" t="s">
        <v>57</v>
      </c>
      <c r="D86" s="115" t="s">
        <v>60</v>
      </c>
      <c r="E86" s="119" t="s">
        <v>945</v>
      </c>
      <c r="F86" s="118" t="s">
        <v>61</v>
      </c>
      <c r="G86" s="118" t="s">
        <v>69</v>
      </c>
      <c r="H86" s="118" t="s">
        <v>609</v>
      </c>
      <c r="I86" s="133">
        <v>11500000</v>
      </c>
      <c r="J86" s="118"/>
      <c r="K86" s="121"/>
      <c r="L86" s="121"/>
      <c r="M86" s="122">
        <f t="shared" si="1"/>
        <v>11500000</v>
      </c>
      <c r="N86" s="134">
        <v>1082982365</v>
      </c>
      <c r="O86" s="118" t="s">
        <v>946</v>
      </c>
      <c r="P86" s="116" t="s">
        <v>947</v>
      </c>
      <c r="Q86" s="124">
        <v>44971</v>
      </c>
      <c r="R86" s="124">
        <v>44971</v>
      </c>
      <c r="S86" s="124">
        <v>45107</v>
      </c>
      <c r="T86" s="125" t="s">
        <v>612</v>
      </c>
      <c r="U86" s="124"/>
      <c r="V86" s="124"/>
      <c r="W86" s="126"/>
      <c r="X86" s="127"/>
      <c r="Y86" s="121">
        <v>11500000</v>
      </c>
      <c r="Z86" s="120">
        <v>0</v>
      </c>
      <c r="AA86" s="128">
        <v>1</v>
      </c>
      <c r="AB86" s="119">
        <v>94449083</v>
      </c>
      <c r="AC86" s="118" t="s">
        <v>948</v>
      </c>
      <c r="AD86" s="116"/>
      <c r="AE86" s="116"/>
      <c r="AF86" s="125"/>
      <c r="AG86" s="129" t="s">
        <v>949</v>
      </c>
      <c r="AH86" s="119" t="s">
        <v>192</v>
      </c>
      <c r="AI86" s="119" t="s">
        <v>192</v>
      </c>
    </row>
    <row r="87" spans="1:35" s="130" customFormat="1" ht="17.25" customHeight="1" x14ac:dyDescent="0.25">
      <c r="A87" s="114">
        <v>891780111</v>
      </c>
      <c r="B87" s="115" t="s">
        <v>54</v>
      </c>
      <c r="C87" s="116" t="s">
        <v>57</v>
      </c>
      <c r="D87" s="115" t="s">
        <v>60</v>
      </c>
      <c r="E87" s="119" t="s">
        <v>950</v>
      </c>
      <c r="F87" s="118" t="s">
        <v>61</v>
      </c>
      <c r="G87" s="118" t="s">
        <v>69</v>
      </c>
      <c r="H87" s="118" t="s">
        <v>609</v>
      </c>
      <c r="I87" s="133">
        <v>13500000</v>
      </c>
      <c r="J87" s="118"/>
      <c r="K87" s="121"/>
      <c r="L87" s="121"/>
      <c r="M87" s="122">
        <f t="shared" si="1"/>
        <v>13500000</v>
      </c>
      <c r="N87" s="134">
        <v>1083002889</v>
      </c>
      <c r="O87" s="118" t="s">
        <v>743</v>
      </c>
      <c r="P87" s="116" t="s">
        <v>951</v>
      </c>
      <c r="Q87" s="124">
        <v>44973</v>
      </c>
      <c r="R87" s="124">
        <v>44973</v>
      </c>
      <c r="S87" s="124">
        <v>45107</v>
      </c>
      <c r="T87" s="125" t="s">
        <v>612</v>
      </c>
      <c r="U87" s="124"/>
      <c r="V87" s="124"/>
      <c r="W87" s="126"/>
      <c r="X87" s="127"/>
      <c r="Y87" s="121">
        <v>13500000</v>
      </c>
      <c r="Z87" s="120">
        <v>0</v>
      </c>
      <c r="AA87" s="128">
        <v>1</v>
      </c>
      <c r="AB87" s="119">
        <v>85081920</v>
      </c>
      <c r="AC87" s="123" t="s">
        <v>952</v>
      </c>
      <c r="AD87" s="116"/>
      <c r="AE87" s="116"/>
      <c r="AF87" s="125"/>
      <c r="AG87" s="129" t="s">
        <v>953</v>
      </c>
      <c r="AH87" s="119" t="s">
        <v>192</v>
      </c>
      <c r="AI87" s="119" t="s">
        <v>192</v>
      </c>
    </row>
    <row r="88" spans="1:35" s="130" customFormat="1" ht="17.25" customHeight="1" x14ac:dyDescent="0.25">
      <c r="A88" s="114">
        <v>891780111</v>
      </c>
      <c r="B88" s="115" t="s">
        <v>54</v>
      </c>
      <c r="C88" s="116" t="s">
        <v>57</v>
      </c>
      <c r="D88" s="115" t="s">
        <v>60</v>
      </c>
      <c r="E88" s="119" t="s">
        <v>954</v>
      </c>
      <c r="F88" s="118" t="s">
        <v>61</v>
      </c>
      <c r="G88" s="118" t="s">
        <v>69</v>
      </c>
      <c r="H88" s="118" t="s">
        <v>609</v>
      </c>
      <c r="I88" s="133">
        <v>13500000</v>
      </c>
      <c r="J88" s="118"/>
      <c r="K88" s="121"/>
      <c r="L88" s="121"/>
      <c r="M88" s="122">
        <f t="shared" si="1"/>
        <v>13500000</v>
      </c>
      <c r="N88" s="134">
        <v>1082925044</v>
      </c>
      <c r="O88" s="118" t="s">
        <v>955</v>
      </c>
      <c r="P88" s="116" t="s">
        <v>956</v>
      </c>
      <c r="Q88" s="124">
        <v>44973</v>
      </c>
      <c r="R88" s="124">
        <v>44973</v>
      </c>
      <c r="S88" s="124">
        <v>45107</v>
      </c>
      <c r="T88" s="125" t="s">
        <v>612</v>
      </c>
      <c r="U88" s="124"/>
      <c r="V88" s="124"/>
      <c r="W88" s="126"/>
      <c r="X88" s="127"/>
      <c r="Y88" s="121">
        <v>13500000</v>
      </c>
      <c r="Z88" s="120">
        <v>0</v>
      </c>
      <c r="AA88" s="128">
        <v>1</v>
      </c>
      <c r="AB88" s="119">
        <v>85155551</v>
      </c>
      <c r="AC88" s="123" t="s">
        <v>648</v>
      </c>
      <c r="AD88" s="116"/>
      <c r="AE88" s="116"/>
      <c r="AF88" s="125"/>
      <c r="AG88" s="129" t="s">
        <v>957</v>
      </c>
      <c r="AH88" s="119" t="s">
        <v>192</v>
      </c>
      <c r="AI88" s="119" t="s">
        <v>192</v>
      </c>
    </row>
    <row r="89" spans="1:35" s="130" customFormat="1" ht="17.25" customHeight="1" x14ac:dyDescent="0.25">
      <c r="A89" s="114">
        <v>891780111</v>
      </c>
      <c r="B89" s="115" t="s">
        <v>54</v>
      </c>
      <c r="C89" s="116" t="s">
        <v>57</v>
      </c>
      <c r="D89" s="115" t="s">
        <v>60</v>
      </c>
      <c r="E89" s="119" t="s">
        <v>958</v>
      </c>
      <c r="F89" s="118" t="s">
        <v>61</v>
      </c>
      <c r="G89" s="118" t="s">
        <v>69</v>
      </c>
      <c r="H89" s="118" t="s">
        <v>609</v>
      </c>
      <c r="I89" s="133">
        <v>7000000</v>
      </c>
      <c r="J89" s="118"/>
      <c r="K89" s="121"/>
      <c r="L89" s="121"/>
      <c r="M89" s="122">
        <f t="shared" si="1"/>
        <v>7000000</v>
      </c>
      <c r="N89" s="134">
        <v>12542861</v>
      </c>
      <c r="O89" s="118" t="s">
        <v>959</v>
      </c>
      <c r="P89" s="116" t="s">
        <v>960</v>
      </c>
      <c r="Q89" s="124">
        <v>44974</v>
      </c>
      <c r="R89" s="124">
        <v>44974</v>
      </c>
      <c r="S89" s="124">
        <v>44985</v>
      </c>
      <c r="T89" s="125" t="s">
        <v>612</v>
      </c>
      <c r="U89" s="124"/>
      <c r="V89" s="124"/>
      <c r="W89" s="126"/>
      <c r="X89" s="127"/>
      <c r="Y89" s="121">
        <v>7000000</v>
      </c>
      <c r="Z89" s="120">
        <v>0</v>
      </c>
      <c r="AA89" s="128">
        <v>1</v>
      </c>
      <c r="AB89" s="119">
        <v>84453903</v>
      </c>
      <c r="AC89" s="123" t="s">
        <v>894</v>
      </c>
      <c r="AD89" s="116"/>
      <c r="AE89" s="116"/>
      <c r="AF89" s="125"/>
      <c r="AG89" s="129" t="s">
        <v>961</v>
      </c>
      <c r="AH89" s="119" t="s">
        <v>192</v>
      </c>
      <c r="AI89" s="119" t="s">
        <v>192</v>
      </c>
    </row>
    <row r="90" spans="1:35" s="130" customFormat="1" ht="17.25" customHeight="1" x14ac:dyDescent="0.25">
      <c r="A90" s="114">
        <v>891780111</v>
      </c>
      <c r="B90" s="115" t="s">
        <v>54</v>
      </c>
      <c r="C90" s="116" t="s">
        <v>57</v>
      </c>
      <c r="D90" s="115" t="s">
        <v>60</v>
      </c>
      <c r="E90" s="119" t="s">
        <v>962</v>
      </c>
      <c r="F90" s="118" t="s">
        <v>61</v>
      </c>
      <c r="G90" s="118" t="s">
        <v>69</v>
      </c>
      <c r="H90" s="118" t="s">
        <v>609</v>
      </c>
      <c r="I90" s="133">
        <v>11628574</v>
      </c>
      <c r="J90" s="118"/>
      <c r="K90" s="121"/>
      <c r="L90" s="121"/>
      <c r="M90" s="122">
        <f t="shared" si="1"/>
        <v>11628574</v>
      </c>
      <c r="N90" s="134">
        <v>1082835588</v>
      </c>
      <c r="O90" s="118" t="s">
        <v>963</v>
      </c>
      <c r="P90" s="116" t="s">
        <v>964</v>
      </c>
      <c r="Q90" s="124">
        <v>44974</v>
      </c>
      <c r="R90" s="124">
        <v>44974</v>
      </c>
      <c r="S90" s="124">
        <v>45062</v>
      </c>
      <c r="T90" s="125" t="s">
        <v>612</v>
      </c>
      <c r="U90" s="124"/>
      <c r="V90" s="124"/>
      <c r="W90" s="126"/>
      <c r="X90" s="127"/>
      <c r="Y90" s="121">
        <v>11628574</v>
      </c>
      <c r="Z90" s="120">
        <v>0</v>
      </c>
      <c r="AA90" s="128">
        <v>1</v>
      </c>
      <c r="AB90" s="119">
        <v>77105457</v>
      </c>
      <c r="AC90" s="123" t="s">
        <v>965</v>
      </c>
      <c r="AD90" s="116"/>
      <c r="AE90" s="116"/>
      <c r="AF90" s="125"/>
      <c r="AG90" s="129" t="s">
        <v>966</v>
      </c>
      <c r="AH90" s="119" t="s">
        <v>192</v>
      </c>
      <c r="AI90" s="119" t="s">
        <v>192</v>
      </c>
    </row>
    <row r="91" spans="1:35" s="130" customFormat="1" ht="17.25" customHeight="1" x14ac:dyDescent="0.25">
      <c r="A91" s="114">
        <v>891780111</v>
      </c>
      <c r="B91" s="115" t="s">
        <v>54</v>
      </c>
      <c r="C91" s="116" t="s">
        <v>57</v>
      </c>
      <c r="D91" s="115" t="s">
        <v>60</v>
      </c>
      <c r="E91" s="119" t="s">
        <v>967</v>
      </c>
      <c r="F91" s="118" t="s">
        <v>61</v>
      </c>
      <c r="G91" s="118" t="s">
        <v>69</v>
      </c>
      <c r="H91" s="118" t="s">
        <v>609</v>
      </c>
      <c r="I91" s="133">
        <v>5600000</v>
      </c>
      <c r="J91" s="118"/>
      <c r="K91" s="121"/>
      <c r="L91" s="121"/>
      <c r="M91" s="122">
        <f t="shared" si="1"/>
        <v>5600000</v>
      </c>
      <c r="N91" s="134">
        <v>1082955683</v>
      </c>
      <c r="O91" s="118" t="s">
        <v>968</v>
      </c>
      <c r="P91" s="116" t="s">
        <v>969</v>
      </c>
      <c r="Q91" s="124">
        <v>44974</v>
      </c>
      <c r="R91" s="124">
        <v>44974</v>
      </c>
      <c r="S91" s="124">
        <v>45032</v>
      </c>
      <c r="T91" s="125" t="s">
        <v>612</v>
      </c>
      <c r="U91" s="124"/>
      <c r="V91" s="124"/>
      <c r="W91" s="126"/>
      <c r="X91" s="127"/>
      <c r="Y91" s="121">
        <v>2800000</v>
      </c>
      <c r="Z91" s="120">
        <v>2800000</v>
      </c>
      <c r="AA91" s="128">
        <v>0.5</v>
      </c>
      <c r="AB91" s="119">
        <v>52389076</v>
      </c>
      <c r="AC91" s="123" t="s">
        <v>970</v>
      </c>
      <c r="AD91" s="116"/>
      <c r="AE91" s="116"/>
      <c r="AF91" s="125"/>
      <c r="AG91" s="129" t="s">
        <v>971</v>
      </c>
      <c r="AH91" s="119" t="s">
        <v>192</v>
      </c>
      <c r="AI91" s="119" t="s">
        <v>192</v>
      </c>
    </row>
    <row r="92" spans="1:35" s="130" customFormat="1" ht="17.25" customHeight="1" x14ac:dyDescent="0.25">
      <c r="A92" s="114">
        <v>891780111</v>
      </c>
      <c r="B92" s="115" t="s">
        <v>54</v>
      </c>
      <c r="C92" s="116" t="s">
        <v>57</v>
      </c>
      <c r="D92" s="115" t="s">
        <v>60</v>
      </c>
      <c r="E92" s="119" t="s">
        <v>972</v>
      </c>
      <c r="F92" s="118" t="s">
        <v>61</v>
      </c>
      <c r="G92" s="118" t="s">
        <v>69</v>
      </c>
      <c r="H92" s="118" t="s">
        <v>609</v>
      </c>
      <c r="I92" s="133">
        <v>10587500</v>
      </c>
      <c r="J92" s="118"/>
      <c r="K92" s="121"/>
      <c r="L92" s="121"/>
      <c r="M92" s="122">
        <f t="shared" si="1"/>
        <v>10587500</v>
      </c>
      <c r="N92" s="134">
        <v>1140891541</v>
      </c>
      <c r="O92" s="118" t="s">
        <v>973</v>
      </c>
      <c r="P92" s="116" t="s">
        <v>974</v>
      </c>
      <c r="Q92" s="124">
        <v>44979</v>
      </c>
      <c r="R92" s="124">
        <v>44979</v>
      </c>
      <c r="S92" s="124">
        <v>45065</v>
      </c>
      <c r="T92" s="125" t="s">
        <v>612</v>
      </c>
      <c r="U92" s="124"/>
      <c r="V92" s="124"/>
      <c r="W92" s="126"/>
      <c r="X92" s="127"/>
      <c r="Y92" s="121">
        <v>10587500</v>
      </c>
      <c r="Z92" s="120">
        <v>0</v>
      </c>
      <c r="AA92" s="128">
        <v>1</v>
      </c>
      <c r="AB92" s="119">
        <v>79857491</v>
      </c>
      <c r="AC92" s="123" t="s">
        <v>975</v>
      </c>
      <c r="AD92" s="116"/>
      <c r="AE92" s="116"/>
      <c r="AF92" s="125"/>
      <c r="AG92" s="129" t="s">
        <v>976</v>
      </c>
      <c r="AH92" s="119" t="s">
        <v>192</v>
      </c>
      <c r="AI92" s="119" t="s">
        <v>192</v>
      </c>
    </row>
    <row r="93" spans="1:35" s="130" customFormat="1" ht="17.25" customHeight="1" x14ac:dyDescent="0.25">
      <c r="A93" s="114">
        <v>891780111</v>
      </c>
      <c r="B93" s="115" t="s">
        <v>54</v>
      </c>
      <c r="C93" s="116" t="s">
        <v>57</v>
      </c>
      <c r="D93" s="115" t="s">
        <v>60</v>
      </c>
      <c r="E93" s="119" t="s">
        <v>977</v>
      </c>
      <c r="F93" s="118" t="s">
        <v>61</v>
      </c>
      <c r="G93" s="118" t="s">
        <v>69</v>
      </c>
      <c r="H93" s="118" t="s">
        <v>609</v>
      </c>
      <c r="I93" s="133">
        <v>6800000</v>
      </c>
      <c r="J93" s="118"/>
      <c r="K93" s="121"/>
      <c r="L93" s="121"/>
      <c r="M93" s="122">
        <f t="shared" si="1"/>
        <v>6800000</v>
      </c>
      <c r="N93" s="134">
        <v>1003241982</v>
      </c>
      <c r="O93" s="118" t="s">
        <v>978</v>
      </c>
      <c r="P93" s="116" t="s">
        <v>979</v>
      </c>
      <c r="Q93" s="124">
        <v>44979</v>
      </c>
      <c r="R93" s="124">
        <v>44979</v>
      </c>
      <c r="S93" s="124">
        <v>45065</v>
      </c>
      <c r="T93" s="125" t="s">
        <v>612</v>
      </c>
      <c r="U93" s="124"/>
      <c r="V93" s="124"/>
      <c r="W93" s="126"/>
      <c r="X93" s="127"/>
      <c r="Y93" s="121">
        <v>6800000</v>
      </c>
      <c r="Z93" s="120">
        <v>0</v>
      </c>
      <c r="AA93" s="128">
        <v>1</v>
      </c>
      <c r="AB93" s="119">
        <v>79857491</v>
      </c>
      <c r="AC93" s="123" t="s">
        <v>980</v>
      </c>
      <c r="AD93" s="116"/>
      <c r="AE93" s="116"/>
      <c r="AF93" s="125"/>
      <c r="AG93" s="129" t="s">
        <v>981</v>
      </c>
      <c r="AH93" s="119" t="s">
        <v>192</v>
      </c>
      <c r="AI93" s="119" t="s">
        <v>192</v>
      </c>
    </row>
    <row r="94" spans="1:35" s="130" customFormat="1" ht="17.25" customHeight="1" x14ac:dyDescent="0.25">
      <c r="A94" s="114">
        <v>891780111</v>
      </c>
      <c r="B94" s="115" t="s">
        <v>54</v>
      </c>
      <c r="C94" s="116" t="s">
        <v>57</v>
      </c>
      <c r="D94" s="115" t="s">
        <v>60</v>
      </c>
      <c r="E94" s="119" t="s">
        <v>982</v>
      </c>
      <c r="F94" s="118" t="s">
        <v>61</v>
      </c>
      <c r="G94" s="118" t="s">
        <v>69</v>
      </c>
      <c r="H94" s="118" t="s">
        <v>609</v>
      </c>
      <c r="I94" s="133">
        <v>17000000</v>
      </c>
      <c r="J94" s="118"/>
      <c r="K94" s="121"/>
      <c r="L94" s="121"/>
      <c r="M94" s="122">
        <f t="shared" si="1"/>
        <v>17000000</v>
      </c>
      <c r="N94" s="134">
        <v>1082964235</v>
      </c>
      <c r="O94" s="118" t="s">
        <v>983</v>
      </c>
      <c r="P94" s="116" t="s">
        <v>984</v>
      </c>
      <c r="Q94" s="124">
        <v>44980</v>
      </c>
      <c r="R94" s="124">
        <v>44983</v>
      </c>
      <c r="S94" s="124">
        <v>45132</v>
      </c>
      <c r="T94" s="125" t="s">
        <v>612</v>
      </c>
      <c r="U94" s="124"/>
      <c r="V94" s="124"/>
      <c r="W94" s="126"/>
      <c r="X94" s="127"/>
      <c r="Y94" s="121">
        <v>14393333</v>
      </c>
      <c r="Z94" s="120">
        <v>2606667</v>
      </c>
      <c r="AA94" s="128">
        <v>0.84666664705882355</v>
      </c>
      <c r="AB94" s="119">
        <v>52389076</v>
      </c>
      <c r="AC94" s="123" t="s">
        <v>970</v>
      </c>
      <c r="AD94" s="116"/>
      <c r="AE94" s="116"/>
      <c r="AF94" s="125"/>
      <c r="AG94" s="129" t="s">
        <v>985</v>
      </c>
      <c r="AH94" s="119" t="s">
        <v>192</v>
      </c>
      <c r="AI94" s="119" t="s">
        <v>192</v>
      </c>
    </row>
    <row r="95" spans="1:35" s="130" customFormat="1" ht="17.25" customHeight="1" x14ac:dyDescent="0.25">
      <c r="A95" s="114">
        <v>891780111</v>
      </c>
      <c r="B95" s="115" t="s">
        <v>54</v>
      </c>
      <c r="C95" s="116" t="s">
        <v>57</v>
      </c>
      <c r="D95" s="115" t="s">
        <v>60</v>
      </c>
      <c r="E95" s="119" t="s">
        <v>986</v>
      </c>
      <c r="F95" s="118" t="s">
        <v>61</v>
      </c>
      <c r="G95" s="118" t="s">
        <v>69</v>
      </c>
      <c r="H95" s="118" t="s">
        <v>609</v>
      </c>
      <c r="I95" s="133">
        <v>27891770</v>
      </c>
      <c r="J95" s="118"/>
      <c r="K95" s="121"/>
      <c r="L95" s="121"/>
      <c r="M95" s="122">
        <f t="shared" si="1"/>
        <v>27891770</v>
      </c>
      <c r="N95" s="134">
        <v>1082968357</v>
      </c>
      <c r="O95" s="118" t="s">
        <v>987</v>
      </c>
      <c r="P95" s="116" t="s">
        <v>988</v>
      </c>
      <c r="Q95" s="124">
        <v>44980</v>
      </c>
      <c r="R95" s="124">
        <v>44980</v>
      </c>
      <c r="S95" s="124">
        <v>45291</v>
      </c>
      <c r="T95" s="125" t="s">
        <v>612</v>
      </c>
      <c r="U95" s="124"/>
      <c r="V95" s="124"/>
      <c r="W95" s="126"/>
      <c r="X95" s="127"/>
      <c r="Y95" s="121">
        <v>11538290</v>
      </c>
      <c r="Z95" s="120">
        <v>16353480</v>
      </c>
      <c r="AA95" s="128">
        <v>0.41368080978725985</v>
      </c>
      <c r="AB95" s="119">
        <v>79261513</v>
      </c>
      <c r="AC95" s="123" t="s">
        <v>989</v>
      </c>
      <c r="AD95" s="116"/>
      <c r="AE95" s="116"/>
      <c r="AF95" s="125"/>
      <c r="AG95" s="129" t="s">
        <v>990</v>
      </c>
      <c r="AH95" s="119" t="s">
        <v>192</v>
      </c>
      <c r="AI95" s="119" t="s">
        <v>192</v>
      </c>
    </row>
    <row r="96" spans="1:35" s="130" customFormat="1" ht="17.25" customHeight="1" x14ac:dyDescent="0.25">
      <c r="A96" s="114">
        <v>891780111</v>
      </c>
      <c r="B96" s="115" t="s">
        <v>54</v>
      </c>
      <c r="C96" s="116" t="s">
        <v>57</v>
      </c>
      <c r="D96" s="115" t="s">
        <v>60</v>
      </c>
      <c r="E96" s="119" t="s">
        <v>991</v>
      </c>
      <c r="F96" s="118" t="s">
        <v>61</v>
      </c>
      <c r="G96" s="118" t="s">
        <v>69</v>
      </c>
      <c r="H96" s="118" t="s">
        <v>609</v>
      </c>
      <c r="I96" s="135">
        <f>8608000+3392000</f>
        <v>12000000</v>
      </c>
      <c r="J96" s="118"/>
      <c r="K96" s="121"/>
      <c r="L96" s="121"/>
      <c r="M96" s="122">
        <f t="shared" si="1"/>
        <v>12000000</v>
      </c>
      <c r="N96" s="118">
        <v>1084788615</v>
      </c>
      <c r="O96" s="119" t="s">
        <v>992</v>
      </c>
      <c r="P96" s="116" t="s">
        <v>993</v>
      </c>
      <c r="Q96" s="124">
        <v>44986</v>
      </c>
      <c r="R96" s="124">
        <v>44986</v>
      </c>
      <c r="S96" s="124">
        <v>45107</v>
      </c>
      <c r="T96" s="125" t="s">
        <v>612</v>
      </c>
      <c r="U96" s="124"/>
      <c r="V96" s="124"/>
      <c r="W96" s="126"/>
      <c r="X96" s="127"/>
      <c r="Y96" s="121">
        <v>12000000</v>
      </c>
      <c r="Z96" s="120">
        <v>0</v>
      </c>
      <c r="AA96" s="128">
        <v>1</v>
      </c>
      <c r="AB96" s="119">
        <v>72004252</v>
      </c>
      <c r="AC96" s="117" t="s">
        <v>994</v>
      </c>
      <c r="AD96" s="116"/>
      <c r="AE96" s="116"/>
      <c r="AF96" s="125"/>
      <c r="AG96" s="129" t="s">
        <v>995</v>
      </c>
      <c r="AH96" s="119" t="s">
        <v>192</v>
      </c>
      <c r="AI96" s="119" t="s">
        <v>192</v>
      </c>
    </row>
    <row r="97" spans="1:35" s="130" customFormat="1" ht="17.25" customHeight="1" x14ac:dyDescent="0.25">
      <c r="A97" s="114">
        <v>891780111</v>
      </c>
      <c r="B97" s="115" t="s">
        <v>54</v>
      </c>
      <c r="C97" s="116" t="s">
        <v>57</v>
      </c>
      <c r="D97" s="115" t="s">
        <v>60</v>
      </c>
      <c r="E97" s="119" t="s">
        <v>996</v>
      </c>
      <c r="F97" s="118" t="s">
        <v>61</v>
      </c>
      <c r="G97" s="118" t="s">
        <v>69</v>
      </c>
      <c r="H97" s="118" t="s">
        <v>609</v>
      </c>
      <c r="I97" s="120">
        <v>4764000</v>
      </c>
      <c r="J97" s="118"/>
      <c r="K97" s="121"/>
      <c r="L97" s="121"/>
      <c r="M97" s="122">
        <f t="shared" si="1"/>
        <v>4764000</v>
      </c>
      <c r="N97" s="118">
        <v>1032388547</v>
      </c>
      <c r="O97" s="136" t="s">
        <v>997</v>
      </c>
      <c r="P97" s="116" t="s">
        <v>998</v>
      </c>
      <c r="Q97" s="124">
        <v>44986</v>
      </c>
      <c r="R97" s="124">
        <v>44986</v>
      </c>
      <c r="S97" s="124">
        <v>45016</v>
      </c>
      <c r="T97" s="125" t="s">
        <v>612</v>
      </c>
      <c r="U97" s="124"/>
      <c r="V97" s="124"/>
      <c r="W97" s="126"/>
      <c r="X97" s="127"/>
      <c r="Y97" s="121">
        <v>4764000</v>
      </c>
      <c r="Z97" s="120">
        <v>0</v>
      </c>
      <c r="AA97" s="128">
        <v>1</v>
      </c>
      <c r="AB97" s="119">
        <v>52705148</v>
      </c>
      <c r="AC97" s="136" t="s">
        <v>999</v>
      </c>
      <c r="AD97" s="116"/>
      <c r="AE97" s="116"/>
      <c r="AF97" s="125"/>
      <c r="AG97" s="129" t="s">
        <v>1000</v>
      </c>
      <c r="AH97" s="119" t="s">
        <v>192</v>
      </c>
      <c r="AI97" s="119" t="s">
        <v>192</v>
      </c>
    </row>
    <row r="98" spans="1:35" s="130" customFormat="1" ht="17.25" customHeight="1" x14ac:dyDescent="0.25">
      <c r="A98" s="114">
        <v>891780111</v>
      </c>
      <c r="B98" s="115" t="s">
        <v>54</v>
      </c>
      <c r="C98" s="116" t="s">
        <v>57</v>
      </c>
      <c r="D98" s="115" t="s">
        <v>60</v>
      </c>
      <c r="E98" s="119" t="s">
        <v>1001</v>
      </c>
      <c r="F98" s="118" t="s">
        <v>61</v>
      </c>
      <c r="G98" s="118" t="s">
        <v>69</v>
      </c>
      <c r="H98" s="118" t="s">
        <v>609</v>
      </c>
      <c r="I98" s="120">
        <v>1700000</v>
      </c>
      <c r="J98" s="118"/>
      <c r="K98" s="121"/>
      <c r="L98" s="121"/>
      <c r="M98" s="122">
        <f t="shared" si="1"/>
        <v>1700000</v>
      </c>
      <c r="N98" s="118">
        <v>1007934311</v>
      </c>
      <c r="O98" s="136" t="s">
        <v>1002</v>
      </c>
      <c r="P98" s="116" t="s">
        <v>1003</v>
      </c>
      <c r="Q98" s="124">
        <v>44986</v>
      </c>
      <c r="R98" s="124">
        <v>44986</v>
      </c>
      <c r="S98" s="124">
        <v>45016</v>
      </c>
      <c r="T98" s="125" t="s">
        <v>612</v>
      </c>
      <c r="U98" s="124"/>
      <c r="V98" s="124"/>
      <c r="W98" s="126"/>
      <c r="X98" s="127"/>
      <c r="Y98" s="121">
        <v>1700000</v>
      </c>
      <c r="Z98" s="120">
        <v>0</v>
      </c>
      <c r="AA98" s="128">
        <v>1</v>
      </c>
      <c r="AB98" s="119">
        <v>63563343</v>
      </c>
      <c r="AC98" s="136" t="s">
        <v>806</v>
      </c>
      <c r="AD98" s="116"/>
      <c r="AE98" s="116"/>
      <c r="AF98" s="125"/>
      <c r="AG98" s="129" t="s">
        <v>1004</v>
      </c>
      <c r="AH98" s="119" t="s">
        <v>192</v>
      </c>
      <c r="AI98" s="119" t="s">
        <v>192</v>
      </c>
    </row>
    <row r="99" spans="1:35" s="130" customFormat="1" ht="17.25" customHeight="1" x14ac:dyDescent="0.25">
      <c r="A99" s="114">
        <v>891780111</v>
      </c>
      <c r="B99" s="115" t="s">
        <v>54</v>
      </c>
      <c r="C99" s="116" t="s">
        <v>57</v>
      </c>
      <c r="D99" s="115" t="s">
        <v>60</v>
      </c>
      <c r="E99" s="119" t="s">
        <v>1005</v>
      </c>
      <c r="F99" s="118" t="s">
        <v>61</v>
      </c>
      <c r="G99" s="118" t="s">
        <v>69</v>
      </c>
      <c r="H99" s="118" t="s">
        <v>609</v>
      </c>
      <c r="I99" s="120">
        <v>13600000</v>
      </c>
      <c r="J99" s="118"/>
      <c r="K99" s="121"/>
      <c r="L99" s="121"/>
      <c r="M99" s="122">
        <f t="shared" si="1"/>
        <v>13600000</v>
      </c>
      <c r="N99" s="118">
        <v>1065637083</v>
      </c>
      <c r="O99" s="136" t="s">
        <v>1006</v>
      </c>
      <c r="P99" s="116" t="s">
        <v>1007</v>
      </c>
      <c r="Q99" s="124">
        <v>44986</v>
      </c>
      <c r="R99" s="124">
        <v>44986</v>
      </c>
      <c r="S99" s="124">
        <v>45107</v>
      </c>
      <c r="T99" s="125" t="s">
        <v>612</v>
      </c>
      <c r="U99" s="124"/>
      <c r="V99" s="124"/>
      <c r="W99" s="126"/>
      <c r="X99" s="127"/>
      <c r="Y99" s="121">
        <v>13600000</v>
      </c>
      <c r="Z99" s="120">
        <v>0</v>
      </c>
      <c r="AA99" s="128">
        <v>1</v>
      </c>
      <c r="AB99" s="119">
        <v>85155551</v>
      </c>
      <c r="AC99" s="136" t="s">
        <v>648</v>
      </c>
      <c r="AD99" s="116"/>
      <c r="AE99" s="116"/>
      <c r="AF99" s="125"/>
      <c r="AG99" s="129" t="s">
        <v>1008</v>
      </c>
      <c r="AH99" s="119" t="s">
        <v>192</v>
      </c>
      <c r="AI99" s="119" t="s">
        <v>192</v>
      </c>
    </row>
    <row r="100" spans="1:35" s="130" customFormat="1" ht="17.25" customHeight="1" x14ac:dyDescent="0.25">
      <c r="A100" s="114">
        <v>891780111</v>
      </c>
      <c r="B100" s="115" t="s">
        <v>54</v>
      </c>
      <c r="C100" s="116" t="s">
        <v>57</v>
      </c>
      <c r="D100" s="115" t="s">
        <v>60</v>
      </c>
      <c r="E100" s="119" t="s">
        <v>1009</v>
      </c>
      <c r="F100" s="118" t="s">
        <v>61</v>
      </c>
      <c r="G100" s="118" t="s">
        <v>69</v>
      </c>
      <c r="H100" s="118" t="s">
        <v>609</v>
      </c>
      <c r="I100" s="120">
        <v>14000000</v>
      </c>
      <c r="J100" s="118"/>
      <c r="K100" s="121"/>
      <c r="L100" s="121"/>
      <c r="M100" s="122">
        <f t="shared" si="1"/>
        <v>14000000</v>
      </c>
      <c r="N100" s="118">
        <v>1083011416</v>
      </c>
      <c r="O100" s="136" t="s">
        <v>1010</v>
      </c>
      <c r="P100" s="116" t="s">
        <v>1011</v>
      </c>
      <c r="Q100" s="124">
        <v>44986</v>
      </c>
      <c r="R100" s="124">
        <v>44986</v>
      </c>
      <c r="S100" s="124">
        <v>45138</v>
      </c>
      <c r="T100" s="125" t="s">
        <v>612</v>
      </c>
      <c r="U100" s="124"/>
      <c r="V100" s="124"/>
      <c r="W100" s="126"/>
      <c r="X100" s="127"/>
      <c r="Y100" s="121">
        <v>14000000</v>
      </c>
      <c r="Z100" s="120">
        <v>0</v>
      </c>
      <c r="AA100" s="128">
        <v>1</v>
      </c>
      <c r="AB100" s="119">
        <v>57461852</v>
      </c>
      <c r="AC100" s="136" t="s">
        <v>1012</v>
      </c>
      <c r="AD100" s="116"/>
      <c r="AE100" s="116"/>
      <c r="AF100" s="125"/>
      <c r="AG100" s="129" t="s">
        <v>1013</v>
      </c>
      <c r="AH100" s="119" t="s">
        <v>192</v>
      </c>
      <c r="AI100" s="119" t="s">
        <v>192</v>
      </c>
    </row>
    <row r="101" spans="1:35" s="130" customFormat="1" ht="17.25" customHeight="1" x14ac:dyDescent="0.25">
      <c r="A101" s="114">
        <v>891780111</v>
      </c>
      <c r="B101" s="115" t="s">
        <v>54</v>
      </c>
      <c r="C101" s="116" t="s">
        <v>57</v>
      </c>
      <c r="D101" s="115" t="s">
        <v>60</v>
      </c>
      <c r="E101" s="119" t="s">
        <v>1014</v>
      </c>
      <c r="F101" s="118" t="s">
        <v>61</v>
      </c>
      <c r="G101" s="118" t="s">
        <v>69</v>
      </c>
      <c r="H101" s="118" t="s">
        <v>609</v>
      </c>
      <c r="I101" s="120">
        <f>6000000+6000000</f>
        <v>12000000</v>
      </c>
      <c r="J101" s="118"/>
      <c r="K101" s="121"/>
      <c r="L101" s="121"/>
      <c r="M101" s="122">
        <f t="shared" si="1"/>
        <v>12000000</v>
      </c>
      <c r="N101" s="118">
        <v>1082934092</v>
      </c>
      <c r="O101" s="136" t="s">
        <v>818</v>
      </c>
      <c r="P101" s="116" t="s">
        <v>1015</v>
      </c>
      <c r="Q101" s="124">
        <v>44986</v>
      </c>
      <c r="R101" s="124">
        <v>44986</v>
      </c>
      <c r="S101" s="124">
        <v>45107</v>
      </c>
      <c r="T101" s="125" t="s">
        <v>612</v>
      </c>
      <c r="U101" s="124"/>
      <c r="V101" s="124"/>
      <c r="W101" s="126"/>
      <c r="X101" s="127"/>
      <c r="Y101" s="121">
        <v>12000000</v>
      </c>
      <c r="Z101" s="120">
        <v>0</v>
      </c>
      <c r="AA101" s="128">
        <v>1</v>
      </c>
      <c r="AB101" s="119">
        <v>57435262</v>
      </c>
      <c r="AC101" s="136" t="s">
        <v>1016</v>
      </c>
      <c r="AD101" s="116"/>
      <c r="AE101" s="116"/>
      <c r="AF101" s="125"/>
      <c r="AG101" s="129" t="s">
        <v>1017</v>
      </c>
      <c r="AH101" s="119" t="s">
        <v>192</v>
      </c>
      <c r="AI101" s="119" t="s">
        <v>192</v>
      </c>
    </row>
    <row r="102" spans="1:35" s="130" customFormat="1" ht="17.25" customHeight="1" x14ac:dyDescent="0.25">
      <c r="A102" s="114">
        <v>891780111</v>
      </c>
      <c r="B102" s="115" t="s">
        <v>54</v>
      </c>
      <c r="C102" s="116" t="s">
        <v>57</v>
      </c>
      <c r="D102" s="115" t="s">
        <v>60</v>
      </c>
      <c r="E102" s="119" t="s">
        <v>1018</v>
      </c>
      <c r="F102" s="118" t="s">
        <v>61</v>
      </c>
      <c r="G102" s="118" t="s">
        <v>69</v>
      </c>
      <c r="H102" s="118" t="s">
        <v>609</v>
      </c>
      <c r="I102" s="120">
        <v>12000000</v>
      </c>
      <c r="J102" s="118"/>
      <c r="K102" s="121"/>
      <c r="L102" s="121"/>
      <c r="M102" s="122">
        <f t="shared" si="1"/>
        <v>12000000</v>
      </c>
      <c r="N102" s="118">
        <v>1082374545</v>
      </c>
      <c r="O102" s="136" t="s">
        <v>828</v>
      </c>
      <c r="P102" s="116" t="s">
        <v>1019</v>
      </c>
      <c r="Q102" s="124">
        <v>44986</v>
      </c>
      <c r="R102" s="124">
        <v>44986</v>
      </c>
      <c r="S102" s="124">
        <v>45107</v>
      </c>
      <c r="T102" s="125" t="s">
        <v>612</v>
      </c>
      <c r="U102" s="124"/>
      <c r="V102" s="124"/>
      <c r="W102" s="126"/>
      <c r="X102" s="127"/>
      <c r="Y102" s="121">
        <v>12000000</v>
      </c>
      <c r="Z102" s="120">
        <v>0</v>
      </c>
      <c r="AA102" s="128">
        <v>1</v>
      </c>
      <c r="AB102" s="119">
        <v>36694483</v>
      </c>
      <c r="AC102" s="136" t="s">
        <v>1020</v>
      </c>
      <c r="AD102" s="116"/>
      <c r="AE102" s="116"/>
      <c r="AF102" s="125"/>
      <c r="AG102" s="129" t="s">
        <v>1021</v>
      </c>
      <c r="AH102" s="119" t="s">
        <v>192</v>
      </c>
      <c r="AI102" s="119" t="s">
        <v>192</v>
      </c>
    </row>
    <row r="103" spans="1:35" s="130" customFormat="1" ht="17.25" customHeight="1" x14ac:dyDescent="0.25">
      <c r="A103" s="114">
        <v>891780111</v>
      </c>
      <c r="B103" s="115" t="s">
        <v>54</v>
      </c>
      <c r="C103" s="116" t="s">
        <v>57</v>
      </c>
      <c r="D103" s="115" t="s">
        <v>60</v>
      </c>
      <c r="E103" s="119" t="s">
        <v>1022</v>
      </c>
      <c r="F103" s="118" t="s">
        <v>61</v>
      </c>
      <c r="G103" s="118" t="s">
        <v>69</v>
      </c>
      <c r="H103" s="118" t="s">
        <v>609</v>
      </c>
      <c r="I103" s="135">
        <v>3500000</v>
      </c>
      <c r="J103" s="118"/>
      <c r="K103" s="121"/>
      <c r="L103" s="121"/>
      <c r="M103" s="122">
        <f t="shared" si="1"/>
        <v>3500000</v>
      </c>
      <c r="N103" s="134">
        <v>1083023117</v>
      </c>
      <c r="O103" s="119" t="s">
        <v>1023</v>
      </c>
      <c r="P103" s="116" t="s">
        <v>1024</v>
      </c>
      <c r="Q103" s="124">
        <v>44988</v>
      </c>
      <c r="R103" s="124">
        <v>44988</v>
      </c>
      <c r="S103" s="124">
        <v>45015</v>
      </c>
      <c r="T103" s="125" t="s">
        <v>612</v>
      </c>
      <c r="U103" s="124"/>
      <c r="V103" s="124"/>
      <c r="W103" s="126"/>
      <c r="X103" s="127"/>
      <c r="Y103" s="121">
        <v>3500000</v>
      </c>
      <c r="Z103" s="120">
        <v>0</v>
      </c>
      <c r="AA103" s="128">
        <v>1</v>
      </c>
      <c r="AB103" s="119">
        <v>12533932</v>
      </c>
      <c r="AC103" s="136" t="s">
        <v>1025</v>
      </c>
      <c r="AD103" s="116"/>
      <c r="AE103" s="116"/>
      <c r="AF103" s="125"/>
      <c r="AG103" s="129" t="s">
        <v>1026</v>
      </c>
      <c r="AH103" s="119" t="s">
        <v>192</v>
      </c>
      <c r="AI103" s="119" t="s">
        <v>192</v>
      </c>
    </row>
    <row r="104" spans="1:35" s="130" customFormat="1" ht="17.25" customHeight="1" x14ac:dyDescent="0.25">
      <c r="A104" s="114">
        <v>891780111</v>
      </c>
      <c r="B104" s="115" t="s">
        <v>54</v>
      </c>
      <c r="C104" s="116" t="s">
        <v>57</v>
      </c>
      <c r="D104" s="115" t="s">
        <v>60</v>
      </c>
      <c r="E104" s="119" t="s">
        <v>1027</v>
      </c>
      <c r="F104" s="118" t="s">
        <v>61</v>
      </c>
      <c r="G104" s="118" t="s">
        <v>69</v>
      </c>
      <c r="H104" s="118" t="s">
        <v>609</v>
      </c>
      <c r="I104" s="120">
        <v>8325000</v>
      </c>
      <c r="J104" s="118"/>
      <c r="K104" s="121"/>
      <c r="L104" s="121"/>
      <c r="M104" s="122">
        <f t="shared" si="1"/>
        <v>8325000</v>
      </c>
      <c r="N104" s="134">
        <v>1065637083</v>
      </c>
      <c r="O104" s="119" t="s">
        <v>1006</v>
      </c>
      <c r="P104" s="116" t="s">
        <v>1028</v>
      </c>
      <c r="Q104" s="124">
        <v>44988</v>
      </c>
      <c r="R104" s="124">
        <v>44988</v>
      </c>
      <c r="S104" s="124">
        <v>45065</v>
      </c>
      <c r="T104" s="125" t="s">
        <v>612</v>
      </c>
      <c r="U104" s="124"/>
      <c r="V104" s="124"/>
      <c r="W104" s="126"/>
      <c r="X104" s="127"/>
      <c r="Y104" s="121">
        <v>8325000</v>
      </c>
      <c r="Z104" s="120">
        <v>0</v>
      </c>
      <c r="AA104" s="128">
        <v>1</v>
      </c>
      <c r="AB104" s="119">
        <v>79857491</v>
      </c>
      <c r="AC104" s="117" t="s">
        <v>975</v>
      </c>
      <c r="AD104" s="116"/>
      <c r="AE104" s="116"/>
      <c r="AF104" s="125"/>
      <c r="AG104" s="129" t="s">
        <v>1029</v>
      </c>
      <c r="AH104" s="119" t="s">
        <v>192</v>
      </c>
      <c r="AI104" s="119" t="s">
        <v>192</v>
      </c>
    </row>
    <row r="105" spans="1:35" s="130" customFormat="1" ht="17.25" customHeight="1" x14ac:dyDescent="0.25">
      <c r="A105" s="114">
        <v>891780111</v>
      </c>
      <c r="B105" s="115" t="s">
        <v>54</v>
      </c>
      <c r="C105" s="116" t="s">
        <v>57</v>
      </c>
      <c r="D105" s="115" t="s">
        <v>60</v>
      </c>
      <c r="E105" s="119" t="s">
        <v>1030</v>
      </c>
      <c r="F105" s="118" t="s">
        <v>61</v>
      </c>
      <c r="G105" s="118" t="s">
        <v>69</v>
      </c>
      <c r="H105" s="118" t="s">
        <v>609</v>
      </c>
      <c r="I105" s="120">
        <v>38400000</v>
      </c>
      <c r="J105" s="118"/>
      <c r="K105" s="121"/>
      <c r="L105" s="121"/>
      <c r="M105" s="122">
        <f t="shared" si="1"/>
        <v>38400000</v>
      </c>
      <c r="N105" s="134">
        <v>1082897496</v>
      </c>
      <c r="O105" s="119" t="s">
        <v>1031</v>
      </c>
      <c r="P105" s="116" t="s">
        <v>1032</v>
      </c>
      <c r="Q105" s="124">
        <v>44994</v>
      </c>
      <c r="R105" s="124">
        <v>44994</v>
      </c>
      <c r="S105" s="124">
        <v>45359</v>
      </c>
      <c r="T105" s="125" t="s">
        <v>612</v>
      </c>
      <c r="U105" s="124"/>
      <c r="V105" s="124"/>
      <c r="W105" s="126"/>
      <c r="X105" s="127"/>
      <c r="Y105" s="121">
        <v>12800000</v>
      </c>
      <c r="Z105" s="120">
        <v>25600000</v>
      </c>
      <c r="AA105" s="128">
        <v>0.33333333333333337</v>
      </c>
      <c r="AB105" s="119">
        <v>51909946</v>
      </c>
      <c r="AC105" s="117" t="s">
        <v>1033</v>
      </c>
      <c r="AD105" s="116"/>
      <c r="AE105" s="116"/>
      <c r="AF105" s="125"/>
      <c r="AG105" s="129" t="s">
        <v>1034</v>
      </c>
      <c r="AH105" s="119" t="s">
        <v>192</v>
      </c>
      <c r="AI105" s="119" t="s">
        <v>192</v>
      </c>
    </row>
    <row r="106" spans="1:35" s="130" customFormat="1" ht="17.25" customHeight="1" x14ac:dyDescent="0.25">
      <c r="A106" s="114">
        <v>891780111</v>
      </c>
      <c r="B106" s="115" t="s">
        <v>54</v>
      </c>
      <c r="C106" s="116" t="s">
        <v>57</v>
      </c>
      <c r="D106" s="115" t="s">
        <v>60</v>
      </c>
      <c r="E106" s="119" t="s">
        <v>1035</v>
      </c>
      <c r="F106" s="118" t="s">
        <v>61</v>
      </c>
      <c r="G106" s="118" t="s">
        <v>69</v>
      </c>
      <c r="H106" s="118" t="s">
        <v>609</v>
      </c>
      <c r="I106" s="120">
        <v>5000000</v>
      </c>
      <c r="J106" s="118"/>
      <c r="K106" s="121"/>
      <c r="L106" s="121"/>
      <c r="M106" s="122">
        <f t="shared" si="1"/>
        <v>5000000</v>
      </c>
      <c r="N106" s="134">
        <v>1083028660</v>
      </c>
      <c r="O106" s="119" t="s">
        <v>1036</v>
      </c>
      <c r="P106" s="116" t="s">
        <v>1037</v>
      </c>
      <c r="Q106" s="124">
        <v>44995</v>
      </c>
      <c r="R106" s="124">
        <v>44995</v>
      </c>
      <c r="S106" s="124">
        <v>45055</v>
      </c>
      <c r="T106" s="125" t="s">
        <v>612</v>
      </c>
      <c r="U106" s="124"/>
      <c r="V106" s="124"/>
      <c r="W106" s="126"/>
      <c r="X106" s="127"/>
      <c r="Y106" s="121">
        <v>5000000</v>
      </c>
      <c r="Z106" s="120">
        <v>0</v>
      </c>
      <c r="AA106" s="128">
        <v>1</v>
      </c>
      <c r="AB106" s="119">
        <v>388258</v>
      </c>
      <c r="AC106" s="117" t="s">
        <v>1038</v>
      </c>
      <c r="AD106" s="116"/>
      <c r="AE106" s="116"/>
      <c r="AF106" s="125"/>
      <c r="AG106" s="129" t="s">
        <v>1039</v>
      </c>
      <c r="AH106" s="119" t="s">
        <v>192</v>
      </c>
      <c r="AI106" s="119" t="s">
        <v>192</v>
      </c>
    </row>
    <row r="107" spans="1:35" s="130" customFormat="1" ht="17.25" customHeight="1" x14ac:dyDescent="0.25">
      <c r="A107" s="114">
        <v>891780111</v>
      </c>
      <c r="B107" s="115" t="s">
        <v>54</v>
      </c>
      <c r="C107" s="116" t="s">
        <v>57</v>
      </c>
      <c r="D107" s="115" t="s">
        <v>60</v>
      </c>
      <c r="E107" s="119" t="s">
        <v>1040</v>
      </c>
      <c r="F107" s="118" t="s">
        <v>61</v>
      </c>
      <c r="G107" s="118" t="s">
        <v>69</v>
      </c>
      <c r="H107" s="118" t="s">
        <v>609</v>
      </c>
      <c r="I107" s="120">
        <v>26438126</v>
      </c>
      <c r="J107" s="118"/>
      <c r="K107" s="121"/>
      <c r="L107" s="121"/>
      <c r="M107" s="122">
        <f t="shared" si="1"/>
        <v>26438126</v>
      </c>
      <c r="N107" s="134">
        <v>85490292</v>
      </c>
      <c r="O107" s="119" t="s">
        <v>1041</v>
      </c>
      <c r="P107" s="116" t="s">
        <v>1042</v>
      </c>
      <c r="Q107" s="124">
        <v>44995</v>
      </c>
      <c r="R107" s="124">
        <v>44995</v>
      </c>
      <c r="S107" s="124">
        <v>45291</v>
      </c>
      <c r="T107" s="125" t="s">
        <v>612</v>
      </c>
      <c r="U107" s="124"/>
      <c r="V107" s="124"/>
      <c r="W107" s="126"/>
      <c r="X107" s="127"/>
      <c r="Y107" s="121">
        <v>8176740</v>
      </c>
      <c r="Z107" s="120">
        <v>18261386</v>
      </c>
      <c r="AA107" s="128">
        <v>0.30927835051546393</v>
      </c>
      <c r="AB107" s="119">
        <v>85464565</v>
      </c>
      <c r="AC107" s="117" t="s">
        <v>1043</v>
      </c>
      <c r="AD107" s="116"/>
      <c r="AE107" s="116"/>
      <c r="AF107" s="125"/>
      <c r="AG107" s="129" t="s">
        <v>1044</v>
      </c>
      <c r="AH107" s="119" t="s">
        <v>192</v>
      </c>
      <c r="AI107" s="119" t="s">
        <v>192</v>
      </c>
    </row>
    <row r="108" spans="1:35" s="130" customFormat="1" ht="17.25" customHeight="1" x14ac:dyDescent="0.25">
      <c r="A108" s="114">
        <v>891780111</v>
      </c>
      <c r="B108" s="115" t="s">
        <v>54</v>
      </c>
      <c r="C108" s="116" t="s">
        <v>57</v>
      </c>
      <c r="D108" s="115" t="s">
        <v>60</v>
      </c>
      <c r="E108" s="119" t="s">
        <v>1045</v>
      </c>
      <c r="F108" s="118" t="s">
        <v>61</v>
      </c>
      <c r="G108" s="118" t="s">
        <v>69</v>
      </c>
      <c r="H108" s="118" t="s">
        <v>609</v>
      </c>
      <c r="I108" s="120">
        <v>10800000</v>
      </c>
      <c r="J108" s="118"/>
      <c r="K108" s="121"/>
      <c r="L108" s="121"/>
      <c r="M108" s="122">
        <f t="shared" si="1"/>
        <v>10800000</v>
      </c>
      <c r="N108" s="134">
        <v>1082936555</v>
      </c>
      <c r="O108" s="136" t="s">
        <v>1046</v>
      </c>
      <c r="P108" s="116" t="s">
        <v>732</v>
      </c>
      <c r="Q108" s="124">
        <v>44998</v>
      </c>
      <c r="R108" s="124">
        <v>44998</v>
      </c>
      <c r="S108" s="124">
        <v>45107</v>
      </c>
      <c r="T108" s="125" t="s">
        <v>612</v>
      </c>
      <c r="U108" s="124"/>
      <c r="V108" s="124"/>
      <c r="W108" s="126"/>
      <c r="X108" s="127"/>
      <c r="Y108" s="121">
        <v>10800000</v>
      </c>
      <c r="Z108" s="120">
        <v>0</v>
      </c>
      <c r="AA108" s="128">
        <v>1</v>
      </c>
      <c r="AB108" s="119">
        <v>85155551</v>
      </c>
      <c r="AC108" s="136" t="s">
        <v>648</v>
      </c>
      <c r="AD108" s="116"/>
      <c r="AE108" s="116"/>
      <c r="AF108" s="125"/>
      <c r="AG108" s="129" t="s">
        <v>1047</v>
      </c>
      <c r="AH108" s="119" t="s">
        <v>192</v>
      </c>
      <c r="AI108" s="119" t="s">
        <v>192</v>
      </c>
    </row>
    <row r="109" spans="1:35" s="130" customFormat="1" ht="17.25" customHeight="1" x14ac:dyDescent="0.25">
      <c r="A109" s="114">
        <v>891780111</v>
      </c>
      <c r="B109" s="115" t="s">
        <v>54</v>
      </c>
      <c r="C109" s="116" t="s">
        <v>57</v>
      </c>
      <c r="D109" s="115" t="s">
        <v>60</v>
      </c>
      <c r="E109" s="119" t="s">
        <v>1048</v>
      </c>
      <c r="F109" s="118" t="s">
        <v>61</v>
      </c>
      <c r="G109" s="118" t="s">
        <v>69</v>
      </c>
      <c r="H109" s="118" t="s">
        <v>609</v>
      </c>
      <c r="I109" s="120">
        <v>10800000</v>
      </c>
      <c r="J109" s="118"/>
      <c r="K109" s="121"/>
      <c r="L109" s="121"/>
      <c r="M109" s="122">
        <f t="shared" si="1"/>
        <v>10800000</v>
      </c>
      <c r="N109" s="134">
        <v>1082958642</v>
      </c>
      <c r="O109" s="136" t="s">
        <v>1049</v>
      </c>
      <c r="P109" s="116" t="s">
        <v>1050</v>
      </c>
      <c r="Q109" s="124">
        <v>44998</v>
      </c>
      <c r="R109" s="124">
        <v>44998</v>
      </c>
      <c r="S109" s="124">
        <v>45107</v>
      </c>
      <c r="T109" s="125" t="s">
        <v>612</v>
      </c>
      <c r="U109" s="124"/>
      <c r="V109" s="124"/>
      <c r="W109" s="126"/>
      <c r="X109" s="127"/>
      <c r="Y109" s="121">
        <v>10800000</v>
      </c>
      <c r="Z109" s="120">
        <v>0</v>
      </c>
      <c r="AA109" s="128">
        <v>1</v>
      </c>
      <c r="AB109" s="119">
        <v>85155551</v>
      </c>
      <c r="AC109" s="136" t="s">
        <v>648</v>
      </c>
      <c r="AD109" s="116"/>
      <c r="AE109" s="116"/>
      <c r="AF109" s="125"/>
      <c r="AG109" s="129" t="s">
        <v>1051</v>
      </c>
      <c r="AH109" s="119" t="s">
        <v>192</v>
      </c>
      <c r="AI109" s="119" t="s">
        <v>192</v>
      </c>
    </row>
    <row r="110" spans="1:35" s="130" customFormat="1" ht="17.25" customHeight="1" x14ac:dyDescent="0.25">
      <c r="A110" s="114">
        <v>891780111</v>
      </c>
      <c r="B110" s="115" t="s">
        <v>54</v>
      </c>
      <c r="C110" s="116" t="s">
        <v>57</v>
      </c>
      <c r="D110" s="115" t="s">
        <v>60</v>
      </c>
      <c r="E110" s="119" t="s">
        <v>1052</v>
      </c>
      <c r="F110" s="118" t="s">
        <v>61</v>
      </c>
      <c r="G110" s="118" t="s">
        <v>69</v>
      </c>
      <c r="H110" s="118" t="s">
        <v>609</v>
      </c>
      <c r="I110" s="137">
        <v>7200000</v>
      </c>
      <c r="J110" s="118">
        <v>1</v>
      </c>
      <c r="K110" s="121">
        <v>1200000</v>
      </c>
      <c r="L110" s="121"/>
      <c r="M110" s="122">
        <f t="shared" si="1"/>
        <v>8400000</v>
      </c>
      <c r="N110" s="134">
        <v>1082995011</v>
      </c>
      <c r="O110" s="123" t="s">
        <v>1053</v>
      </c>
      <c r="P110" s="116" t="s">
        <v>1054</v>
      </c>
      <c r="Q110" s="124">
        <v>45000</v>
      </c>
      <c r="R110" s="124">
        <v>45000</v>
      </c>
      <c r="S110" s="124">
        <v>45091</v>
      </c>
      <c r="T110" s="125" t="s">
        <v>612</v>
      </c>
      <c r="U110" s="124"/>
      <c r="V110" s="124"/>
      <c r="W110" s="126">
        <v>45106</v>
      </c>
      <c r="X110" s="127">
        <v>1</v>
      </c>
      <c r="Y110" s="121">
        <v>8400000</v>
      </c>
      <c r="Z110" s="120">
        <v>0</v>
      </c>
      <c r="AA110" s="128">
        <v>1</v>
      </c>
      <c r="AB110" s="119">
        <v>84452442</v>
      </c>
      <c r="AC110" s="123" t="s">
        <v>1055</v>
      </c>
      <c r="AD110" s="116"/>
      <c r="AE110" s="116"/>
      <c r="AF110" s="125"/>
      <c r="AG110" s="129" t="s">
        <v>1056</v>
      </c>
      <c r="AH110" s="119" t="s">
        <v>192</v>
      </c>
      <c r="AI110" s="119" t="s">
        <v>192</v>
      </c>
    </row>
    <row r="111" spans="1:35" s="130" customFormat="1" ht="17.25" customHeight="1" x14ac:dyDescent="0.25">
      <c r="A111" s="114">
        <v>891780111</v>
      </c>
      <c r="B111" s="115" t="s">
        <v>54</v>
      </c>
      <c r="C111" s="116" t="s">
        <v>57</v>
      </c>
      <c r="D111" s="115" t="s">
        <v>60</v>
      </c>
      <c r="E111" s="119" t="s">
        <v>1057</v>
      </c>
      <c r="F111" s="118" t="s">
        <v>61</v>
      </c>
      <c r="G111" s="118" t="s">
        <v>69</v>
      </c>
      <c r="H111" s="118" t="s">
        <v>609</v>
      </c>
      <c r="I111" s="137">
        <v>5743100</v>
      </c>
      <c r="J111" s="118"/>
      <c r="K111" s="121"/>
      <c r="L111" s="121"/>
      <c r="M111" s="122">
        <f t="shared" si="1"/>
        <v>5743100</v>
      </c>
      <c r="N111" s="134">
        <v>1083017290</v>
      </c>
      <c r="O111" s="123" t="s">
        <v>1058</v>
      </c>
      <c r="P111" s="116" t="s">
        <v>1059</v>
      </c>
      <c r="Q111" s="124">
        <v>45000</v>
      </c>
      <c r="R111" s="124">
        <v>45000</v>
      </c>
      <c r="S111" s="124">
        <v>45030</v>
      </c>
      <c r="T111" s="125" t="s">
        <v>612</v>
      </c>
      <c r="U111" s="124"/>
      <c r="V111" s="124"/>
      <c r="W111" s="126"/>
      <c r="X111" s="127"/>
      <c r="Y111" s="121">
        <v>5743100</v>
      </c>
      <c r="Z111" s="120">
        <v>0</v>
      </c>
      <c r="AA111" s="128">
        <v>1</v>
      </c>
      <c r="AB111" s="119">
        <v>52705148</v>
      </c>
      <c r="AC111" s="123" t="s">
        <v>1060</v>
      </c>
      <c r="AD111" s="116"/>
      <c r="AE111" s="116"/>
      <c r="AF111" s="125"/>
      <c r="AG111" s="129" t="s">
        <v>1061</v>
      </c>
      <c r="AH111" s="119" t="s">
        <v>192</v>
      </c>
      <c r="AI111" s="119" t="s">
        <v>192</v>
      </c>
    </row>
    <row r="112" spans="1:35" s="130" customFormat="1" ht="17.25" customHeight="1" x14ac:dyDescent="0.25">
      <c r="A112" s="114">
        <v>891780111</v>
      </c>
      <c r="B112" s="115" t="s">
        <v>54</v>
      </c>
      <c r="C112" s="116" t="s">
        <v>57</v>
      </c>
      <c r="D112" s="115" t="s">
        <v>60</v>
      </c>
      <c r="E112" s="119" t="s">
        <v>1062</v>
      </c>
      <c r="F112" s="118" t="s">
        <v>61</v>
      </c>
      <c r="G112" s="118" t="s">
        <v>69</v>
      </c>
      <c r="H112" s="118" t="s">
        <v>609</v>
      </c>
      <c r="I112" s="137">
        <v>9252520</v>
      </c>
      <c r="J112" s="118"/>
      <c r="K112" s="121"/>
      <c r="L112" s="121"/>
      <c r="M112" s="122">
        <f t="shared" si="1"/>
        <v>9252520</v>
      </c>
      <c r="N112" s="134">
        <v>1004501507</v>
      </c>
      <c r="O112" s="123" t="s">
        <v>1063</v>
      </c>
      <c r="P112" s="116" t="s">
        <v>1064</v>
      </c>
      <c r="Q112" s="124">
        <v>45000</v>
      </c>
      <c r="R112" s="124">
        <v>45000</v>
      </c>
      <c r="S112" s="124">
        <v>45030</v>
      </c>
      <c r="T112" s="125" t="s">
        <v>612</v>
      </c>
      <c r="U112" s="124"/>
      <c r="V112" s="124"/>
      <c r="W112" s="126"/>
      <c r="X112" s="127"/>
      <c r="Y112" s="121">
        <v>9252520</v>
      </c>
      <c r="Z112" s="120">
        <v>0</v>
      </c>
      <c r="AA112" s="128">
        <v>1</v>
      </c>
      <c r="AB112" s="119">
        <v>52705148</v>
      </c>
      <c r="AC112" s="123" t="s">
        <v>1060</v>
      </c>
      <c r="AD112" s="116"/>
      <c r="AE112" s="116"/>
      <c r="AF112" s="125"/>
      <c r="AG112" s="129" t="s">
        <v>1065</v>
      </c>
      <c r="AH112" s="119" t="s">
        <v>192</v>
      </c>
      <c r="AI112" s="119" t="s">
        <v>192</v>
      </c>
    </row>
    <row r="113" spans="1:35" s="130" customFormat="1" ht="17.25" customHeight="1" x14ac:dyDescent="0.25">
      <c r="A113" s="114">
        <v>891780111</v>
      </c>
      <c r="B113" s="115" t="s">
        <v>54</v>
      </c>
      <c r="C113" s="116" t="s">
        <v>57</v>
      </c>
      <c r="D113" s="115" t="s">
        <v>60</v>
      </c>
      <c r="E113" s="119" t="s">
        <v>1066</v>
      </c>
      <c r="F113" s="118" t="s">
        <v>61</v>
      </c>
      <c r="G113" s="118" t="s">
        <v>69</v>
      </c>
      <c r="H113" s="118" t="s">
        <v>609</v>
      </c>
      <c r="I113" s="137">
        <v>11109380</v>
      </c>
      <c r="J113" s="118"/>
      <c r="K113" s="121"/>
      <c r="L113" s="121"/>
      <c r="M113" s="122">
        <f t="shared" si="1"/>
        <v>11109380</v>
      </c>
      <c r="N113" s="134">
        <v>1083029014</v>
      </c>
      <c r="O113" s="123" t="s">
        <v>1067</v>
      </c>
      <c r="P113" s="116" t="s">
        <v>1068</v>
      </c>
      <c r="Q113" s="124">
        <v>45000</v>
      </c>
      <c r="R113" s="124">
        <v>45000</v>
      </c>
      <c r="S113" s="124">
        <v>45030</v>
      </c>
      <c r="T113" s="125" t="s">
        <v>612</v>
      </c>
      <c r="U113" s="124"/>
      <c r="V113" s="124"/>
      <c r="W113" s="126"/>
      <c r="X113" s="127"/>
      <c r="Y113" s="121">
        <v>11109380</v>
      </c>
      <c r="Z113" s="120">
        <v>0</v>
      </c>
      <c r="AA113" s="128">
        <v>1</v>
      </c>
      <c r="AB113" s="119">
        <v>52705148</v>
      </c>
      <c r="AC113" s="123" t="s">
        <v>999</v>
      </c>
      <c r="AD113" s="116"/>
      <c r="AE113" s="116"/>
      <c r="AF113" s="125"/>
      <c r="AG113" s="129" t="s">
        <v>1069</v>
      </c>
      <c r="AH113" s="119" t="s">
        <v>192</v>
      </c>
      <c r="AI113" s="119" t="s">
        <v>192</v>
      </c>
    </row>
    <row r="114" spans="1:35" s="130" customFormat="1" ht="17.25" customHeight="1" x14ac:dyDescent="0.25">
      <c r="A114" s="114">
        <v>891780111</v>
      </c>
      <c r="B114" s="115" t="s">
        <v>54</v>
      </c>
      <c r="C114" s="116" t="s">
        <v>57</v>
      </c>
      <c r="D114" s="115" t="s">
        <v>60</v>
      </c>
      <c r="E114" s="119" t="s">
        <v>1070</v>
      </c>
      <c r="F114" s="118" t="s">
        <v>61</v>
      </c>
      <c r="G114" s="118" t="s">
        <v>69</v>
      </c>
      <c r="H114" s="118" t="s">
        <v>609</v>
      </c>
      <c r="I114" s="137">
        <v>10000000</v>
      </c>
      <c r="J114" s="118">
        <v>1</v>
      </c>
      <c r="K114" s="121">
        <v>5000000</v>
      </c>
      <c r="L114" s="121"/>
      <c r="M114" s="122">
        <f t="shared" si="1"/>
        <v>15000000</v>
      </c>
      <c r="N114" s="118">
        <v>52695882</v>
      </c>
      <c r="O114" s="123" t="s">
        <v>646</v>
      </c>
      <c r="P114" s="116" t="s">
        <v>1071</v>
      </c>
      <c r="Q114" s="124">
        <v>45002</v>
      </c>
      <c r="R114" s="124">
        <v>45002</v>
      </c>
      <c r="S114" s="124">
        <v>45062</v>
      </c>
      <c r="T114" s="125" t="s">
        <v>612</v>
      </c>
      <c r="U114" s="124"/>
      <c r="V114" s="124"/>
      <c r="W114" s="126">
        <v>45093</v>
      </c>
      <c r="X114" s="127">
        <v>1</v>
      </c>
      <c r="Y114" s="121">
        <v>15000000</v>
      </c>
      <c r="Z114" s="120">
        <v>0</v>
      </c>
      <c r="AA114" s="128">
        <v>1</v>
      </c>
      <c r="AB114" s="119">
        <v>85155551</v>
      </c>
      <c r="AC114" s="123" t="s">
        <v>648</v>
      </c>
      <c r="AD114" s="116"/>
      <c r="AE114" s="116"/>
      <c r="AF114" s="125"/>
      <c r="AG114" s="129" t="s">
        <v>1072</v>
      </c>
      <c r="AH114" s="119" t="s">
        <v>192</v>
      </c>
      <c r="AI114" s="119" t="s">
        <v>192</v>
      </c>
    </row>
    <row r="115" spans="1:35" s="130" customFormat="1" ht="17.25" customHeight="1" x14ac:dyDescent="0.25">
      <c r="A115" s="114">
        <v>891780111</v>
      </c>
      <c r="B115" s="115" t="s">
        <v>54</v>
      </c>
      <c r="C115" s="116" t="s">
        <v>57</v>
      </c>
      <c r="D115" s="115" t="s">
        <v>60</v>
      </c>
      <c r="E115" s="119" t="s">
        <v>1073</v>
      </c>
      <c r="F115" s="118" t="s">
        <v>61</v>
      </c>
      <c r="G115" s="118" t="s">
        <v>69</v>
      </c>
      <c r="H115" s="118" t="s">
        <v>609</v>
      </c>
      <c r="I115" s="137">
        <v>7200000</v>
      </c>
      <c r="J115" s="118">
        <v>1</v>
      </c>
      <c r="K115" s="121">
        <v>1200000</v>
      </c>
      <c r="L115" s="121"/>
      <c r="M115" s="122">
        <f t="shared" si="1"/>
        <v>8400000</v>
      </c>
      <c r="N115" s="118">
        <v>1122413942</v>
      </c>
      <c r="O115" s="123" t="s">
        <v>1074</v>
      </c>
      <c r="P115" s="116" t="s">
        <v>1075</v>
      </c>
      <c r="Q115" s="124">
        <v>45002</v>
      </c>
      <c r="R115" s="124">
        <v>45002</v>
      </c>
      <c r="S115" s="124">
        <v>45093</v>
      </c>
      <c r="T115" s="125" t="s">
        <v>612</v>
      </c>
      <c r="U115" s="124"/>
      <c r="V115" s="124"/>
      <c r="W115" s="126">
        <v>45107</v>
      </c>
      <c r="X115" s="127">
        <v>1</v>
      </c>
      <c r="Y115" s="121">
        <v>8400000</v>
      </c>
      <c r="Z115" s="120">
        <v>0</v>
      </c>
      <c r="AA115" s="128">
        <v>1</v>
      </c>
      <c r="AB115" s="119">
        <v>84452442</v>
      </c>
      <c r="AC115" s="123" t="s">
        <v>1055</v>
      </c>
      <c r="AD115" s="116"/>
      <c r="AE115" s="116"/>
      <c r="AF115" s="125"/>
      <c r="AG115" s="129" t="s">
        <v>1076</v>
      </c>
      <c r="AH115" s="119" t="s">
        <v>192</v>
      </c>
      <c r="AI115" s="119" t="s">
        <v>192</v>
      </c>
    </row>
    <row r="116" spans="1:35" s="130" customFormat="1" ht="17.25" customHeight="1" x14ac:dyDescent="0.25">
      <c r="A116" s="114">
        <v>891780111</v>
      </c>
      <c r="B116" s="115" t="s">
        <v>54</v>
      </c>
      <c r="C116" s="116" t="s">
        <v>57</v>
      </c>
      <c r="D116" s="115" t="s">
        <v>60</v>
      </c>
      <c r="E116" s="119" t="s">
        <v>1077</v>
      </c>
      <c r="F116" s="118" t="s">
        <v>61</v>
      </c>
      <c r="G116" s="118" t="s">
        <v>69</v>
      </c>
      <c r="H116" s="118" t="s">
        <v>609</v>
      </c>
      <c r="I116" s="137">
        <v>5350000</v>
      </c>
      <c r="J116" s="118"/>
      <c r="K116" s="121"/>
      <c r="L116" s="121"/>
      <c r="M116" s="122">
        <f t="shared" si="1"/>
        <v>5350000</v>
      </c>
      <c r="N116" s="118">
        <v>74080488</v>
      </c>
      <c r="O116" s="123" t="s">
        <v>1078</v>
      </c>
      <c r="P116" s="116" t="s">
        <v>1079</v>
      </c>
      <c r="Q116" s="124">
        <v>45002</v>
      </c>
      <c r="R116" s="124">
        <v>45002</v>
      </c>
      <c r="S116" s="124">
        <v>45016</v>
      </c>
      <c r="T116" s="125" t="s">
        <v>612</v>
      </c>
      <c r="U116" s="124"/>
      <c r="V116" s="124"/>
      <c r="W116" s="126"/>
      <c r="X116" s="127"/>
      <c r="Y116" s="121">
        <v>5350000</v>
      </c>
      <c r="Z116" s="120">
        <v>0</v>
      </c>
      <c r="AA116" s="128">
        <v>1</v>
      </c>
      <c r="AB116" s="119">
        <v>73164685</v>
      </c>
      <c r="AC116" s="123" t="s">
        <v>1080</v>
      </c>
      <c r="AD116" s="116"/>
      <c r="AE116" s="116"/>
      <c r="AF116" s="125"/>
      <c r="AG116" s="129" t="s">
        <v>1081</v>
      </c>
      <c r="AH116" s="119" t="s">
        <v>192</v>
      </c>
      <c r="AI116" s="119" t="s">
        <v>192</v>
      </c>
    </row>
    <row r="117" spans="1:35" s="130" customFormat="1" ht="17.25" customHeight="1" x14ac:dyDescent="0.25">
      <c r="A117" s="114">
        <v>891780111</v>
      </c>
      <c r="B117" s="115" t="s">
        <v>54</v>
      </c>
      <c r="C117" s="116" t="s">
        <v>57</v>
      </c>
      <c r="D117" s="115" t="s">
        <v>60</v>
      </c>
      <c r="E117" s="119" t="s">
        <v>1082</v>
      </c>
      <c r="F117" s="118" t="s">
        <v>61</v>
      </c>
      <c r="G117" s="118" t="s">
        <v>69</v>
      </c>
      <c r="H117" s="118" t="s">
        <v>609</v>
      </c>
      <c r="I117" s="137">
        <v>1700000</v>
      </c>
      <c r="J117" s="118"/>
      <c r="K117" s="121"/>
      <c r="L117" s="121"/>
      <c r="M117" s="122">
        <f t="shared" si="1"/>
        <v>1700000</v>
      </c>
      <c r="N117" s="118">
        <v>1037668750</v>
      </c>
      <c r="O117" s="123" t="s">
        <v>1083</v>
      </c>
      <c r="P117" s="116" t="s">
        <v>1084</v>
      </c>
      <c r="Q117" s="124">
        <v>45006</v>
      </c>
      <c r="R117" s="124">
        <v>45006</v>
      </c>
      <c r="S117" s="124">
        <v>45036</v>
      </c>
      <c r="T117" s="125" t="s">
        <v>612</v>
      </c>
      <c r="U117" s="124"/>
      <c r="V117" s="124"/>
      <c r="W117" s="126"/>
      <c r="X117" s="127"/>
      <c r="Y117" s="121">
        <v>1700000</v>
      </c>
      <c r="Z117" s="120">
        <v>0</v>
      </c>
      <c r="AA117" s="128">
        <v>1</v>
      </c>
      <c r="AB117" s="119">
        <v>84452442</v>
      </c>
      <c r="AC117" s="123" t="s">
        <v>1055</v>
      </c>
      <c r="AD117" s="116"/>
      <c r="AE117" s="116"/>
      <c r="AF117" s="125"/>
      <c r="AG117" s="138" t="s">
        <v>1085</v>
      </c>
      <c r="AH117" s="119" t="s">
        <v>192</v>
      </c>
      <c r="AI117" s="119" t="s">
        <v>192</v>
      </c>
    </row>
    <row r="118" spans="1:35" s="130" customFormat="1" ht="17.25" customHeight="1" x14ac:dyDescent="0.25">
      <c r="A118" s="114">
        <v>891780111</v>
      </c>
      <c r="B118" s="115" t="s">
        <v>54</v>
      </c>
      <c r="C118" s="116" t="s">
        <v>57</v>
      </c>
      <c r="D118" s="115" t="s">
        <v>60</v>
      </c>
      <c r="E118" s="119" t="s">
        <v>1086</v>
      </c>
      <c r="F118" s="118" t="s">
        <v>61</v>
      </c>
      <c r="G118" s="118" t="s">
        <v>69</v>
      </c>
      <c r="H118" s="118" t="s">
        <v>609</v>
      </c>
      <c r="I118" s="137">
        <v>5350000</v>
      </c>
      <c r="J118" s="118"/>
      <c r="K118" s="121"/>
      <c r="L118" s="121"/>
      <c r="M118" s="122">
        <f t="shared" si="1"/>
        <v>5350000</v>
      </c>
      <c r="N118" s="118">
        <v>1082969555</v>
      </c>
      <c r="O118" s="123" t="s">
        <v>1087</v>
      </c>
      <c r="P118" s="116" t="s">
        <v>1088</v>
      </c>
      <c r="Q118" s="124">
        <v>45006</v>
      </c>
      <c r="R118" s="124">
        <v>45006</v>
      </c>
      <c r="S118" s="124">
        <v>45016</v>
      </c>
      <c r="T118" s="125" t="s">
        <v>612</v>
      </c>
      <c r="U118" s="124"/>
      <c r="V118" s="124"/>
      <c r="W118" s="126"/>
      <c r="X118" s="127"/>
      <c r="Y118" s="121">
        <v>5350000</v>
      </c>
      <c r="Z118" s="120">
        <v>0</v>
      </c>
      <c r="AA118" s="128">
        <v>1</v>
      </c>
      <c r="AB118" s="119">
        <v>73164685</v>
      </c>
      <c r="AC118" s="123" t="s">
        <v>1080</v>
      </c>
      <c r="AD118" s="116"/>
      <c r="AE118" s="116"/>
      <c r="AF118" s="125"/>
      <c r="AG118" s="138" t="s">
        <v>1089</v>
      </c>
      <c r="AH118" s="119" t="s">
        <v>192</v>
      </c>
      <c r="AI118" s="119" t="s">
        <v>192</v>
      </c>
    </row>
    <row r="119" spans="1:35" s="130" customFormat="1" ht="17.25" customHeight="1" x14ac:dyDescent="0.25">
      <c r="A119" s="114">
        <v>891780111</v>
      </c>
      <c r="B119" s="115" t="s">
        <v>54</v>
      </c>
      <c r="C119" s="116" t="s">
        <v>57</v>
      </c>
      <c r="D119" s="115" t="s">
        <v>60</v>
      </c>
      <c r="E119" s="119" t="s">
        <v>1090</v>
      </c>
      <c r="F119" s="118" t="s">
        <v>61</v>
      </c>
      <c r="G119" s="118" t="s">
        <v>69</v>
      </c>
      <c r="H119" s="118" t="s">
        <v>609</v>
      </c>
      <c r="I119" s="137">
        <v>44451780</v>
      </c>
      <c r="J119" s="118"/>
      <c r="K119" s="121"/>
      <c r="L119" s="121"/>
      <c r="M119" s="122">
        <f t="shared" si="1"/>
        <v>44451780</v>
      </c>
      <c r="N119" s="118">
        <v>1015432527</v>
      </c>
      <c r="O119" s="123" t="s">
        <v>1091</v>
      </c>
      <c r="P119" s="116" t="s">
        <v>1092</v>
      </c>
      <c r="Q119" s="124">
        <v>45007</v>
      </c>
      <c r="R119" s="124">
        <v>45007</v>
      </c>
      <c r="S119" s="124">
        <v>45275</v>
      </c>
      <c r="T119" s="125" t="s">
        <v>612</v>
      </c>
      <c r="U119" s="124"/>
      <c r="V119" s="124"/>
      <c r="W119" s="126"/>
      <c r="X119" s="127"/>
      <c r="Y119" s="121">
        <v>14817261</v>
      </c>
      <c r="Z119" s="120">
        <v>29634519</v>
      </c>
      <c r="AA119" s="128">
        <v>0.33333335582962031</v>
      </c>
      <c r="AB119" s="119">
        <v>79738530</v>
      </c>
      <c r="AC119" s="123" t="s">
        <v>1093</v>
      </c>
      <c r="AD119" s="116"/>
      <c r="AE119" s="116"/>
      <c r="AF119" s="125"/>
      <c r="AG119" s="138" t="s">
        <v>1094</v>
      </c>
      <c r="AH119" s="119" t="s">
        <v>192</v>
      </c>
      <c r="AI119" s="119" t="s">
        <v>192</v>
      </c>
    </row>
    <row r="120" spans="1:35" s="130" customFormat="1" ht="17.25" customHeight="1" x14ac:dyDescent="0.25">
      <c r="A120" s="114">
        <v>891780111</v>
      </c>
      <c r="B120" s="115" t="s">
        <v>54</v>
      </c>
      <c r="C120" s="116" t="s">
        <v>57</v>
      </c>
      <c r="D120" s="115" t="s">
        <v>60</v>
      </c>
      <c r="E120" s="119" t="s">
        <v>1095</v>
      </c>
      <c r="F120" s="118" t="s">
        <v>61</v>
      </c>
      <c r="G120" s="118" t="s">
        <v>69</v>
      </c>
      <c r="H120" s="118" t="s">
        <v>609</v>
      </c>
      <c r="I120" s="137">
        <v>44451780</v>
      </c>
      <c r="J120" s="118"/>
      <c r="K120" s="121"/>
      <c r="L120" s="121"/>
      <c r="M120" s="122">
        <f t="shared" si="1"/>
        <v>44451780</v>
      </c>
      <c r="N120" s="118">
        <v>1013586423</v>
      </c>
      <c r="O120" s="123" t="s">
        <v>1096</v>
      </c>
      <c r="P120" s="116" t="s">
        <v>1097</v>
      </c>
      <c r="Q120" s="124">
        <v>45007</v>
      </c>
      <c r="R120" s="124">
        <v>45007</v>
      </c>
      <c r="S120" s="124">
        <v>45275</v>
      </c>
      <c r="T120" s="125" t="s">
        <v>612</v>
      </c>
      <c r="U120" s="124"/>
      <c r="V120" s="124"/>
      <c r="W120" s="126"/>
      <c r="X120" s="127"/>
      <c r="Y120" s="121">
        <v>14817261</v>
      </c>
      <c r="Z120" s="120">
        <v>29634519</v>
      </c>
      <c r="AA120" s="128">
        <v>0.33333335582962031</v>
      </c>
      <c r="AB120" s="119">
        <v>79738530</v>
      </c>
      <c r="AC120" s="123" t="s">
        <v>1098</v>
      </c>
      <c r="AD120" s="116"/>
      <c r="AE120" s="116"/>
      <c r="AF120" s="125"/>
      <c r="AG120" s="138" t="s">
        <v>1099</v>
      </c>
      <c r="AH120" s="119" t="s">
        <v>192</v>
      </c>
      <c r="AI120" s="119" t="s">
        <v>192</v>
      </c>
    </row>
    <row r="121" spans="1:35" s="130" customFormat="1" ht="17.25" customHeight="1" x14ac:dyDescent="0.25">
      <c r="A121" s="114">
        <v>891780111</v>
      </c>
      <c r="B121" s="115" t="s">
        <v>54</v>
      </c>
      <c r="C121" s="116" t="s">
        <v>57</v>
      </c>
      <c r="D121" s="115" t="s">
        <v>60</v>
      </c>
      <c r="E121" s="119" t="s">
        <v>1100</v>
      </c>
      <c r="F121" s="118" t="s">
        <v>61</v>
      </c>
      <c r="G121" s="118" t="s">
        <v>69</v>
      </c>
      <c r="H121" s="118" t="s">
        <v>609</v>
      </c>
      <c r="I121" s="137">
        <v>2500000</v>
      </c>
      <c r="J121" s="118"/>
      <c r="K121" s="121"/>
      <c r="L121" s="121"/>
      <c r="M121" s="122">
        <f t="shared" si="1"/>
        <v>2500000</v>
      </c>
      <c r="N121" s="118">
        <v>1083041630</v>
      </c>
      <c r="O121" s="123" t="s">
        <v>1101</v>
      </c>
      <c r="P121" s="116" t="s">
        <v>1102</v>
      </c>
      <c r="Q121" s="124">
        <v>45008</v>
      </c>
      <c r="R121" s="124">
        <v>45008</v>
      </c>
      <c r="S121" s="124">
        <v>45016</v>
      </c>
      <c r="T121" s="125" t="s">
        <v>612</v>
      </c>
      <c r="U121" s="124"/>
      <c r="V121" s="124"/>
      <c r="W121" s="126"/>
      <c r="X121" s="127"/>
      <c r="Y121" s="121">
        <v>2500000</v>
      </c>
      <c r="Z121" s="120">
        <v>0</v>
      </c>
      <c r="AA121" s="128">
        <v>1</v>
      </c>
      <c r="AB121" s="119">
        <v>73164685</v>
      </c>
      <c r="AC121" s="123" t="s">
        <v>1080</v>
      </c>
      <c r="AD121" s="116"/>
      <c r="AE121" s="116"/>
      <c r="AF121" s="125"/>
      <c r="AG121" s="138" t="s">
        <v>1103</v>
      </c>
      <c r="AH121" s="119" t="s">
        <v>192</v>
      </c>
      <c r="AI121" s="119" t="s">
        <v>192</v>
      </c>
    </row>
    <row r="122" spans="1:35" s="130" customFormat="1" ht="17.25" customHeight="1" x14ac:dyDescent="0.25">
      <c r="A122" s="114">
        <v>891780111</v>
      </c>
      <c r="B122" s="115" t="s">
        <v>54</v>
      </c>
      <c r="C122" s="116" t="s">
        <v>57</v>
      </c>
      <c r="D122" s="115" t="s">
        <v>60</v>
      </c>
      <c r="E122" s="119" t="s">
        <v>1104</v>
      </c>
      <c r="F122" s="118" t="s">
        <v>61</v>
      </c>
      <c r="G122" s="118" t="s">
        <v>69</v>
      </c>
      <c r="H122" s="118" t="s">
        <v>609</v>
      </c>
      <c r="I122" s="137">
        <v>2500000</v>
      </c>
      <c r="J122" s="118"/>
      <c r="K122" s="121"/>
      <c r="L122" s="121"/>
      <c r="M122" s="122">
        <f t="shared" si="1"/>
        <v>2500000</v>
      </c>
      <c r="N122" s="118">
        <v>1193276857</v>
      </c>
      <c r="O122" s="123" t="s">
        <v>1105</v>
      </c>
      <c r="P122" s="116" t="s">
        <v>1106</v>
      </c>
      <c r="Q122" s="124">
        <v>45008</v>
      </c>
      <c r="R122" s="124">
        <v>45008</v>
      </c>
      <c r="S122" s="124">
        <v>45016</v>
      </c>
      <c r="T122" s="125" t="s">
        <v>612</v>
      </c>
      <c r="U122" s="124"/>
      <c r="V122" s="124"/>
      <c r="W122" s="126"/>
      <c r="X122" s="127"/>
      <c r="Y122" s="121">
        <v>2500000</v>
      </c>
      <c r="Z122" s="120">
        <v>0</v>
      </c>
      <c r="AA122" s="128">
        <v>1</v>
      </c>
      <c r="AB122" s="119">
        <v>73164685</v>
      </c>
      <c r="AC122" s="123" t="s">
        <v>1107</v>
      </c>
      <c r="AD122" s="116"/>
      <c r="AE122" s="116"/>
      <c r="AF122" s="125"/>
      <c r="AG122" s="138" t="s">
        <v>1108</v>
      </c>
      <c r="AH122" s="119" t="s">
        <v>192</v>
      </c>
      <c r="AI122" s="119" t="s">
        <v>192</v>
      </c>
    </row>
    <row r="123" spans="1:35" s="130" customFormat="1" ht="17.25" customHeight="1" x14ac:dyDescent="0.25">
      <c r="A123" s="114">
        <v>891780111</v>
      </c>
      <c r="B123" s="115" t="s">
        <v>54</v>
      </c>
      <c r="C123" s="116" t="s">
        <v>57</v>
      </c>
      <c r="D123" s="115" t="s">
        <v>60</v>
      </c>
      <c r="E123" s="119" t="s">
        <v>1109</v>
      </c>
      <c r="F123" s="118" t="s">
        <v>61</v>
      </c>
      <c r="G123" s="118" t="s">
        <v>69</v>
      </c>
      <c r="H123" s="118" t="s">
        <v>609</v>
      </c>
      <c r="I123" s="137">
        <f>4440000+2189500</f>
        <v>6629500</v>
      </c>
      <c r="J123" s="118"/>
      <c r="K123" s="121"/>
      <c r="L123" s="121"/>
      <c r="M123" s="122">
        <f t="shared" si="1"/>
        <v>6629500</v>
      </c>
      <c r="N123" s="118">
        <v>1020794175</v>
      </c>
      <c r="O123" s="123" t="s">
        <v>1110</v>
      </c>
      <c r="P123" s="116" t="s">
        <v>1111</v>
      </c>
      <c r="Q123" s="124">
        <v>45009</v>
      </c>
      <c r="R123" s="124">
        <v>45009</v>
      </c>
      <c r="S123" s="124">
        <v>45061</v>
      </c>
      <c r="T123" s="125" t="s">
        <v>612</v>
      </c>
      <c r="U123" s="124"/>
      <c r="V123" s="124"/>
      <c r="W123" s="126"/>
      <c r="X123" s="127"/>
      <c r="Y123" s="121">
        <v>6629500</v>
      </c>
      <c r="Z123" s="120">
        <v>0</v>
      </c>
      <c r="AA123" s="128">
        <v>1</v>
      </c>
      <c r="AB123" s="119">
        <v>39049658</v>
      </c>
      <c r="AC123" s="123" t="s">
        <v>1112</v>
      </c>
      <c r="AD123" s="116"/>
      <c r="AE123" s="116"/>
      <c r="AF123" s="125"/>
      <c r="AG123" s="138" t="s">
        <v>1108</v>
      </c>
      <c r="AH123" s="119" t="s">
        <v>192</v>
      </c>
      <c r="AI123" s="119" t="s">
        <v>192</v>
      </c>
    </row>
    <row r="124" spans="1:35" s="130" customFormat="1" ht="17.25" customHeight="1" x14ac:dyDescent="0.25">
      <c r="A124" s="114">
        <v>891780111</v>
      </c>
      <c r="B124" s="115" t="s">
        <v>54</v>
      </c>
      <c r="C124" s="116" t="s">
        <v>57</v>
      </c>
      <c r="D124" s="115" t="s">
        <v>60</v>
      </c>
      <c r="E124" s="119" t="s">
        <v>1113</v>
      </c>
      <c r="F124" s="118" t="s">
        <v>61</v>
      </c>
      <c r="G124" s="118" t="s">
        <v>69</v>
      </c>
      <c r="H124" s="118" t="s">
        <v>609</v>
      </c>
      <c r="I124" s="137">
        <v>8083333</v>
      </c>
      <c r="J124" s="118"/>
      <c r="K124" s="121"/>
      <c r="L124" s="121"/>
      <c r="M124" s="122">
        <f t="shared" si="1"/>
        <v>8083333</v>
      </c>
      <c r="N124" s="118">
        <v>1065884773</v>
      </c>
      <c r="O124" s="123" t="s">
        <v>1114</v>
      </c>
      <c r="P124" s="116" t="s">
        <v>1115</v>
      </c>
      <c r="Q124" s="124">
        <v>45009</v>
      </c>
      <c r="R124" s="124">
        <v>45009</v>
      </c>
      <c r="S124" s="124">
        <v>45107</v>
      </c>
      <c r="T124" s="125" t="s">
        <v>612</v>
      </c>
      <c r="U124" s="124"/>
      <c r="V124" s="124"/>
      <c r="W124" s="126"/>
      <c r="X124" s="127"/>
      <c r="Y124" s="121">
        <v>8083333</v>
      </c>
      <c r="Z124" s="120">
        <v>0</v>
      </c>
      <c r="AA124" s="128">
        <v>1</v>
      </c>
      <c r="AB124" s="119">
        <v>7456789</v>
      </c>
      <c r="AC124" s="123" t="s">
        <v>1116</v>
      </c>
      <c r="AD124" s="116"/>
      <c r="AE124" s="116"/>
      <c r="AF124" s="125"/>
      <c r="AG124" s="138" t="s">
        <v>1117</v>
      </c>
      <c r="AH124" s="119" t="s">
        <v>192</v>
      </c>
      <c r="AI124" s="119" t="s">
        <v>192</v>
      </c>
    </row>
    <row r="125" spans="1:35" s="130" customFormat="1" ht="17.25" customHeight="1" x14ac:dyDescent="0.25">
      <c r="A125" s="114">
        <v>891780111</v>
      </c>
      <c r="B125" s="115" t="s">
        <v>54</v>
      </c>
      <c r="C125" s="116" t="s">
        <v>57</v>
      </c>
      <c r="D125" s="115" t="s">
        <v>60</v>
      </c>
      <c r="E125" s="119" t="s">
        <v>1118</v>
      </c>
      <c r="F125" s="118" t="s">
        <v>61</v>
      </c>
      <c r="G125" s="118" t="s">
        <v>69</v>
      </c>
      <c r="H125" s="118" t="s">
        <v>609</v>
      </c>
      <c r="I125" s="135">
        <v>9462066</v>
      </c>
      <c r="J125" s="118"/>
      <c r="K125" s="121"/>
      <c r="L125" s="121"/>
      <c r="M125" s="122">
        <f t="shared" si="1"/>
        <v>9462066</v>
      </c>
      <c r="N125" s="118">
        <v>1082862229</v>
      </c>
      <c r="O125" s="123" t="s">
        <v>1119</v>
      </c>
      <c r="P125" s="116" t="s">
        <v>1120</v>
      </c>
      <c r="Q125" s="124">
        <v>45009</v>
      </c>
      <c r="R125" s="124">
        <v>45009</v>
      </c>
      <c r="S125" s="124">
        <v>45069</v>
      </c>
      <c r="T125" s="125" t="s">
        <v>612</v>
      </c>
      <c r="U125" s="124"/>
      <c r="V125" s="124"/>
      <c r="W125" s="126"/>
      <c r="X125" s="127"/>
      <c r="Y125" s="121">
        <v>9462066</v>
      </c>
      <c r="Z125" s="120">
        <v>0</v>
      </c>
      <c r="AA125" s="128">
        <v>1</v>
      </c>
      <c r="AB125" s="119">
        <v>57466882</v>
      </c>
      <c r="AC125" s="123" t="s">
        <v>1121</v>
      </c>
      <c r="AD125" s="116"/>
      <c r="AE125" s="116"/>
      <c r="AF125" s="125"/>
      <c r="AG125" s="138" t="s">
        <v>1122</v>
      </c>
      <c r="AH125" s="119" t="s">
        <v>192</v>
      </c>
      <c r="AI125" s="119" t="s">
        <v>192</v>
      </c>
    </row>
    <row r="126" spans="1:35" s="130" customFormat="1" ht="17.25" customHeight="1" x14ac:dyDescent="0.25">
      <c r="A126" s="114">
        <v>891780111</v>
      </c>
      <c r="B126" s="115" t="s">
        <v>54</v>
      </c>
      <c r="C126" s="116" t="s">
        <v>57</v>
      </c>
      <c r="D126" s="115" t="s">
        <v>60</v>
      </c>
      <c r="E126" s="119" t="s">
        <v>1123</v>
      </c>
      <c r="F126" s="118" t="s">
        <v>61</v>
      </c>
      <c r="G126" s="118" t="s">
        <v>69</v>
      </c>
      <c r="H126" s="118" t="s">
        <v>609</v>
      </c>
      <c r="I126" s="137">
        <v>14500000</v>
      </c>
      <c r="J126" s="118"/>
      <c r="K126" s="121"/>
      <c r="L126" s="121"/>
      <c r="M126" s="122">
        <f t="shared" si="1"/>
        <v>14500000</v>
      </c>
      <c r="N126" s="118">
        <v>85153082</v>
      </c>
      <c r="O126" s="123" t="s">
        <v>1124</v>
      </c>
      <c r="P126" s="116" t="s">
        <v>1125</v>
      </c>
      <c r="Q126" s="124">
        <v>45012</v>
      </c>
      <c r="R126" s="124">
        <v>45012</v>
      </c>
      <c r="S126" s="124">
        <v>45148</v>
      </c>
      <c r="T126" s="125" t="s">
        <v>612</v>
      </c>
      <c r="U126" s="124"/>
      <c r="V126" s="124"/>
      <c r="W126" s="126"/>
      <c r="X126" s="127"/>
      <c r="Y126" s="121">
        <v>0</v>
      </c>
      <c r="Z126" s="120">
        <v>14500000</v>
      </c>
      <c r="AA126" s="128">
        <v>0</v>
      </c>
      <c r="AB126" s="119">
        <v>19285288</v>
      </c>
      <c r="AC126" s="123" t="s">
        <v>1126</v>
      </c>
      <c r="AD126" s="116"/>
      <c r="AE126" s="116"/>
      <c r="AF126" s="125"/>
      <c r="AG126" s="138" t="s">
        <v>1127</v>
      </c>
      <c r="AH126" s="119" t="s">
        <v>192</v>
      </c>
      <c r="AI126" s="119" t="s">
        <v>192</v>
      </c>
    </row>
    <row r="127" spans="1:35" s="130" customFormat="1" ht="17.25" customHeight="1" x14ac:dyDescent="0.25">
      <c r="A127" s="114">
        <v>891780111</v>
      </c>
      <c r="B127" s="115" t="s">
        <v>54</v>
      </c>
      <c r="C127" s="116" t="s">
        <v>57</v>
      </c>
      <c r="D127" s="115" t="s">
        <v>60</v>
      </c>
      <c r="E127" s="119" t="s">
        <v>1128</v>
      </c>
      <c r="F127" s="118" t="s">
        <v>61</v>
      </c>
      <c r="G127" s="118" t="s">
        <v>69</v>
      </c>
      <c r="H127" s="118" t="s">
        <v>609</v>
      </c>
      <c r="I127" s="137">
        <v>3000000</v>
      </c>
      <c r="J127" s="118"/>
      <c r="K127" s="121"/>
      <c r="L127" s="121"/>
      <c r="M127" s="122">
        <f t="shared" si="1"/>
        <v>3000000</v>
      </c>
      <c r="N127" s="118">
        <v>1083025967</v>
      </c>
      <c r="O127" s="123" t="s">
        <v>1129</v>
      </c>
      <c r="P127" s="116" t="s">
        <v>1130</v>
      </c>
      <c r="Q127" s="124">
        <v>45012</v>
      </c>
      <c r="R127" s="124">
        <v>45012</v>
      </c>
      <c r="S127" s="124">
        <v>45043</v>
      </c>
      <c r="T127" s="125" t="s">
        <v>612</v>
      </c>
      <c r="U127" s="124"/>
      <c r="V127" s="124"/>
      <c r="W127" s="126"/>
      <c r="X127" s="127"/>
      <c r="Y127" s="121">
        <v>3000000</v>
      </c>
      <c r="Z127" s="120">
        <v>0</v>
      </c>
      <c r="AA127" s="128">
        <v>1</v>
      </c>
      <c r="AB127" s="119">
        <v>7601659</v>
      </c>
      <c r="AC127" s="123" t="s">
        <v>1131</v>
      </c>
      <c r="AD127" s="116"/>
      <c r="AE127" s="116"/>
      <c r="AF127" s="125"/>
      <c r="AG127" s="138" t="s">
        <v>1132</v>
      </c>
      <c r="AH127" s="119" t="s">
        <v>192</v>
      </c>
      <c r="AI127" s="119" t="s">
        <v>192</v>
      </c>
    </row>
    <row r="128" spans="1:35" s="130" customFormat="1" ht="17.25" customHeight="1" x14ac:dyDescent="0.25">
      <c r="A128" s="114">
        <v>891780111</v>
      </c>
      <c r="B128" s="115" t="s">
        <v>54</v>
      </c>
      <c r="C128" s="116" t="s">
        <v>57</v>
      </c>
      <c r="D128" s="115" t="s">
        <v>60</v>
      </c>
      <c r="E128" s="119" t="s">
        <v>1133</v>
      </c>
      <c r="F128" s="118" t="s">
        <v>61</v>
      </c>
      <c r="G128" s="118" t="s">
        <v>69</v>
      </c>
      <c r="H128" s="118" t="s">
        <v>609</v>
      </c>
      <c r="I128" s="137">
        <v>3296233</v>
      </c>
      <c r="J128" s="118"/>
      <c r="K128" s="121"/>
      <c r="L128" s="121"/>
      <c r="M128" s="122">
        <f t="shared" si="1"/>
        <v>3296233</v>
      </c>
      <c r="N128" s="118">
        <v>1083027316</v>
      </c>
      <c r="O128" s="123" t="s">
        <v>1134</v>
      </c>
      <c r="P128" s="116" t="s">
        <v>1135</v>
      </c>
      <c r="Q128" s="124">
        <v>45013</v>
      </c>
      <c r="R128" s="124">
        <v>45013</v>
      </c>
      <c r="S128" s="124">
        <v>45073</v>
      </c>
      <c r="T128" s="125" t="s">
        <v>612</v>
      </c>
      <c r="U128" s="124"/>
      <c r="V128" s="124"/>
      <c r="W128" s="126"/>
      <c r="X128" s="127"/>
      <c r="Y128" s="121">
        <v>3296233</v>
      </c>
      <c r="Z128" s="120">
        <v>0</v>
      </c>
      <c r="AA128" s="128">
        <v>1</v>
      </c>
      <c r="AB128" s="119">
        <v>57466882</v>
      </c>
      <c r="AC128" s="123" t="s">
        <v>1121</v>
      </c>
      <c r="AD128" s="116"/>
      <c r="AE128" s="116"/>
      <c r="AF128" s="125"/>
      <c r="AG128" s="138" t="s">
        <v>1136</v>
      </c>
      <c r="AH128" s="119" t="s">
        <v>192</v>
      </c>
      <c r="AI128" s="119" t="s">
        <v>192</v>
      </c>
    </row>
    <row r="129" spans="1:35" s="130" customFormat="1" ht="17.25" customHeight="1" x14ac:dyDescent="0.25">
      <c r="A129" s="114">
        <v>891780111</v>
      </c>
      <c r="B129" s="115" t="s">
        <v>54</v>
      </c>
      <c r="C129" s="116" t="s">
        <v>57</v>
      </c>
      <c r="D129" s="115" t="s">
        <v>60</v>
      </c>
      <c r="E129" s="119" t="s">
        <v>1137</v>
      </c>
      <c r="F129" s="118" t="s">
        <v>61</v>
      </c>
      <c r="G129" s="118" t="s">
        <v>69</v>
      </c>
      <c r="H129" s="118" t="s">
        <v>609</v>
      </c>
      <c r="I129" s="137">
        <v>9600000</v>
      </c>
      <c r="J129" s="118"/>
      <c r="K129" s="121"/>
      <c r="L129" s="121"/>
      <c r="M129" s="122">
        <f t="shared" si="1"/>
        <v>9600000</v>
      </c>
      <c r="N129" s="118">
        <v>85476492</v>
      </c>
      <c r="O129" s="123" t="s">
        <v>1138</v>
      </c>
      <c r="P129" s="116" t="s">
        <v>1139</v>
      </c>
      <c r="Q129" s="124">
        <v>45014</v>
      </c>
      <c r="R129" s="124">
        <v>45014</v>
      </c>
      <c r="S129" s="124">
        <v>45105</v>
      </c>
      <c r="T129" s="125" t="s">
        <v>612</v>
      </c>
      <c r="U129" s="124"/>
      <c r="V129" s="124"/>
      <c r="W129" s="126"/>
      <c r="X129" s="127"/>
      <c r="Y129" s="121">
        <v>9600000</v>
      </c>
      <c r="Z129" s="120">
        <v>0</v>
      </c>
      <c r="AA129" s="128">
        <v>1</v>
      </c>
      <c r="AB129" s="119">
        <v>7597888</v>
      </c>
      <c r="AC129" s="123" t="s">
        <v>1140</v>
      </c>
      <c r="AD129" s="116"/>
      <c r="AE129" s="116"/>
      <c r="AF129" s="125"/>
      <c r="AG129" s="138" t="s">
        <v>1141</v>
      </c>
      <c r="AH129" s="119" t="s">
        <v>192</v>
      </c>
      <c r="AI129" s="119" t="s">
        <v>192</v>
      </c>
    </row>
    <row r="130" spans="1:35" s="130" customFormat="1" ht="17.25" customHeight="1" x14ac:dyDescent="0.25">
      <c r="A130" s="114">
        <v>891780111</v>
      </c>
      <c r="B130" s="115" t="s">
        <v>54</v>
      </c>
      <c r="C130" s="116" t="s">
        <v>57</v>
      </c>
      <c r="D130" s="115" t="s">
        <v>60</v>
      </c>
      <c r="E130" s="119" t="s">
        <v>1142</v>
      </c>
      <c r="F130" s="118" t="s">
        <v>61</v>
      </c>
      <c r="G130" s="118" t="s">
        <v>69</v>
      </c>
      <c r="H130" s="118" t="s">
        <v>609</v>
      </c>
      <c r="I130" s="137">
        <v>6000000</v>
      </c>
      <c r="J130" s="118"/>
      <c r="K130" s="121"/>
      <c r="L130" s="121"/>
      <c r="M130" s="122">
        <f t="shared" si="1"/>
        <v>6000000</v>
      </c>
      <c r="N130" s="119">
        <v>1110492325</v>
      </c>
      <c r="O130" s="123" t="s">
        <v>1143</v>
      </c>
      <c r="P130" s="116" t="s">
        <v>1144</v>
      </c>
      <c r="Q130" s="124">
        <v>45027</v>
      </c>
      <c r="R130" s="124">
        <v>45027</v>
      </c>
      <c r="S130" s="124">
        <v>45087</v>
      </c>
      <c r="T130" s="125" t="s">
        <v>612</v>
      </c>
      <c r="U130" s="124"/>
      <c r="V130" s="124"/>
      <c r="W130" s="126"/>
      <c r="X130" s="127"/>
      <c r="Y130" s="121">
        <v>6000000</v>
      </c>
      <c r="Z130" s="120">
        <v>0</v>
      </c>
      <c r="AA130" s="128">
        <v>1</v>
      </c>
      <c r="AB130" s="119">
        <v>7597888</v>
      </c>
      <c r="AC130" s="123" t="s">
        <v>1140</v>
      </c>
      <c r="AD130" s="116"/>
      <c r="AE130" s="116"/>
      <c r="AF130" s="125"/>
      <c r="AG130" s="129" t="s">
        <v>1145</v>
      </c>
      <c r="AH130" s="119" t="s">
        <v>192</v>
      </c>
      <c r="AI130" s="119" t="s">
        <v>192</v>
      </c>
    </row>
    <row r="131" spans="1:35" s="130" customFormat="1" ht="17.25" customHeight="1" x14ac:dyDescent="0.25">
      <c r="A131" s="114">
        <v>891780111</v>
      </c>
      <c r="B131" s="115" t="s">
        <v>54</v>
      </c>
      <c r="C131" s="116" t="s">
        <v>57</v>
      </c>
      <c r="D131" s="115" t="s">
        <v>60</v>
      </c>
      <c r="E131" s="119" t="s">
        <v>1146</v>
      </c>
      <c r="F131" s="118" t="s">
        <v>61</v>
      </c>
      <c r="G131" s="118" t="s">
        <v>69</v>
      </c>
      <c r="H131" s="118" t="s">
        <v>609</v>
      </c>
      <c r="I131" s="137">
        <v>3500000</v>
      </c>
      <c r="J131" s="118"/>
      <c r="K131" s="121"/>
      <c r="L131" s="121"/>
      <c r="M131" s="122">
        <f t="shared" si="1"/>
        <v>3500000</v>
      </c>
      <c r="N131" s="119">
        <v>1082906452</v>
      </c>
      <c r="O131" s="123" t="s">
        <v>1147</v>
      </c>
      <c r="P131" s="116" t="s">
        <v>1148</v>
      </c>
      <c r="Q131" s="124">
        <v>45027</v>
      </c>
      <c r="R131" s="124">
        <v>45027</v>
      </c>
      <c r="S131" s="124">
        <v>45056</v>
      </c>
      <c r="T131" s="125" t="s">
        <v>612</v>
      </c>
      <c r="U131" s="124"/>
      <c r="V131" s="124"/>
      <c r="W131" s="126"/>
      <c r="X131" s="127"/>
      <c r="Y131" s="121">
        <v>3500000</v>
      </c>
      <c r="Z131" s="120">
        <v>0</v>
      </c>
      <c r="AA131" s="128">
        <v>1</v>
      </c>
      <c r="AB131" s="119">
        <v>39049658</v>
      </c>
      <c r="AC131" s="123" t="s">
        <v>1149</v>
      </c>
      <c r="AD131" s="116"/>
      <c r="AE131" s="116"/>
      <c r="AF131" s="125"/>
      <c r="AG131" s="129" t="s">
        <v>1150</v>
      </c>
      <c r="AH131" s="119" t="s">
        <v>192</v>
      </c>
      <c r="AI131" s="119" t="s">
        <v>192</v>
      </c>
    </row>
    <row r="132" spans="1:35" s="130" customFormat="1" ht="17.25" customHeight="1" x14ac:dyDescent="0.25">
      <c r="A132" s="114">
        <v>891780111</v>
      </c>
      <c r="B132" s="115" t="s">
        <v>54</v>
      </c>
      <c r="C132" s="116" t="s">
        <v>57</v>
      </c>
      <c r="D132" s="115" t="s">
        <v>60</v>
      </c>
      <c r="E132" s="119" t="s">
        <v>1151</v>
      </c>
      <c r="F132" s="118" t="s">
        <v>61</v>
      </c>
      <c r="G132" s="118" t="s">
        <v>69</v>
      </c>
      <c r="H132" s="118" t="s">
        <v>609</v>
      </c>
      <c r="I132" s="137">
        <v>9000000</v>
      </c>
      <c r="J132" s="118"/>
      <c r="K132" s="121"/>
      <c r="L132" s="121"/>
      <c r="M132" s="122">
        <f t="shared" si="1"/>
        <v>9000000</v>
      </c>
      <c r="N132" s="119">
        <v>1010074079</v>
      </c>
      <c r="O132" s="123" t="s">
        <v>1152</v>
      </c>
      <c r="P132" s="116" t="s">
        <v>1153</v>
      </c>
      <c r="Q132" s="124">
        <v>45027</v>
      </c>
      <c r="R132" s="124">
        <v>45027</v>
      </c>
      <c r="S132" s="124">
        <v>45117</v>
      </c>
      <c r="T132" s="125" t="s">
        <v>612</v>
      </c>
      <c r="U132" s="124"/>
      <c r="V132" s="124"/>
      <c r="W132" s="126"/>
      <c r="X132" s="127"/>
      <c r="Y132" s="121">
        <v>9000000</v>
      </c>
      <c r="Z132" s="120">
        <v>0</v>
      </c>
      <c r="AA132" s="128">
        <v>1</v>
      </c>
      <c r="AB132" s="119">
        <v>39049658</v>
      </c>
      <c r="AC132" s="123" t="s">
        <v>699</v>
      </c>
      <c r="AD132" s="116"/>
      <c r="AE132" s="116"/>
      <c r="AF132" s="125"/>
      <c r="AG132" s="129" t="s">
        <v>1154</v>
      </c>
      <c r="AH132" s="119" t="s">
        <v>192</v>
      </c>
      <c r="AI132" s="119" t="s">
        <v>192</v>
      </c>
    </row>
    <row r="133" spans="1:35" s="130" customFormat="1" ht="17.25" customHeight="1" x14ac:dyDescent="0.25">
      <c r="A133" s="114">
        <v>891780111</v>
      </c>
      <c r="B133" s="115" t="s">
        <v>54</v>
      </c>
      <c r="C133" s="116" t="s">
        <v>57</v>
      </c>
      <c r="D133" s="115" t="s">
        <v>60</v>
      </c>
      <c r="E133" s="119" t="s">
        <v>1155</v>
      </c>
      <c r="F133" s="118" t="s">
        <v>61</v>
      </c>
      <c r="G133" s="118" t="s">
        <v>69</v>
      </c>
      <c r="H133" s="118" t="s">
        <v>609</v>
      </c>
      <c r="I133" s="137">
        <v>12690000</v>
      </c>
      <c r="J133" s="118"/>
      <c r="K133" s="121"/>
      <c r="L133" s="121"/>
      <c r="M133" s="122">
        <f t="shared" si="1"/>
        <v>12690000</v>
      </c>
      <c r="N133" s="119">
        <v>71676049</v>
      </c>
      <c r="O133" s="123" t="s">
        <v>697</v>
      </c>
      <c r="P133" s="116" t="s">
        <v>1156</v>
      </c>
      <c r="Q133" s="124">
        <v>45028</v>
      </c>
      <c r="R133" s="124">
        <v>45028</v>
      </c>
      <c r="S133" s="124">
        <v>45107</v>
      </c>
      <c r="T133" s="125" t="s">
        <v>612</v>
      </c>
      <c r="U133" s="124"/>
      <c r="V133" s="124"/>
      <c r="W133" s="126"/>
      <c r="X133" s="127"/>
      <c r="Y133" s="121">
        <v>12690000</v>
      </c>
      <c r="Z133" s="120">
        <v>0</v>
      </c>
      <c r="AA133" s="128">
        <v>1</v>
      </c>
      <c r="AB133" s="119">
        <v>39049658</v>
      </c>
      <c r="AC133" s="123" t="s">
        <v>1157</v>
      </c>
      <c r="AD133" s="116"/>
      <c r="AE133" s="116"/>
      <c r="AF133" s="125"/>
      <c r="AG133" s="129" t="s">
        <v>1158</v>
      </c>
      <c r="AH133" s="119" t="s">
        <v>192</v>
      </c>
      <c r="AI133" s="119" t="s">
        <v>192</v>
      </c>
    </row>
    <row r="134" spans="1:35" s="130" customFormat="1" ht="17.25" customHeight="1" x14ac:dyDescent="0.25">
      <c r="A134" s="114">
        <v>891780111</v>
      </c>
      <c r="B134" s="115" t="s">
        <v>54</v>
      </c>
      <c r="C134" s="116" t="s">
        <v>57</v>
      </c>
      <c r="D134" s="115" t="s">
        <v>60</v>
      </c>
      <c r="E134" s="119" t="s">
        <v>1159</v>
      </c>
      <c r="F134" s="118" t="s">
        <v>61</v>
      </c>
      <c r="G134" s="118" t="s">
        <v>69</v>
      </c>
      <c r="H134" s="118" t="s">
        <v>609</v>
      </c>
      <c r="I134" s="137">
        <v>3400000</v>
      </c>
      <c r="J134" s="118"/>
      <c r="K134" s="121"/>
      <c r="L134" s="121"/>
      <c r="M134" s="122">
        <f t="shared" ref="M134:M197" si="2">+(I134+K134)-L134</f>
        <v>3400000</v>
      </c>
      <c r="N134" s="119">
        <v>1104429269</v>
      </c>
      <c r="O134" s="123" t="s">
        <v>1160</v>
      </c>
      <c r="P134" s="116" t="s">
        <v>1161</v>
      </c>
      <c r="Q134" s="124">
        <v>45028</v>
      </c>
      <c r="R134" s="124">
        <v>45028</v>
      </c>
      <c r="S134" s="124">
        <v>45057</v>
      </c>
      <c r="T134" s="125" t="s">
        <v>612</v>
      </c>
      <c r="U134" s="124"/>
      <c r="V134" s="124"/>
      <c r="W134" s="126"/>
      <c r="X134" s="127"/>
      <c r="Y134" s="121">
        <v>3400000</v>
      </c>
      <c r="Z134" s="120">
        <v>0</v>
      </c>
      <c r="AA134" s="128">
        <v>1</v>
      </c>
      <c r="AB134" s="119">
        <v>84452442</v>
      </c>
      <c r="AC134" s="123" t="s">
        <v>1055</v>
      </c>
      <c r="AD134" s="116"/>
      <c r="AE134" s="116"/>
      <c r="AF134" s="125"/>
      <c r="AG134" s="129" t="s">
        <v>1162</v>
      </c>
      <c r="AH134" s="119" t="s">
        <v>192</v>
      </c>
      <c r="AI134" s="119" t="s">
        <v>192</v>
      </c>
    </row>
    <row r="135" spans="1:35" s="130" customFormat="1" ht="17.25" customHeight="1" x14ac:dyDescent="0.25">
      <c r="A135" s="114">
        <v>891780111</v>
      </c>
      <c r="B135" s="115" t="s">
        <v>54</v>
      </c>
      <c r="C135" s="116" t="s">
        <v>57</v>
      </c>
      <c r="D135" s="115" t="s">
        <v>60</v>
      </c>
      <c r="E135" s="119" t="s">
        <v>1163</v>
      </c>
      <c r="F135" s="118" t="s">
        <v>61</v>
      </c>
      <c r="G135" s="118" t="s">
        <v>69</v>
      </c>
      <c r="H135" s="118" t="s">
        <v>609</v>
      </c>
      <c r="I135" s="137">
        <v>7373333</v>
      </c>
      <c r="J135" s="118"/>
      <c r="K135" s="121"/>
      <c r="L135" s="121"/>
      <c r="M135" s="122">
        <f t="shared" si="2"/>
        <v>7373333</v>
      </c>
      <c r="N135" s="119">
        <v>1018452203</v>
      </c>
      <c r="O135" s="123" t="s">
        <v>916</v>
      </c>
      <c r="P135" s="116" t="s">
        <v>1164</v>
      </c>
      <c r="Q135" s="124">
        <v>45028</v>
      </c>
      <c r="R135" s="124">
        <v>45028</v>
      </c>
      <c r="S135" s="124">
        <v>45107</v>
      </c>
      <c r="T135" s="125" t="s">
        <v>612</v>
      </c>
      <c r="U135" s="124"/>
      <c r="V135" s="124"/>
      <c r="W135" s="126"/>
      <c r="X135" s="127"/>
      <c r="Y135" s="121">
        <v>7373333</v>
      </c>
      <c r="Z135" s="120">
        <v>0</v>
      </c>
      <c r="AA135" s="128">
        <v>1</v>
      </c>
      <c r="AB135" s="119">
        <v>85155551</v>
      </c>
      <c r="AC135" s="123" t="s">
        <v>648</v>
      </c>
      <c r="AD135" s="116"/>
      <c r="AE135" s="116"/>
      <c r="AF135" s="125"/>
      <c r="AG135" s="129" t="s">
        <v>1165</v>
      </c>
      <c r="AH135" s="119" t="s">
        <v>192</v>
      </c>
      <c r="AI135" s="119" t="s">
        <v>192</v>
      </c>
    </row>
    <row r="136" spans="1:35" s="130" customFormat="1" ht="17.25" customHeight="1" x14ac:dyDescent="0.25">
      <c r="A136" s="114">
        <v>891780111</v>
      </c>
      <c r="B136" s="115" t="s">
        <v>54</v>
      </c>
      <c r="C136" s="116" t="s">
        <v>57</v>
      </c>
      <c r="D136" s="115" t="s">
        <v>60</v>
      </c>
      <c r="E136" s="119" t="s">
        <v>1166</v>
      </c>
      <c r="F136" s="118" t="s">
        <v>61</v>
      </c>
      <c r="G136" s="118" t="s">
        <v>69</v>
      </c>
      <c r="H136" s="118" t="s">
        <v>609</v>
      </c>
      <c r="I136" s="137">
        <v>3500000</v>
      </c>
      <c r="J136" s="118"/>
      <c r="K136" s="121"/>
      <c r="L136" s="121"/>
      <c r="M136" s="122">
        <f t="shared" si="2"/>
        <v>3500000</v>
      </c>
      <c r="N136" s="119">
        <v>1082839048</v>
      </c>
      <c r="O136" s="123" t="s">
        <v>1167</v>
      </c>
      <c r="P136" s="116" t="s">
        <v>1168</v>
      </c>
      <c r="Q136" s="124">
        <v>45028</v>
      </c>
      <c r="R136" s="124">
        <v>45028</v>
      </c>
      <c r="S136" s="124">
        <v>45057</v>
      </c>
      <c r="T136" s="125" t="s">
        <v>612</v>
      </c>
      <c r="U136" s="124"/>
      <c r="V136" s="124"/>
      <c r="W136" s="126"/>
      <c r="X136" s="127"/>
      <c r="Y136" s="121">
        <v>3500000</v>
      </c>
      <c r="Z136" s="120">
        <v>0</v>
      </c>
      <c r="AA136" s="128">
        <v>1</v>
      </c>
      <c r="AB136" s="119">
        <v>39049658</v>
      </c>
      <c r="AC136" s="123" t="s">
        <v>699</v>
      </c>
      <c r="AD136" s="116"/>
      <c r="AE136" s="116"/>
      <c r="AF136" s="125"/>
      <c r="AG136" s="129" t="s">
        <v>1169</v>
      </c>
      <c r="AH136" s="119" t="s">
        <v>192</v>
      </c>
      <c r="AI136" s="119" t="s">
        <v>192</v>
      </c>
    </row>
    <row r="137" spans="1:35" s="130" customFormat="1" ht="17.25" customHeight="1" x14ac:dyDescent="0.25">
      <c r="A137" s="114">
        <v>891780111</v>
      </c>
      <c r="B137" s="115" t="s">
        <v>54</v>
      </c>
      <c r="C137" s="116" t="s">
        <v>57</v>
      </c>
      <c r="D137" s="115" t="s">
        <v>60</v>
      </c>
      <c r="E137" s="119" t="s">
        <v>1170</v>
      </c>
      <c r="F137" s="118" t="s">
        <v>61</v>
      </c>
      <c r="G137" s="118" t="s">
        <v>69</v>
      </c>
      <c r="H137" s="118" t="s">
        <v>609</v>
      </c>
      <c r="I137" s="137">
        <v>2500000</v>
      </c>
      <c r="J137" s="118"/>
      <c r="K137" s="121"/>
      <c r="L137" s="121"/>
      <c r="M137" s="122">
        <f t="shared" si="2"/>
        <v>2500000</v>
      </c>
      <c r="N137" s="119">
        <v>1075304519</v>
      </c>
      <c r="O137" s="123" t="s">
        <v>1171</v>
      </c>
      <c r="P137" s="116" t="s">
        <v>1172</v>
      </c>
      <c r="Q137" s="124">
        <v>45034</v>
      </c>
      <c r="R137" s="124">
        <v>45034</v>
      </c>
      <c r="S137" s="124">
        <v>45049</v>
      </c>
      <c r="T137" s="125" t="s">
        <v>612</v>
      </c>
      <c r="U137" s="124"/>
      <c r="V137" s="124"/>
      <c r="W137" s="126"/>
      <c r="X137" s="127"/>
      <c r="Y137" s="121">
        <v>2500000</v>
      </c>
      <c r="Z137" s="120">
        <v>0</v>
      </c>
      <c r="AA137" s="128">
        <v>1</v>
      </c>
      <c r="AB137" s="119">
        <v>85155551</v>
      </c>
      <c r="AC137" s="123" t="s">
        <v>648</v>
      </c>
      <c r="AD137" s="116"/>
      <c r="AE137" s="116"/>
      <c r="AF137" s="125"/>
      <c r="AG137" s="129" t="s">
        <v>1173</v>
      </c>
      <c r="AH137" s="119" t="s">
        <v>192</v>
      </c>
      <c r="AI137" s="119" t="s">
        <v>192</v>
      </c>
    </row>
    <row r="138" spans="1:35" s="130" customFormat="1" ht="17.25" customHeight="1" x14ac:dyDescent="0.25">
      <c r="A138" s="114">
        <v>891780111</v>
      </c>
      <c r="B138" s="115" t="s">
        <v>54</v>
      </c>
      <c r="C138" s="116" t="s">
        <v>57</v>
      </c>
      <c r="D138" s="115" t="s">
        <v>60</v>
      </c>
      <c r="E138" s="119" t="s">
        <v>1174</v>
      </c>
      <c r="F138" s="118" t="s">
        <v>61</v>
      </c>
      <c r="G138" s="118" t="s">
        <v>69</v>
      </c>
      <c r="H138" s="118" t="s">
        <v>609</v>
      </c>
      <c r="I138" s="137">
        <v>7500000</v>
      </c>
      <c r="J138" s="118">
        <v>1</v>
      </c>
      <c r="K138" s="121">
        <v>900000</v>
      </c>
      <c r="L138" s="121"/>
      <c r="M138" s="122">
        <f t="shared" si="2"/>
        <v>8400000</v>
      </c>
      <c r="N138" s="119">
        <v>1082919355</v>
      </c>
      <c r="O138" s="123" t="s">
        <v>1175</v>
      </c>
      <c r="P138" s="116" t="s">
        <v>1176</v>
      </c>
      <c r="Q138" s="124">
        <v>45035</v>
      </c>
      <c r="R138" s="124">
        <v>45035</v>
      </c>
      <c r="S138" s="124">
        <v>45125</v>
      </c>
      <c r="T138" s="125" t="s">
        <v>612</v>
      </c>
      <c r="U138" s="124"/>
      <c r="V138" s="124"/>
      <c r="W138" s="126"/>
      <c r="X138" s="127"/>
      <c r="Y138" s="121">
        <v>2500000</v>
      </c>
      <c r="Z138" s="120">
        <v>5900000</v>
      </c>
      <c r="AA138" s="128">
        <v>0.29761904761904767</v>
      </c>
      <c r="AB138" s="119">
        <v>1082884010</v>
      </c>
      <c r="AC138" s="123" t="s">
        <v>1177</v>
      </c>
      <c r="AD138" s="116"/>
      <c r="AE138" s="116"/>
      <c r="AF138" s="125"/>
      <c r="AG138" s="129" t="s">
        <v>1178</v>
      </c>
      <c r="AH138" s="119" t="s">
        <v>192</v>
      </c>
      <c r="AI138" s="119" t="s">
        <v>192</v>
      </c>
    </row>
    <row r="139" spans="1:35" s="130" customFormat="1" ht="17.25" customHeight="1" x14ac:dyDescent="0.25">
      <c r="A139" s="114">
        <v>891780111</v>
      </c>
      <c r="B139" s="115" t="s">
        <v>54</v>
      </c>
      <c r="C139" s="116" t="s">
        <v>57</v>
      </c>
      <c r="D139" s="115" t="s">
        <v>60</v>
      </c>
      <c r="E139" s="119" t="s">
        <v>1179</v>
      </c>
      <c r="F139" s="118" t="s">
        <v>61</v>
      </c>
      <c r="G139" s="118" t="s">
        <v>69</v>
      </c>
      <c r="H139" s="118" t="s">
        <v>609</v>
      </c>
      <c r="I139" s="133">
        <v>6000000</v>
      </c>
      <c r="J139" s="118"/>
      <c r="K139" s="121"/>
      <c r="L139" s="121"/>
      <c r="M139" s="122">
        <f t="shared" si="2"/>
        <v>6000000</v>
      </c>
      <c r="N139" s="117">
        <v>18955666</v>
      </c>
      <c r="O139" s="136" t="s">
        <v>1180</v>
      </c>
      <c r="P139" s="116" t="s">
        <v>1181</v>
      </c>
      <c r="Q139" s="124">
        <v>45048</v>
      </c>
      <c r="R139" s="124">
        <v>45048</v>
      </c>
      <c r="S139" s="124">
        <v>45138</v>
      </c>
      <c r="T139" s="125" t="s">
        <v>612</v>
      </c>
      <c r="U139" s="124"/>
      <c r="V139" s="124"/>
      <c r="W139" s="126"/>
      <c r="X139" s="127"/>
      <c r="Y139" s="121">
        <v>0</v>
      </c>
      <c r="Z139" s="120">
        <v>6000000</v>
      </c>
      <c r="AA139" s="139">
        <v>0</v>
      </c>
      <c r="AB139" s="119">
        <v>79141011</v>
      </c>
      <c r="AC139" s="136" t="s">
        <v>1182</v>
      </c>
      <c r="AD139" s="116"/>
      <c r="AE139" s="116"/>
      <c r="AF139" s="125"/>
      <c r="AG139" s="129" t="s">
        <v>1183</v>
      </c>
      <c r="AH139" s="119" t="s">
        <v>192</v>
      </c>
      <c r="AI139" s="119" t="s">
        <v>192</v>
      </c>
    </row>
    <row r="140" spans="1:35" s="130" customFormat="1" ht="17.25" customHeight="1" x14ac:dyDescent="0.25">
      <c r="A140" s="114">
        <v>891780111</v>
      </c>
      <c r="B140" s="115" t="s">
        <v>54</v>
      </c>
      <c r="C140" s="116" t="s">
        <v>57</v>
      </c>
      <c r="D140" s="115" t="s">
        <v>60</v>
      </c>
      <c r="E140" s="119" t="s">
        <v>1184</v>
      </c>
      <c r="F140" s="118" t="s">
        <v>61</v>
      </c>
      <c r="G140" s="118" t="s">
        <v>69</v>
      </c>
      <c r="H140" s="118" t="s">
        <v>609</v>
      </c>
      <c r="I140" s="133">
        <v>6000000</v>
      </c>
      <c r="J140" s="118"/>
      <c r="K140" s="121"/>
      <c r="L140" s="121"/>
      <c r="M140" s="122">
        <f t="shared" si="2"/>
        <v>6000000</v>
      </c>
      <c r="N140" s="117">
        <v>1083022534</v>
      </c>
      <c r="O140" s="136" t="s">
        <v>1185</v>
      </c>
      <c r="P140" s="116" t="s">
        <v>1186</v>
      </c>
      <c r="Q140" s="124">
        <v>45049</v>
      </c>
      <c r="R140" s="124">
        <v>45049</v>
      </c>
      <c r="S140" s="124">
        <v>45138</v>
      </c>
      <c r="T140" s="125" t="s">
        <v>612</v>
      </c>
      <c r="U140" s="124"/>
      <c r="V140" s="124"/>
      <c r="W140" s="126"/>
      <c r="X140" s="127"/>
      <c r="Y140" s="121">
        <v>4000000</v>
      </c>
      <c r="Z140" s="120">
        <v>2000000</v>
      </c>
      <c r="AA140" s="139">
        <v>0.66666666666666674</v>
      </c>
      <c r="AB140" s="119">
        <v>79141011</v>
      </c>
      <c r="AC140" s="136" t="s">
        <v>1182</v>
      </c>
      <c r="AD140" s="116"/>
      <c r="AE140" s="116"/>
      <c r="AF140" s="125"/>
      <c r="AG140" s="129" t="s">
        <v>1187</v>
      </c>
      <c r="AH140" s="119" t="s">
        <v>192</v>
      </c>
      <c r="AI140" s="119" t="s">
        <v>192</v>
      </c>
    </row>
    <row r="141" spans="1:35" s="130" customFormat="1" ht="17.25" customHeight="1" x14ac:dyDescent="0.25">
      <c r="A141" s="114">
        <v>891780111</v>
      </c>
      <c r="B141" s="115" t="s">
        <v>54</v>
      </c>
      <c r="C141" s="116" t="s">
        <v>57</v>
      </c>
      <c r="D141" s="115" t="s">
        <v>60</v>
      </c>
      <c r="E141" s="119" t="s">
        <v>1188</v>
      </c>
      <c r="F141" s="118" t="s">
        <v>61</v>
      </c>
      <c r="G141" s="118" t="s">
        <v>69</v>
      </c>
      <c r="H141" s="118" t="s">
        <v>609</v>
      </c>
      <c r="I141" s="133">
        <v>18000000</v>
      </c>
      <c r="J141" s="118"/>
      <c r="K141" s="121"/>
      <c r="L141" s="121"/>
      <c r="M141" s="122">
        <f t="shared" si="2"/>
        <v>18000000</v>
      </c>
      <c r="N141" s="117">
        <v>1010228638</v>
      </c>
      <c r="O141" s="136" t="s">
        <v>1189</v>
      </c>
      <c r="P141" s="116" t="s">
        <v>1190</v>
      </c>
      <c r="Q141" s="124">
        <v>45049</v>
      </c>
      <c r="R141" s="124">
        <v>45049</v>
      </c>
      <c r="S141" s="124">
        <v>45232</v>
      </c>
      <c r="T141" s="125" t="s">
        <v>612</v>
      </c>
      <c r="U141" s="124"/>
      <c r="V141" s="124"/>
      <c r="W141" s="126"/>
      <c r="X141" s="127"/>
      <c r="Y141" s="121">
        <v>6000000</v>
      </c>
      <c r="Z141" s="120">
        <v>12000000</v>
      </c>
      <c r="AA141" s="139">
        <v>0.33333333333333337</v>
      </c>
      <c r="AB141" s="119">
        <v>52389076</v>
      </c>
      <c r="AC141" s="136" t="s">
        <v>970</v>
      </c>
      <c r="AD141" s="116"/>
      <c r="AE141" s="116"/>
      <c r="AF141" s="125"/>
      <c r="AG141" s="129" t="s">
        <v>1191</v>
      </c>
      <c r="AH141" s="119" t="s">
        <v>192</v>
      </c>
      <c r="AI141" s="119" t="s">
        <v>192</v>
      </c>
    </row>
    <row r="142" spans="1:35" s="130" customFormat="1" ht="17.25" customHeight="1" x14ac:dyDescent="0.25">
      <c r="A142" s="114">
        <v>891780111</v>
      </c>
      <c r="B142" s="115" t="s">
        <v>54</v>
      </c>
      <c r="C142" s="116" t="s">
        <v>57</v>
      </c>
      <c r="D142" s="115" t="s">
        <v>60</v>
      </c>
      <c r="E142" s="119" t="s">
        <v>1192</v>
      </c>
      <c r="F142" s="118" t="s">
        <v>61</v>
      </c>
      <c r="G142" s="118" t="s">
        <v>69</v>
      </c>
      <c r="H142" s="118" t="s">
        <v>609</v>
      </c>
      <c r="I142" s="133">
        <v>15000000</v>
      </c>
      <c r="J142" s="118"/>
      <c r="K142" s="121"/>
      <c r="L142" s="121"/>
      <c r="M142" s="122">
        <f t="shared" si="2"/>
        <v>15000000</v>
      </c>
      <c r="N142" s="117">
        <v>1083028660</v>
      </c>
      <c r="O142" s="136" t="s">
        <v>1036</v>
      </c>
      <c r="P142" s="116" t="s">
        <v>1193</v>
      </c>
      <c r="Q142" s="124">
        <v>45049</v>
      </c>
      <c r="R142" s="124">
        <v>45049</v>
      </c>
      <c r="S142" s="124">
        <v>45198</v>
      </c>
      <c r="T142" s="125" t="s">
        <v>612</v>
      </c>
      <c r="U142" s="124"/>
      <c r="V142" s="124"/>
      <c r="W142" s="126"/>
      <c r="X142" s="127"/>
      <c r="Y142" s="121">
        <v>6000000</v>
      </c>
      <c r="Z142" s="120">
        <v>9000000</v>
      </c>
      <c r="AA142" s="139">
        <v>0.4</v>
      </c>
      <c r="AB142" s="119">
        <v>40039797</v>
      </c>
      <c r="AC142" s="136" t="s">
        <v>1194</v>
      </c>
      <c r="AD142" s="116"/>
      <c r="AE142" s="116"/>
      <c r="AF142" s="125"/>
      <c r="AG142" s="129" t="s">
        <v>1195</v>
      </c>
      <c r="AH142" s="119" t="s">
        <v>192</v>
      </c>
      <c r="AI142" s="119" t="s">
        <v>192</v>
      </c>
    </row>
    <row r="143" spans="1:35" s="130" customFormat="1" ht="17.25" customHeight="1" x14ac:dyDescent="0.25">
      <c r="A143" s="114">
        <v>891780111</v>
      </c>
      <c r="B143" s="115" t="s">
        <v>54</v>
      </c>
      <c r="C143" s="116" t="s">
        <v>57</v>
      </c>
      <c r="D143" s="115" t="s">
        <v>60</v>
      </c>
      <c r="E143" s="119" t="s">
        <v>1196</v>
      </c>
      <c r="F143" s="118" t="s">
        <v>61</v>
      </c>
      <c r="G143" s="118" t="s">
        <v>69</v>
      </c>
      <c r="H143" s="118" t="s">
        <v>609</v>
      </c>
      <c r="I143" s="133">
        <v>15000000</v>
      </c>
      <c r="J143" s="118"/>
      <c r="K143" s="121"/>
      <c r="L143" s="121"/>
      <c r="M143" s="122">
        <f t="shared" si="2"/>
        <v>15000000</v>
      </c>
      <c r="N143" s="117">
        <v>1118801469</v>
      </c>
      <c r="O143" s="136" t="s">
        <v>1197</v>
      </c>
      <c r="P143" s="116" t="s">
        <v>1198</v>
      </c>
      <c r="Q143" s="124">
        <v>45049</v>
      </c>
      <c r="R143" s="124">
        <v>45049</v>
      </c>
      <c r="S143" s="124">
        <v>45198</v>
      </c>
      <c r="T143" s="125" t="s">
        <v>612</v>
      </c>
      <c r="U143" s="124"/>
      <c r="V143" s="124"/>
      <c r="W143" s="126"/>
      <c r="X143" s="127"/>
      <c r="Y143" s="121">
        <v>6000000</v>
      </c>
      <c r="Z143" s="120">
        <v>9000000</v>
      </c>
      <c r="AA143" s="139">
        <v>0.4</v>
      </c>
      <c r="AB143" s="119">
        <v>40039797</v>
      </c>
      <c r="AC143" s="136" t="s">
        <v>1194</v>
      </c>
      <c r="AD143" s="116"/>
      <c r="AE143" s="116"/>
      <c r="AF143" s="125"/>
      <c r="AG143" s="129" t="s">
        <v>1199</v>
      </c>
      <c r="AH143" s="119" t="s">
        <v>192</v>
      </c>
      <c r="AI143" s="119" t="s">
        <v>192</v>
      </c>
    </row>
    <row r="144" spans="1:35" s="130" customFormat="1" ht="17.25" customHeight="1" x14ac:dyDescent="0.25">
      <c r="A144" s="114">
        <v>891780111</v>
      </c>
      <c r="B144" s="115" t="s">
        <v>54</v>
      </c>
      <c r="C144" s="116" t="s">
        <v>57</v>
      </c>
      <c r="D144" s="115" t="s">
        <v>60</v>
      </c>
      <c r="E144" s="119" t="s">
        <v>1200</v>
      </c>
      <c r="F144" s="118" t="s">
        <v>61</v>
      </c>
      <c r="G144" s="118" t="s">
        <v>69</v>
      </c>
      <c r="H144" s="118" t="s">
        <v>609</v>
      </c>
      <c r="I144" s="133">
        <v>14000000</v>
      </c>
      <c r="J144" s="118"/>
      <c r="K144" s="121"/>
      <c r="L144" s="121"/>
      <c r="M144" s="122">
        <f t="shared" si="2"/>
        <v>14000000</v>
      </c>
      <c r="N144" s="117">
        <v>1082928058</v>
      </c>
      <c r="O144" s="136" t="s">
        <v>1201</v>
      </c>
      <c r="P144" s="116" t="s">
        <v>1202</v>
      </c>
      <c r="Q144" s="124">
        <v>45051</v>
      </c>
      <c r="R144" s="124">
        <v>45051</v>
      </c>
      <c r="S144" s="124">
        <v>45173</v>
      </c>
      <c r="T144" s="125" t="s">
        <v>612</v>
      </c>
      <c r="U144" s="124"/>
      <c r="V144" s="124"/>
      <c r="W144" s="126"/>
      <c r="X144" s="127"/>
      <c r="Y144" s="121">
        <v>7000000</v>
      </c>
      <c r="Z144" s="120">
        <v>7000000</v>
      </c>
      <c r="AA144" s="139">
        <v>0.5</v>
      </c>
      <c r="AB144" s="119">
        <v>39049658</v>
      </c>
      <c r="AC144" s="136" t="s">
        <v>699</v>
      </c>
      <c r="AD144" s="116"/>
      <c r="AE144" s="116"/>
      <c r="AF144" s="125"/>
      <c r="AG144" s="129" t="s">
        <v>1203</v>
      </c>
      <c r="AH144" s="119" t="s">
        <v>192</v>
      </c>
      <c r="AI144" s="119" t="s">
        <v>192</v>
      </c>
    </row>
    <row r="145" spans="1:35" s="130" customFormat="1" ht="17.25" customHeight="1" x14ac:dyDescent="0.25">
      <c r="A145" s="114">
        <v>891780111</v>
      </c>
      <c r="B145" s="115" t="s">
        <v>54</v>
      </c>
      <c r="C145" s="116" t="s">
        <v>57</v>
      </c>
      <c r="D145" s="115" t="s">
        <v>60</v>
      </c>
      <c r="E145" s="119" t="s">
        <v>1204</v>
      </c>
      <c r="F145" s="118" t="s">
        <v>61</v>
      </c>
      <c r="G145" s="118" t="s">
        <v>69</v>
      </c>
      <c r="H145" s="118" t="s">
        <v>609</v>
      </c>
      <c r="I145" s="133">
        <v>25427440</v>
      </c>
      <c r="J145" s="118"/>
      <c r="K145" s="121"/>
      <c r="L145" s="121"/>
      <c r="M145" s="122">
        <f t="shared" si="2"/>
        <v>25427440</v>
      </c>
      <c r="N145" s="117">
        <v>1090405341</v>
      </c>
      <c r="O145" s="136" t="s">
        <v>1205</v>
      </c>
      <c r="P145" s="116" t="s">
        <v>1206</v>
      </c>
      <c r="Q145" s="124">
        <v>45054</v>
      </c>
      <c r="R145" s="124">
        <v>45054</v>
      </c>
      <c r="S145" s="124">
        <v>45230</v>
      </c>
      <c r="T145" s="125" t="s">
        <v>612</v>
      </c>
      <c r="U145" s="124"/>
      <c r="V145" s="124"/>
      <c r="W145" s="126"/>
      <c r="X145" s="127"/>
      <c r="Y145" s="121">
        <v>0</v>
      </c>
      <c r="Z145" s="120">
        <v>25427440</v>
      </c>
      <c r="AA145" s="139">
        <v>0</v>
      </c>
      <c r="AB145" s="119">
        <v>26202588</v>
      </c>
      <c r="AC145" s="136" t="s">
        <v>1207</v>
      </c>
      <c r="AD145" s="116"/>
      <c r="AE145" s="116"/>
      <c r="AF145" s="125"/>
      <c r="AG145" s="129" t="s">
        <v>1208</v>
      </c>
      <c r="AH145" s="119" t="s">
        <v>192</v>
      </c>
      <c r="AI145" s="119" t="s">
        <v>192</v>
      </c>
    </row>
    <row r="146" spans="1:35" s="130" customFormat="1" ht="17.25" customHeight="1" x14ac:dyDescent="0.25">
      <c r="A146" s="114">
        <v>891780111</v>
      </c>
      <c r="B146" s="115" t="s">
        <v>54</v>
      </c>
      <c r="C146" s="116" t="s">
        <v>57</v>
      </c>
      <c r="D146" s="115" t="s">
        <v>60</v>
      </c>
      <c r="E146" s="119" t="s">
        <v>1209</v>
      </c>
      <c r="F146" s="118" t="s">
        <v>61</v>
      </c>
      <c r="G146" s="118" t="s">
        <v>69</v>
      </c>
      <c r="H146" s="118" t="s">
        <v>609</v>
      </c>
      <c r="I146" s="133">
        <v>6000000</v>
      </c>
      <c r="J146" s="118"/>
      <c r="K146" s="121"/>
      <c r="L146" s="121"/>
      <c r="M146" s="122">
        <f t="shared" si="2"/>
        <v>6000000</v>
      </c>
      <c r="N146" s="117">
        <v>1083034324</v>
      </c>
      <c r="O146" s="136" t="s">
        <v>1210</v>
      </c>
      <c r="P146" s="116" t="s">
        <v>1211</v>
      </c>
      <c r="Q146" s="124">
        <v>45054</v>
      </c>
      <c r="R146" s="124">
        <v>45054</v>
      </c>
      <c r="S146" s="124">
        <v>45107</v>
      </c>
      <c r="T146" s="125" t="s">
        <v>612</v>
      </c>
      <c r="U146" s="124"/>
      <c r="V146" s="124"/>
      <c r="W146" s="126"/>
      <c r="X146" s="127"/>
      <c r="Y146" s="121">
        <v>6000000</v>
      </c>
      <c r="Z146" s="120">
        <v>0</v>
      </c>
      <c r="AA146" s="139">
        <v>1</v>
      </c>
      <c r="AB146" s="119">
        <v>39049658</v>
      </c>
      <c r="AC146" s="136" t="s">
        <v>699</v>
      </c>
      <c r="AD146" s="116"/>
      <c r="AE146" s="116"/>
      <c r="AF146" s="125"/>
      <c r="AG146" s="129" t="s">
        <v>1212</v>
      </c>
      <c r="AH146" s="119" t="s">
        <v>192</v>
      </c>
      <c r="AI146" s="119" t="s">
        <v>192</v>
      </c>
    </row>
    <row r="147" spans="1:35" s="130" customFormat="1" ht="17.25" customHeight="1" x14ac:dyDescent="0.25">
      <c r="A147" s="114">
        <v>891780111</v>
      </c>
      <c r="B147" s="115" t="s">
        <v>54</v>
      </c>
      <c r="C147" s="116" t="s">
        <v>57</v>
      </c>
      <c r="D147" s="115" t="s">
        <v>60</v>
      </c>
      <c r="E147" s="119" t="s">
        <v>1213</v>
      </c>
      <c r="F147" s="118" t="s">
        <v>61</v>
      </c>
      <c r="G147" s="118" t="s">
        <v>69</v>
      </c>
      <c r="H147" s="118" t="s">
        <v>609</v>
      </c>
      <c r="I147" s="133">
        <v>22597679</v>
      </c>
      <c r="J147" s="118"/>
      <c r="K147" s="121"/>
      <c r="L147" s="121"/>
      <c r="M147" s="122">
        <f t="shared" si="2"/>
        <v>22597679</v>
      </c>
      <c r="N147" s="119">
        <v>26732300</v>
      </c>
      <c r="O147" s="123" t="s">
        <v>1214</v>
      </c>
      <c r="P147" s="116" t="s">
        <v>1215</v>
      </c>
      <c r="Q147" s="124">
        <v>45057</v>
      </c>
      <c r="R147" s="124">
        <v>45057</v>
      </c>
      <c r="S147" s="124">
        <v>45230</v>
      </c>
      <c r="T147" s="125" t="s">
        <v>612</v>
      </c>
      <c r="U147" s="124"/>
      <c r="V147" s="124"/>
      <c r="W147" s="126"/>
      <c r="X147" s="127"/>
      <c r="Y147" s="121">
        <v>0</v>
      </c>
      <c r="Z147" s="120">
        <v>22597679</v>
      </c>
      <c r="AA147" s="139">
        <v>0</v>
      </c>
      <c r="AB147" s="119">
        <v>26202588</v>
      </c>
      <c r="AC147" s="123" t="s">
        <v>1207</v>
      </c>
      <c r="AD147" s="116"/>
      <c r="AE147" s="116"/>
      <c r="AF147" s="125"/>
      <c r="AG147" s="129" t="s">
        <v>1216</v>
      </c>
      <c r="AH147" s="119" t="s">
        <v>192</v>
      </c>
      <c r="AI147" s="119" t="s">
        <v>192</v>
      </c>
    </row>
    <row r="148" spans="1:35" s="130" customFormat="1" ht="17.25" customHeight="1" x14ac:dyDescent="0.25">
      <c r="A148" s="114">
        <v>891780111</v>
      </c>
      <c r="B148" s="115" t="s">
        <v>54</v>
      </c>
      <c r="C148" s="116" t="s">
        <v>57</v>
      </c>
      <c r="D148" s="115" t="s">
        <v>60</v>
      </c>
      <c r="E148" s="119" t="s">
        <v>1217</v>
      </c>
      <c r="F148" s="118" t="s">
        <v>61</v>
      </c>
      <c r="G148" s="118" t="s">
        <v>69</v>
      </c>
      <c r="H148" s="118" t="s">
        <v>609</v>
      </c>
      <c r="I148" s="133">
        <v>41574148</v>
      </c>
      <c r="J148" s="118"/>
      <c r="K148" s="121"/>
      <c r="L148" s="121"/>
      <c r="M148" s="122">
        <f t="shared" si="2"/>
        <v>41574148</v>
      </c>
      <c r="N148" s="119">
        <v>29562106</v>
      </c>
      <c r="O148" s="123" t="s">
        <v>1218</v>
      </c>
      <c r="P148" s="116" t="s">
        <v>1219</v>
      </c>
      <c r="Q148" s="124">
        <v>45062</v>
      </c>
      <c r="R148" s="124">
        <v>45062</v>
      </c>
      <c r="S148" s="124">
        <v>45230</v>
      </c>
      <c r="T148" s="125" t="s">
        <v>612</v>
      </c>
      <c r="U148" s="124"/>
      <c r="V148" s="124"/>
      <c r="W148" s="126"/>
      <c r="X148" s="127"/>
      <c r="Y148" s="121">
        <v>3779468</v>
      </c>
      <c r="Z148" s="120">
        <v>37794680</v>
      </c>
      <c r="AA148" s="139">
        <v>9.0909090909090939E-2</v>
      </c>
      <c r="AB148" s="119">
        <v>26202588</v>
      </c>
      <c r="AC148" s="123" t="s">
        <v>1220</v>
      </c>
      <c r="AD148" s="116"/>
      <c r="AE148" s="116"/>
      <c r="AF148" s="125"/>
      <c r="AG148" s="129" t="s">
        <v>1221</v>
      </c>
      <c r="AH148" s="119" t="s">
        <v>192</v>
      </c>
      <c r="AI148" s="119" t="s">
        <v>192</v>
      </c>
    </row>
    <row r="149" spans="1:35" s="130" customFormat="1" ht="17.25" customHeight="1" x14ac:dyDescent="0.25">
      <c r="A149" s="114">
        <v>891780111</v>
      </c>
      <c r="B149" s="115" t="s">
        <v>54</v>
      </c>
      <c r="C149" s="116" t="s">
        <v>57</v>
      </c>
      <c r="D149" s="115" t="s">
        <v>60</v>
      </c>
      <c r="E149" s="119" t="s">
        <v>1222</v>
      </c>
      <c r="F149" s="118" t="s">
        <v>61</v>
      </c>
      <c r="G149" s="118" t="s">
        <v>69</v>
      </c>
      <c r="H149" s="118" t="s">
        <v>609</v>
      </c>
      <c r="I149" s="133">
        <v>17500000</v>
      </c>
      <c r="J149" s="118"/>
      <c r="K149" s="121"/>
      <c r="L149" s="121"/>
      <c r="M149" s="122">
        <f t="shared" si="2"/>
        <v>17500000</v>
      </c>
      <c r="N149" s="119">
        <v>1020794175</v>
      </c>
      <c r="O149" s="123" t="s">
        <v>1110</v>
      </c>
      <c r="P149" s="116" t="s">
        <v>1223</v>
      </c>
      <c r="Q149" s="124">
        <v>45062</v>
      </c>
      <c r="R149" s="124">
        <v>45062</v>
      </c>
      <c r="S149" s="124">
        <v>45214</v>
      </c>
      <c r="T149" s="125" t="s">
        <v>612</v>
      </c>
      <c r="U149" s="124"/>
      <c r="V149" s="124"/>
      <c r="W149" s="126"/>
      <c r="X149" s="127"/>
      <c r="Y149" s="121">
        <v>8750000</v>
      </c>
      <c r="Z149" s="120">
        <v>8750000</v>
      </c>
      <c r="AA149" s="139">
        <v>0.5</v>
      </c>
      <c r="AB149" s="119">
        <v>39049658</v>
      </c>
      <c r="AC149" s="123" t="s">
        <v>699</v>
      </c>
      <c r="AD149" s="116"/>
      <c r="AE149" s="116"/>
      <c r="AF149" s="125"/>
      <c r="AG149" s="129" t="s">
        <v>1224</v>
      </c>
      <c r="AH149" s="119" t="s">
        <v>192</v>
      </c>
      <c r="AI149" s="119" t="s">
        <v>192</v>
      </c>
    </row>
    <row r="150" spans="1:35" s="130" customFormat="1" ht="17.25" customHeight="1" x14ac:dyDescent="0.25">
      <c r="A150" s="114">
        <v>891780111</v>
      </c>
      <c r="B150" s="115" t="s">
        <v>54</v>
      </c>
      <c r="C150" s="116" t="s">
        <v>57</v>
      </c>
      <c r="D150" s="115" t="s">
        <v>60</v>
      </c>
      <c r="E150" s="119" t="s">
        <v>1225</v>
      </c>
      <c r="F150" s="118" t="s">
        <v>61</v>
      </c>
      <c r="G150" s="118" t="s">
        <v>69</v>
      </c>
      <c r="H150" s="118" t="s">
        <v>609</v>
      </c>
      <c r="I150" s="133">
        <v>4333333</v>
      </c>
      <c r="J150" s="118"/>
      <c r="K150" s="121"/>
      <c r="L150" s="121"/>
      <c r="M150" s="122">
        <f t="shared" si="2"/>
        <v>4333333</v>
      </c>
      <c r="N150" s="117">
        <v>1082999406</v>
      </c>
      <c r="O150" s="123" t="s">
        <v>901</v>
      </c>
      <c r="P150" s="116" t="s">
        <v>1226</v>
      </c>
      <c r="Q150" s="124">
        <v>45064</v>
      </c>
      <c r="R150" s="124">
        <v>45064</v>
      </c>
      <c r="S150" s="124">
        <v>45116</v>
      </c>
      <c r="T150" s="125" t="s">
        <v>612</v>
      </c>
      <c r="U150" s="124"/>
      <c r="V150" s="124"/>
      <c r="W150" s="126"/>
      <c r="X150" s="127"/>
      <c r="Y150" s="121">
        <v>4333333</v>
      </c>
      <c r="Z150" s="120">
        <v>0</v>
      </c>
      <c r="AA150" s="139">
        <v>1</v>
      </c>
      <c r="AB150" s="119">
        <v>63563343</v>
      </c>
      <c r="AC150" s="136" t="s">
        <v>806</v>
      </c>
      <c r="AD150" s="116"/>
      <c r="AE150" s="116"/>
      <c r="AF150" s="125"/>
      <c r="AG150" s="129" t="s">
        <v>1227</v>
      </c>
      <c r="AH150" s="119" t="s">
        <v>192</v>
      </c>
      <c r="AI150" s="119" t="s">
        <v>192</v>
      </c>
    </row>
    <row r="151" spans="1:35" s="130" customFormat="1" ht="17.25" customHeight="1" x14ac:dyDescent="0.25">
      <c r="A151" s="114">
        <v>891780111</v>
      </c>
      <c r="B151" s="115" t="s">
        <v>54</v>
      </c>
      <c r="C151" s="116" t="s">
        <v>57</v>
      </c>
      <c r="D151" s="115" t="s">
        <v>60</v>
      </c>
      <c r="E151" s="119" t="s">
        <v>1228</v>
      </c>
      <c r="F151" s="118" t="s">
        <v>61</v>
      </c>
      <c r="G151" s="118" t="s">
        <v>69</v>
      </c>
      <c r="H151" s="118" t="s">
        <v>609</v>
      </c>
      <c r="I151" s="120">
        <v>10000000</v>
      </c>
      <c r="J151" s="118"/>
      <c r="K151" s="121"/>
      <c r="L151" s="121"/>
      <c r="M151" s="122">
        <f t="shared" si="2"/>
        <v>10000000</v>
      </c>
      <c r="N151" s="117">
        <v>1140891541</v>
      </c>
      <c r="O151" s="123" t="s">
        <v>973</v>
      </c>
      <c r="P151" s="116" t="s">
        <v>1229</v>
      </c>
      <c r="Q151" s="124">
        <v>45083</v>
      </c>
      <c r="R151" s="124">
        <v>45083</v>
      </c>
      <c r="S151" s="124">
        <v>45198</v>
      </c>
      <c r="T151" s="125" t="s">
        <v>612</v>
      </c>
      <c r="U151" s="124"/>
      <c r="V151" s="124"/>
      <c r="W151" s="126"/>
      <c r="X151" s="127"/>
      <c r="Y151" s="121">
        <v>2500000</v>
      </c>
      <c r="Z151" s="120">
        <v>7500000</v>
      </c>
      <c r="AA151" s="139">
        <v>0.25</v>
      </c>
      <c r="AB151" s="119">
        <v>79857491</v>
      </c>
      <c r="AC151" s="123" t="s">
        <v>975</v>
      </c>
      <c r="AD151" s="116"/>
      <c r="AE151" s="116"/>
      <c r="AF151" s="125"/>
      <c r="AG151" s="129" t="s">
        <v>1230</v>
      </c>
      <c r="AH151" s="119" t="s">
        <v>192</v>
      </c>
      <c r="AI151" s="119" t="s">
        <v>192</v>
      </c>
    </row>
    <row r="152" spans="1:35" s="130" customFormat="1" ht="17.25" customHeight="1" x14ac:dyDescent="0.25">
      <c r="A152" s="114">
        <v>891780111</v>
      </c>
      <c r="B152" s="115" t="s">
        <v>54</v>
      </c>
      <c r="C152" s="116" t="s">
        <v>57</v>
      </c>
      <c r="D152" s="115" t="s">
        <v>60</v>
      </c>
      <c r="E152" s="119" t="s">
        <v>1231</v>
      </c>
      <c r="F152" s="118" t="s">
        <v>61</v>
      </c>
      <c r="G152" s="118" t="s">
        <v>69</v>
      </c>
      <c r="H152" s="118" t="s">
        <v>609</v>
      </c>
      <c r="I152" s="120">
        <v>18900000</v>
      </c>
      <c r="J152" s="118"/>
      <c r="K152" s="121"/>
      <c r="L152" s="121"/>
      <c r="M152" s="122">
        <f t="shared" si="2"/>
        <v>18900000</v>
      </c>
      <c r="N152" s="117">
        <v>1082835588</v>
      </c>
      <c r="O152" s="123" t="s">
        <v>1232</v>
      </c>
      <c r="P152" s="116" t="s">
        <v>1233</v>
      </c>
      <c r="Q152" s="124">
        <v>45083</v>
      </c>
      <c r="R152" s="124">
        <v>45083</v>
      </c>
      <c r="S152" s="124">
        <v>45289</v>
      </c>
      <c r="T152" s="125" t="s">
        <v>612</v>
      </c>
      <c r="U152" s="124"/>
      <c r="V152" s="124"/>
      <c r="W152" s="126"/>
      <c r="X152" s="127"/>
      <c r="Y152" s="121">
        <v>2700000</v>
      </c>
      <c r="Z152" s="120">
        <v>16200000</v>
      </c>
      <c r="AA152" s="139">
        <v>0.1428571428571429</v>
      </c>
      <c r="AB152" s="119">
        <v>365894</v>
      </c>
      <c r="AC152" s="123" t="s">
        <v>1234</v>
      </c>
      <c r="AD152" s="116"/>
      <c r="AE152" s="116"/>
      <c r="AF152" s="125"/>
      <c r="AG152" s="129" t="s">
        <v>1235</v>
      </c>
      <c r="AH152" s="119" t="s">
        <v>192</v>
      </c>
      <c r="AI152" s="119" t="s">
        <v>192</v>
      </c>
    </row>
    <row r="153" spans="1:35" s="130" customFormat="1" ht="17.25" customHeight="1" x14ac:dyDescent="0.25">
      <c r="A153" s="114">
        <v>891780111</v>
      </c>
      <c r="B153" s="115" t="s">
        <v>54</v>
      </c>
      <c r="C153" s="116" t="s">
        <v>57</v>
      </c>
      <c r="D153" s="115" t="s">
        <v>60</v>
      </c>
      <c r="E153" s="119" t="s">
        <v>1236</v>
      </c>
      <c r="F153" s="118" t="s">
        <v>61</v>
      </c>
      <c r="G153" s="118" t="s">
        <v>69</v>
      </c>
      <c r="H153" s="118" t="s">
        <v>609</v>
      </c>
      <c r="I153" s="120">
        <v>8268000</v>
      </c>
      <c r="J153" s="118"/>
      <c r="K153" s="121"/>
      <c r="L153" s="121"/>
      <c r="M153" s="122">
        <f t="shared" si="2"/>
        <v>8268000</v>
      </c>
      <c r="N153" s="117">
        <v>1003241982</v>
      </c>
      <c r="O153" s="123" t="s">
        <v>978</v>
      </c>
      <c r="P153" s="116" t="s">
        <v>1237</v>
      </c>
      <c r="Q153" s="124">
        <v>45083</v>
      </c>
      <c r="R153" s="124">
        <v>45083</v>
      </c>
      <c r="S153" s="124">
        <v>45198</v>
      </c>
      <c r="T153" s="125" t="s">
        <v>612</v>
      </c>
      <c r="U153" s="124"/>
      <c r="V153" s="124"/>
      <c r="W153" s="126"/>
      <c r="X153" s="127"/>
      <c r="Y153" s="121">
        <v>2067000</v>
      </c>
      <c r="Z153" s="120">
        <v>6201000</v>
      </c>
      <c r="AA153" s="139">
        <v>0.25</v>
      </c>
      <c r="AB153" s="119">
        <v>79857491</v>
      </c>
      <c r="AC153" s="123" t="s">
        <v>980</v>
      </c>
      <c r="AD153" s="116"/>
      <c r="AE153" s="116"/>
      <c r="AF153" s="125"/>
      <c r="AG153" s="129" t="s">
        <v>1238</v>
      </c>
      <c r="AH153" s="119" t="s">
        <v>192</v>
      </c>
      <c r="AI153" s="119" t="s">
        <v>192</v>
      </c>
    </row>
    <row r="154" spans="1:35" s="130" customFormat="1" ht="17.25" customHeight="1" x14ac:dyDescent="0.25">
      <c r="A154" s="114">
        <v>891780111</v>
      </c>
      <c r="B154" s="115" t="s">
        <v>54</v>
      </c>
      <c r="C154" s="116" t="s">
        <v>57</v>
      </c>
      <c r="D154" s="115" t="s">
        <v>60</v>
      </c>
      <c r="E154" s="119" t="s">
        <v>1239</v>
      </c>
      <c r="F154" s="118" t="s">
        <v>61</v>
      </c>
      <c r="G154" s="118" t="s">
        <v>69</v>
      </c>
      <c r="H154" s="118" t="s">
        <v>609</v>
      </c>
      <c r="I154" s="120">
        <v>10500000</v>
      </c>
      <c r="J154" s="118"/>
      <c r="K154" s="121"/>
      <c r="L154" s="121"/>
      <c r="M154" s="122">
        <f t="shared" si="2"/>
        <v>10500000</v>
      </c>
      <c r="N154" s="117">
        <v>1065637083</v>
      </c>
      <c r="O154" s="123" t="s">
        <v>1006</v>
      </c>
      <c r="P154" s="116" t="s">
        <v>1240</v>
      </c>
      <c r="Q154" s="124">
        <v>45085</v>
      </c>
      <c r="R154" s="124">
        <v>45085</v>
      </c>
      <c r="S154" s="124">
        <v>45289</v>
      </c>
      <c r="T154" s="125" t="s">
        <v>612</v>
      </c>
      <c r="U154" s="124"/>
      <c r="V154" s="124"/>
      <c r="W154" s="126"/>
      <c r="X154" s="127"/>
      <c r="Y154" s="121">
        <v>1500000</v>
      </c>
      <c r="Z154" s="120">
        <v>9000000</v>
      </c>
      <c r="AA154" s="139">
        <v>0.1428571428571429</v>
      </c>
      <c r="AB154" s="119">
        <v>79857491</v>
      </c>
      <c r="AC154" s="123" t="s">
        <v>975</v>
      </c>
      <c r="AD154" s="116"/>
      <c r="AE154" s="116"/>
      <c r="AF154" s="125"/>
      <c r="AG154" s="129" t="s">
        <v>1241</v>
      </c>
      <c r="AH154" s="119" t="s">
        <v>192</v>
      </c>
      <c r="AI154" s="119" t="s">
        <v>192</v>
      </c>
    </row>
    <row r="155" spans="1:35" s="130" customFormat="1" ht="17.25" customHeight="1" x14ac:dyDescent="0.25">
      <c r="A155" s="114">
        <v>891780111</v>
      </c>
      <c r="B155" s="115" t="s">
        <v>54</v>
      </c>
      <c r="C155" s="116" t="s">
        <v>57</v>
      </c>
      <c r="D155" s="115" t="s">
        <v>60</v>
      </c>
      <c r="E155" s="119" t="s">
        <v>1242</v>
      </c>
      <c r="F155" s="118" t="s">
        <v>61</v>
      </c>
      <c r="G155" s="118" t="s">
        <v>69</v>
      </c>
      <c r="H155" s="118" t="s">
        <v>609</v>
      </c>
      <c r="I155" s="120">
        <v>1700000</v>
      </c>
      <c r="J155" s="118"/>
      <c r="K155" s="121"/>
      <c r="L155" s="121"/>
      <c r="M155" s="122">
        <f t="shared" si="2"/>
        <v>1700000</v>
      </c>
      <c r="N155" s="117">
        <v>57299250</v>
      </c>
      <c r="O155" s="123" t="s">
        <v>837</v>
      </c>
      <c r="P155" s="116" t="s">
        <v>1243</v>
      </c>
      <c r="Q155" s="124">
        <v>45092</v>
      </c>
      <c r="R155" s="124">
        <v>45092</v>
      </c>
      <c r="S155" s="124">
        <v>45107</v>
      </c>
      <c r="T155" s="125" t="s">
        <v>612</v>
      </c>
      <c r="U155" s="124"/>
      <c r="V155" s="124"/>
      <c r="W155" s="126"/>
      <c r="X155" s="127"/>
      <c r="Y155" s="121">
        <v>0</v>
      </c>
      <c r="Z155" s="120">
        <v>1700000</v>
      </c>
      <c r="AA155" s="139">
        <v>0</v>
      </c>
      <c r="AB155" s="119">
        <v>63563343</v>
      </c>
      <c r="AC155" s="123" t="s">
        <v>806</v>
      </c>
      <c r="AD155" s="116"/>
      <c r="AE155" s="116"/>
      <c r="AF155" s="125"/>
      <c r="AG155" s="140" t="s">
        <v>1244</v>
      </c>
      <c r="AH155" s="119" t="s">
        <v>192</v>
      </c>
      <c r="AI155" s="119" t="s">
        <v>192</v>
      </c>
    </row>
    <row r="156" spans="1:35" s="130" customFormat="1" ht="17.25" customHeight="1" x14ac:dyDescent="0.25">
      <c r="A156" s="114">
        <v>891780111</v>
      </c>
      <c r="B156" s="115" t="s">
        <v>54</v>
      </c>
      <c r="C156" s="116" t="s">
        <v>57</v>
      </c>
      <c r="D156" s="115" t="s">
        <v>60</v>
      </c>
      <c r="E156" s="119" t="s">
        <v>1245</v>
      </c>
      <c r="F156" s="118" t="s">
        <v>61</v>
      </c>
      <c r="G156" s="118" t="s">
        <v>69</v>
      </c>
      <c r="H156" s="118" t="s">
        <v>609</v>
      </c>
      <c r="I156" s="120">
        <v>15400000</v>
      </c>
      <c r="J156" s="118"/>
      <c r="K156" s="121"/>
      <c r="L156" s="121"/>
      <c r="M156" s="122">
        <f t="shared" si="2"/>
        <v>15400000</v>
      </c>
      <c r="N156" s="117">
        <v>1083022922</v>
      </c>
      <c r="O156" s="123" t="s">
        <v>1246</v>
      </c>
      <c r="P156" s="116" t="s">
        <v>1247</v>
      </c>
      <c r="Q156" s="124">
        <v>45093</v>
      </c>
      <c r="R156" s="124">
        <v>45093</v>
      </c>
      <c r="S156" s="124">
        <v>45270</v>
      </c>
      <c r="T156" s="125" t="s">
        <v>612</v>
      </c>
      <c r="U156" s="124"/>
      <c r="V156" s="124"/>
      <c r="W156" s="126"/>
      <c r="X156" s="127"/>
      <c r="Y156" s="121">
        <v>2640000</v>
      </c>
      <c r="Z156" s="120">
        <v>12760000</v>
      </c>
      <c r="AA156" s="139">
        <v>0.17142857142857137</v>
      </c>
      <c r="AB156" s="119">
        <v>91156594</v>
      </c>
      <c r="AC156" s="123" t="s">
        <v>1248</v>
      </c>
      <c r="AD156" s="116"/>
      <c r="AE156" s="116"/>
      <c r="AF156" s="125"/>
      <c r="AG156" s="140" t="s">
        <v>1249</v>
      </c>
      <c r="AH156" s="119" t="s">
        <v>192</v>
      </c>
      <c r="AI156" s="119" t="s">
        <v>192</v>
      </c>
    </row>
    <row r="157" spans="1:35" s="130" customFormat="1" ht="17.25" customHeight="1" x14ac:dyDescent="0.25">
      <c r="A157" s="114">
        <v>891780111</v>
      </c>
      <c r="B157" s="115" t="s">
        <v>54</v>
      </c>
      <c r="C157" s="116" t="s">
        <v>57</v>
      </c>
      <c r="D157" s="115" t="s">
        <v>60</v>
      </c>
      <c r="E157" s="119" t="s">
        <v>1250</v>
      </c>
      <c r="F157" s="118" t="s">
        <v>61</v>
      </c>
      <c r="G157" s="118" t="s">
        <v>69</v>
      </c>
      <c r="H157" s="118" t="s">
        <v>609</v>
      </c>
      <c r="I157" s="120">
        <v>23114000</v>
      </c>
      <c r="J157" s="118"/>
      <c r="K157" s="121"/>
      <c r="L157" s="121"/>
      <c r="M157" s="122">
        <f t="shared" si="2"/>
        <v>23114000</v>
      </c>
      <c r="N157" s="117">
        <v>1083034205</v>
      </c>
      <c r="O157" s="123" t="s">
        <v>1251</v>
      </c>
      <c r="P157" s="116" t="s">
        <v>1247</v>
      </c>
      <c r="Q157" s="124">
        <v>45093</v>
      </c>
      <c r="R157" s="124">
        <v>45093</v>
      </c>
      <c r="S157" s="124">
        <v>45270</v>
      </c>
      <c r="T157" s="125" t="s">
        <v>612</v>
      </c>
      <c r="U157" s="124"/>
      <c r="V157" s="124"/>
      <c r="W157" s="126"/>
      <c r="X157" s="127"/>
      <c r="Y157" s="121">
        <v>3962400</v>
      </c>
      <c r="Z157" s="120">
        <v>19151600</v>
      </c>
      <c r="AA157" s="139">
        <v>0.17142857142857137</v>
      </c>
      <c r="AB157" s="119">
        <v>91156594</v>
      </c>
      <c r="AC157" s="123" t="s">
        <v>1248</v>
      </c>
      <c r="AD157" s="116"/>
      <c r="AE157" s="116"/>
      <c r="AF157" s="125"/>
      <c r="AG157" s="140" t="s">
        <v>1252</v>
      </c>
      <c r="AH157" s="119" t="s">
        <v>192</v>
      </c>
      <c r="AI157" s="119" t="s">
        <v>192</v>
      </c>
    </row>
    <row r="158" spans="1:35" s="130" customFormat="1" ht="17.25" customHeight="1" x14ac:dyDescent="0.25">
      <c r="A158" s="114">
        <v>891780111</v>
      </c>
      <c r="B158" s="115" t="s">
        <v>54</v>
      </c>
      <c r="C158" s="116" t="s">
        <v>57</v>
      </c>
      <c r="D158" s="115" t="s">
        <v>60</v>
      </c>
      <c r="E158" s="119" t="s">
        <v>1253</v>
      </c>
      <c r="F158" s="118" t="s">
        <v>61</v>
      </c>
      <c r="G158" s="118" t="s">
        <v>69</v>
      </c>
      <c r="H158" s="118" t="s">
        <v>609</v>
      </c>
      <c r="I158" s="120">
        <v>3250000</v>
      </c>
      <c r="J158" s="118"/>
      <c r="K158" s="121"/>
      <c r="L158" s="121"/>
      <c r="M158" s="122">
        <f t="shared" si="2"/>
        <v>3250000</v>
      </c>
      <c r="N158" s="117">
        <v>1083025967</v>
      </c>
      <c r="O158" s="123" t="s">
        <v>1129</v>
      </c>
      <c r="P158" s="116" t="s">
        <v>1254</v>
      </c>
      <c r="Q158" s="124">
        <v>45093</v>
      </c>
      <c r="R158" s="124">
        <v>45093</v>
      </c>
      <c r="S158" s="124">
        <v>45122</v>
      </c>
      <c r="T158" s="125" t="s">
        <v>612</v>
      </c>
      <c r="U158" s="124"/>
      <c r="V158" s="124"/>
      <c r="W158" s="126"/>
      <c r="X158" s="127"/>
      <c r="Y158" s="121">
        <v>3250000</v>
      </c>
      <c r="Z158" s="120">
        <v>0</v>
      </c>
      <c r="AA158" s="139">
        <v>1</v>
      </c>
      <c r="AB158" s="119">
        <v>7601659</v>
      </c>
      <c r="AC158" s="123" t="s">
        <v>1131</v>
      </c>
      <c r="AD158" s="116"/>
      <c r="AE158" s="116"/>
      <c r="AF158" s="125"/>
      <c r="AG158" s="140" t="s">
        <v>1255</v>
      </c>
      <c r="AH158" s="119" t="s">
        <v>192</v>
      </c>
      <c r="AI158" s="119" t="s">
        <v>192</v>
      </c>
    </row>
    <row r="159" spans="1:35" s="130" customFormat="1" ht="17.25" customHeight="1" x14ac:dyDescent="0.25">
      <c r="A159" s="114">
        <v>891780111</v>
      </c>
      <c r="B159" s="115" t="s">
        <v>54</v>
      </c>
      <c r="C159" s="116" t="s">
        <v>57</v>
      </c>
      <c r="D159" s="115" t="s">
        <v>60</v>
      </c>
      <c r="E159" s="119" t="s">
        <v>1256</v>
      </c>
      <c r="F159" s="118" t="s">
        <v>61</v>
      </c>
      <c r="G159" s="118" t="s">
        <v>69</v>
      </c>
      <c r="H159" s="118" t="s">
        <v>609</v>
      </c>
      <c r="I159" s="137">
        <v>12000000</v>
      </c>
      <c r="J159" s="118"/>
      <c r="K159" s="121"/>
      <c r="L159" s="121"/>
      <c r="M159" s="122">
        <f t="shared" si="2"/>
        <v>12000000</v>
      </c>
      <c r="N159" s="117">
        <v>52695882</v>
      </c>
      <c r="O159" s="123" t="s">
        <v>646</v>
      </c>
      <c r="P159" s="116" t="s">
        <v>1257</v>
      </c>
      <c r="Q159" s="124">
        <v>45098</v>
      </c>
      <c r="R159" s="124">
        <v>45098</v>
      </c>
      <c r="S159" s="124">
        <v>45158</v>
      </c>
      <c r="T159" s="125" t="s">
        <v>612</v>
      </c>
      <c r="U159" s="124"/>
      <c r="V159" s="124"/>
      <c r="W159" s="126"/>
      <c r="X159" s="127"/>
      <c r="Y159" s="121">
        <v>10000000</v>
      </c>
      <c r="Z159" s="120">
        <v>2000000</v>
      </c>
      <c r="AA159" s="139">
        <v>0.83333333333333337</v>
      </c>
      <c r="AB159" s="119">
        <v>85155551</v>
      </c>
      <c r="AC159" s="123" t="s">
        <v>648</v>
      </c>
      <c r="AD159" s="116"/>
      <c r="AE159" s="116"/>
      <c r="AF159" s="125"/>
      <c r="AG159" s="140" t="s">
        <v>1258</v>
      </c>
      <c r="AH159" s="119" t="s">
        <v>192</v>
      </c>
      <c r="AI159" s="119" t="s">
        <v>192</v>
      </c>
    </row>
    <row r="160" spans="1:35" s="130" customFormat="1" ht="17.25" customHeight="1" x14ac:dyDescent="0.25">
      <c r="A160" s="114">
        <v>891780111</v>
      </c>
      <c r="B160" s="115" t="s">
        <v>54</v>
      </c>
      <c r="C160" s="116" t="s">
        <v>57</v>
      </c>
      <c r="D160" s="115" t="s">
        <v>60</v>
      </c>
      <c r="E160" s="119" t="s">
        <v>1259</v>
      </c>
      <c r="F160" s="118" t="s">
        <v>61</v>
      </c>
      <c r="G160" s="118" t="s">
        <v>69</v>
      </c>
      <c r="H160" s="118" t="s">
        <v>609</v>
      </c>
      <c r="I160" s="137">
        <v>42000000</v>
      </c>
      <c r="J160" s="118"/>
      <c r="K160" s="121"/>
      <c r="L160" s="121"/>
      <c r="M160" s="122">
        <f t="shared" si="2"/>
        <v>42000000</v>
      </c>
      <c r="N160" s="117">
        <v>1082987992</v>
      </c>
      <c r="O160" s="123" t="s">
        <v>1260</v>
      </c>
      <c r="P160" s="116" t="s">
        <v>1261</v>
      </c>
      <c r="Q160" s="124">
        <v>45098</v>
      </c>
      <c r="R160" s="124">
        <v>45098</v>
      </c>
      <c r="S160" s="124">
        <v>45463</v>
      </c>
      <c r="T160" s="125" t="s">
        <v>612</v>
      </c>
      <c r="U160" s="124"/>
      <c r="V160" s="124"/>
      <c r="W160" s="126"/>
      <c r="X160" s="127"/>
      <c r="Y160" s="121">
        <v>0</v>
      </c>
      <c r="Z160" s="120">
        <v>42000000</v>
      </c>
      <c r="AA160" s="139">
        <v>0</v>
      </c>
      <c r="AB160" s="119">
        <v>84091773</v>
      </c>
      <c r="AC160" s="123" t="s">
        <v>1262</v>
      </c>
      <c r="AD160" s="116"/>
      <c r="AE160" s="116"/>
      <c r="AF160" s="125"/>
      <c r="AG160" s="140" t="s">
        <v>1263</v>
      </c>
      <c r="AH160" s="119" t="s">
        <v>192</v>
      </c>
      <c r="AI160" s="119" t="s">
        <v>192</v>
      </c>
    </row>
    <row r="161" spans="1:35" s="130" customFormat="1" ht="17.25" customHeight="1" x14ac:dyDescent="0.25">
      <c r="A161" s="114">
        <v>891780111</v>
      </c>
      <c r="B161" s="115" t="s">
        <v>54</v>
      </c>
      <c r="C161" s="116" t="s">
        <v>57</v>
      </c>
      <c r="D161" s="115" t="s">
        <v>60</v>
      </c>
      <c r="E161" s="119" t="s">
        <v>1264</v>
      </c>
      <c r="F161" s="118" t="s">
        <v>61</v>
      </c>
      <c r="G161" s="118" t="s">
        <v>69</v>
      </c>
      <c r="H161" s="118" t="s">
        <v>609</v>
      </c>
      <c r="I161" s="120">
        <v>13935000</v>
      </c>
      <c r="J161" s="118"/>
      <c r="K161" s="121"/>
      <c r="L161" s="121"/>
      <c r="M161" s="122">
        <f t="shared" si="2"/>
        <v>13935000</v>
      </c>
      <c r="N161" s="117">
        <v>40935960</v>
      </c>
      <c r="O161" s="123" t="s">
        <v>1265</v>
      </c>
      <c r="P161" s="116" t="s">
        <v>1266</v>
      </c>
      <c r="Q161" s="124">
        <v>45103</v>
      </c>
      <c r="R161" s="124">
        <v>45103</v>
      </c>
      <c r="S161" s="124">
        <v>45278</v>
      </c>
      <c r="T161" s="125" t="s">
        <v>612</v>
      </c>
      <c r="U161" s="124"/>
      <c r="V161" s="124"/>
      <c r="W161" s="126"/>
      <c r="X161" s="127"/>
      <c r="Y161" s="121">
        <v>0</v>
      </c>
      <c r="Z161" s="120">
        <v>13935000</v>
      </c>
      <c r="AA161" s="139">
        <v>0</v>
      </c>
      <c r="AB161" s="119">
        <v>85477077</v>
      </c>
      <c r="AC161" s="136" t="s">
        <v>1267</v>
      </c>
      <c r="AD161" s="116"/>
      <c r="AE161" s="116"/>
      <c r="AF161" s="125"/>
      <c r="AG161" s="140" t="s">
        <v>1268</v>
      </c>
      <c r="AH161" s="119" t="s">
        <v>192</v>
      </c>
      <c r="AI161" s="119" t="s">
        <v>192</v>
      </c>
    </row>
    <row r="162" spans="1:35" s="130" customFormat="1" ht="17.25" customHeight="1" x14ac:dyDescent="0.25">
      <c r="A162" s="114">
        <v>891780111</v>
      </c>
      <c r="B162" s="115" t="s">
        <v>54</v>
      </c>
      <c r="C162" s="116" t="s">
        <v>57</v>
      </c>
      <c r="D162" s="115" t="s">
        <v>60</v>
      </c>
      <c r="E162" s="119" t="s">
        <v>1269</v>
      </c>
      <c r="F162" s="118" t="s">
        <v>61</v>
      </c>
      <c r="G162" s="118" t="s">
        <v>69</v>
      </c>
      <c r="H162" s="118" t="s">
        <v>609</v>
      </c>
      <c r="I162" s="120">
        <v>13935000</v>
      </c>
      <c r="J162" s="118"/>
      <c r="K162" s="121"/>
      <c r="L162" s="121"/>
      <c r="M162" s="122">
        <f t="shared" si="2"/>
        <v>13935000</v>
      </c>
      <c r="N162" s="117">
        <v>1083023752</v>
      </c>
      <c r="O162" s="123" t="s">
        <v>1270</v>
      </c>
      <c r="P162" s="116" t="s">
        <v>1271</v>
      </c>
      <c r="Q162" s="124">
        <v>45103</v>
      </c>
      <c r="R162" s="124">
        <v>45103</v>
      </c>
      <c r="S162" s="124">
        <v>45278</v>
      </c>
      <c r="T162" s="125" t="s">
        <v>612</v>
      </c>
      <c r="U162" s="124"/>
      <c r="V162" s="124"/>
      <c r="W162" s="126"/>
      <c r="X162" s="127"/>
      <c r="Y162" s="121">
        <v>0</v>
      </c>
      <c r="Z162" s="120">
        <v>13935000</v>
      </c>
      <c r="AA162" s="139">
        <v>0</v>
      </c>
      <c r="AB162" s="119">
        <v>85477077</v>
      </c>
      <c r="AC162" s="136" t="s">
        <v>1267</v>
      </c>
      <c r="AD162" s="116"/>
      <c r="AE162" s="116"/>
      <c r="AF162" s="125"/>
      <c r="AG162" s="141" t="s">
        <v>1272</v>
      </c>
      <c r="AH162" s="119" t="s">
        <v>192</v>
      </c>
      <c r="AI162" s="119" t="s">
        <v>192</v>
      </c>
    </row>
    <row r="163" spans="1:35" s="130" customFormat="1" ht="17.25" customHeight="1" x14ac:dyDescent="0.25">
      <c r="A163" s="114">
        <v>891780111</v>
      </c>
      <c r="B163" s="115" t="s">
        <v>54</v>
      </c>
      <c r="C163" s="116" t="s">
        <v>57</v>
      </c>
      <c r="D163" s="115" t="s">
        <v>60</v>
      </c>
      <c r="E163" s="119" t="s">
        <v>1273</v>
      </c>
      <c r="F163" s="118" t="s">
        <v>61</v>
      </c>
      <c r="G163" s="118" t="s">
        <v>69</v>
      </c>
      <c r="H163" s="118" t="s">
        <v>609</v>
      </c>
      <c r="I163" s="120">
        <v>13935000</v>
      </c>
      <c r="J163" s="118"/>
      <c r="K163" s="121"/>
      <c r="L163" s="121"/>
      <c r="M163" s="122">
        <f t="shared" si="2"/>
        <v>13935000</v>
      </c>
      <c r="N163" s="117">
        <v>1083016071</v>
      </c>
      <c r="O163" s="123" t="s">
        <v>1274</v>
      </c>
      <c r="P163" s="116" t="s">
        <v>1275</v>
      </c>
      <c r="Q163" s="124">
        <v>45103</v>
      </c>
      <c r="R163" s="124">
        <v>45103</v>
      </c>
      <c r="S163" s="124">
        <v>45278</v>
      </c>
      <c r="T163" s="125" t="s">
        <v>612</v>
      </c>
      <c r="U163" s="124"/>
      <c r="V163" s="124"/>
      <c r="W163" s="126"/>
      <c r="X163" s="127"/>
      <c r="Y163" s="121">
        <v>0</v>
      </c>
      <c r="Z163" s="120">
        <v>13935000</v>
      </c>
      <c r="AA163" s="139">
        <v>0</v>
      </c>
      <c r="AB163" s="119">
        <v>85477077</v>
      </c>
      <c r="AC163" s="136" t="s">
        <v>1267</v>
      </c>
      <c r="AD163" s="116"/>
      <c r="AE163" s="116"/>
      <c r="AF163" s="125"/>
      <c r="AG163" s="140" t="s">
        <v>1276</v>
      </c>
      <c r="AH163" s="119" t="s">
        <v>192</v>
      </c>
      <c r="AI163" s="119" t="s">
        <v>192</v>
      </c>
    </row>
    <row r="164" spans="1:35" s="130" customFormat="1" ht="17.25" customHeight="1" x14ac:dyDescent="0.25">
      <c r="A164" s="114">
        <v>891780111</v>
      </c>
      <c r="B164" s="115" t="s">
        <v>54</v>
      </c>
      <c r="C164" s="116" t="s">
        <v>57</v>
      </c>
      <c r="D164" s="115" t="s">
        <v>60</v>
      </c>
      <c r="E164" s="119" t="s">
        <v>1277</v>
      </c>
      <c r="F164" s="118" t="s">
        <v>61</v>
      </c>
      <c r="G164" s="118" t="s">
        <v>69</v>
      </c>
      <c r="H164" s="118" t="s">
        <v>609</v>
      </c>
      <c r="I164" s="120">
        <v>20066667</v>
      </c>
      <c r="J164" s="118"/>
      <c r="K164" s="121"/>
      <c r="L164" s="121"/>
      <c r="M164" s="122">
        <f t="shared" si="2"/>
        <v>20066667</v>
      </c>
      <c r="N164" s="117">
        <v>1081918985</v>
      </c>
      <c r="O164" s="123" t="s">
        <v>651</v>
      </c>
      <c r="P164" s="116" t="s">
        <v>1278</v>
      </c>
      <c r="Q164" s="124">
        <v>45111</v>
      </c>
      <c r="R164" s="124">
        <v>45111</v>
      </c>
      <c r="S164" s="124">
        <v>45282</v>
      </c>
      <c r="T164" s="125" t="s">
        <v>612</v>
      </c>
      <c r="U164" s="124"/>
      <c r="V164" s="124"/>
      <c r="W164" s="126"/>
      <c r="X164" s="127"/>
      <c r="Y164" s="121">
        <v>4100000</v>
      </c>
      <c r="Z164" s="120">
        <f>16566667-600000</f>
        <v>15966667</v>
      </c>
      <c r="AA164" s="139">
        <v>0.19838709357440176</v>
      </c>
      <c r="AB164" s="119">
        <v>85155551</v>
      </c>
      <c r="AC164" s="136" t="s">
        <v>648</v>
      </c>
      <c r="AD164" s="116"/>
      <c r="AE164" s="116"/>
      <c r="AF164" s="125"/>
      <c r="AG164" s="140" t="s">
        <v>1279</v>
      </c>
      <c r="AH164" s="119" t="s">
        <v>192</v>
      </c>
      <c r="AI164" s="119" t="s">
        <v>192</v>
      </c>
    </row>
    <row r="165" spans="1:35" s="130" customFormat="1" ht="17.25" customHeight="1" x14ac:dyDescent="0.25">
      <c r="A165" s="114">
        <v>891780111</v>
      </c>
      <c r="B165" s="115" t="s">
        <v>54</v>
      </c>
      <c r="C165" s="116" t="s">
        <v>57</v>
      </c>
      <c r="D165" s="115" t="s">
        <v>60</v>
      </c>
      <c r="E165" s="119" t="s">
        <v>1280</v>
      </c>
      <c r="F165" s="118" t="s">
        <v>61</v>
      </c>
      <c r="G165" s="118" t="s">
        <v>69</v>
      </c>
      <c r="H165" s="118" t="s">
        <v>609</v>
      </c>
      <c r="I165" s="120">
        <v>38380000</v>
      </c>
      <c r="J165" s="118"/>
      <c r="K165" s="121"/>
      <c r="L165" s="121"/>
      <c r="M165" s="122">
        <f t="shared" si="2"/>
        <v>38380000</v>
      </c>
      <c r="N165" s="117">
        <v>80766019</v>
      </c>
      <c r="O165" s="123" t="s">
        <v>616</v>
      </c>
      <c r="P165" s="116" t="s">
        <v>1281</v>
      </c>
      <c r="Q165" s="124">
        <v>45111</v>
      </c>
      <c r="R165" s="124">
        <v>45111</v>
      </c>
      <c r="S165" s="124">
        <v>45282</v>
      </c>
      <c r="T165" s="125" t="s">
        <v>612</v>
      </c>
      <c r="U165" s="124"/>
      <c r="V165" s="124"/>
      <c r="W165" s="126"/>
      <c r="X165" s="127"/>
      <c r="Y165" s="121">
        <v>6650000</v>
      </c>
      <c r="Z165" s="120">
        <v>31730000</v>
      </c>
      <c r="AA165" s="139">
        <v>0.17326732673267331</v>
      </c>
      <c r="AB165" s="119">
        <v>57461852</v>
      </c>
      <c r="AC165" s="136" t="s">
        <v>1282</v>
      </c>
      <c r="AD165" s="116"/>
      <c r="AE165" s="116"/>
      <c r="AF165" s="125"/>
      <c r="AG165" s="140" t="s">
        <v>1283</v>
      </c>
      <c r="AH165" s="119" t="s">
        <v>192</v>
      </c>
      <c r="AI165" s="119" t="s">
        <v>192</v>
      </c>
    </row>
    <row r="166" spans="1:35" s="130" customFormat="1" ht="17.25" customHeight="1" x14ac:dyDescent="0.25">
      <c r="A166" s="114">
        <v>891780111</v>
      </c>
      <c r="B166" s="115" t="s">
        <v>54</v>
      </c>
      <c r="C166" s="116" t="s">
        <v>57</v>
      </c>
      <c r="D166" s="115" t="s">
        <v>60</v>
      </c>
      <c r="E166" s="119" t="s">
        <v>1284</v>
      </c>
      <c r="F166" s="118" t="s">
        <v>61</v>
      </c>
      <c r="G166" s="118" t="s">
        <v>69</v>
      </c>
      <c r="H166" s="118" t="s">
        <v>609</v>
      </c>
      <c r="I166" s="120">
        <v>21000000</v>
      </c>
      <c r="J166" s="118"/>
      <c r="K166" s="121"/>
      <c r="L166" s="121"/>
      <c r="M166" s="122">
        <f t="shared" si="2"/>
        <v>21000000</v>
      </c>
      <c r="N166" s="117">
        <v>1082966865</v>
      </c>
      <c r="O166" s="123" t="s">
        <v>638</v>
      </c>
      <c r="P166" s="116" t="s">
        <v>625</v>
      </c>
      <c r="Q166" s="124">
        <v>45111</v>
      </c>
      <c r="R166" s="124">
        <v>45111</v>
      </c>
      <c r="S166" s="124">
        <v>45289</v>
      </c>
      <c r="T166" s="125" t="s">
        <v>612</v>
      </c>
      <c r="U166" s="124"/>
      <c r="V166" s="124"/>
      <c r="W166" s="126"/>
      <c r="X166" s="127"/>
      <c r="Y166" s="121">
        <v>3500000</v>
      </c>
      <c r="Z166" s="120">
        <v>17500000</v>
      </c>
      <c r="AA166" s="139">
        <v>0.16666666666666663</v>
      </c>
      <c r="AB166" s="119">
        <v>57461852</v>
      </c>
      <c r="AC166" s="136" t="s">
        <v>1282</v>
      </c>
      <c r="AD166" s="116"/>
      <c r="AE166" s="116"/>
      <c r="AF166" s="125"/>
      <c r="AG166" s="140" t="s">
        <v>1285</v>
      </c>
      <c r="AH166" s="119" t="s">
        <v>192</v>
      </c>
      <c r="AI166" s="119" t="s">
        <v>192</v>
      </c>
    </row>
    <row r="167" spans="1:35" s="130" customFormat="1" ht="17.25" customHeight="1" x14ac:dyDescent="0.25">
      <c r="A167" s="114">
        <v>891780111</v>
      </c>
      <c r="B167" s="115" t="s">
        <v>54</v>
      </c>
      <c r="C167" s="116" t="s">
        <v>57</v>
      </c>
      <c r="D167" s="115" t="s">
        <v>60</v>
      </c>
      <c r="E167" s="119" t="s">
        <v>1286</v>
      </c>
      <c r="F167" s="118" t="s">
        <v>61</v>
      </c>
      <c r="G167" s="118" t="s">
        <v>69</v>
      </c>
      <c r="H167" s="118" t="s">
        <v>609</v>
      </c>
      <c r="I167" s="120">
        <v>21000000</v>
      </c>
      <c r="J167" s="118"/>
      <c r="K167" s="121"/>
      <c r="L167" s="121"/>
      <c r="M167" s="122">
        <f t="shared" si="2"/>
        <v>21000000</v>
      </c>
      <c r="N167" s="117">
        <v>1082981781</v>
      </c>
      <c r="O167" s="123" t="s">
        <v>620</v>
      </c>
      <c r="P167" s="116" t="s">
        <v>1287</v>
      </c>
      <c r="Q167" s="124">
        <v>45111</v>
      </c>
      <c r="R167" s="124">
        <v>45111</v>
      </c>
      <c r="S167" s="124">
        <v>45289</v>
      </c>
      <c r="T167" s="125" t="s">
        <v>612</v>
      </c>
      <c r="U167" s="124"/>
      <c r="V167" s="124"/>
      <c r="W167" s="126"/>
      <c r="X167" s="127"/>
      <c r="Y167" s="121">
        <v>3500000</v>
      </c>
      <c r="Z167" s="120">
        <v>17500000</v>
      </c>
      <c r="AA167" s="139">
        <v>0.16666666666666663</v>
      </c>
      <c r="AB167" s="119">
        <v>57461852</v>
      </c>
      <c r="AC167" s="136" t="s">
        <v>1282</v>
      </c>
      <c r="AD167" s="116"/>
      <c r="AE167" s="116"/>
      <c r="AF167" s="125"/>
      <c r="AG167" s="140" t="s">
        <v>1288</v>
      </c>
      <c r="AH167" s="119" t="s">
        <v>192</v>
      </c>
      <c r="AI167" s="119" t="s">
        <v>192</v>
      </c>
    </row>
    <row r="168" spans="1:35" s="130" customFormat="1" ht="17.25" customHeight="1" x14ac:dyDescent="0.25">
      <c r="A168" s="114">
        <v>891780111</v>
      </c>
      <c r="B168" s="115" t="s">
        <v>54</v>
      </c>
      <c r="C168" s="116" t="s">
        <v>57</v>
      </c>
      <c r="D168" s="115" t="s">
        <v>60</v>
      </c>
      <c r="E168" s="119" t="s">
        <v>1289</v>
      </c>
      <c r="F168" s="118" t="s">
        <v>61</v>
      </c>
      <c r="G168" s="118" t="s">
        <v>69</v>
      </c>
      <c r="H168" s="118" t="s">
        <v>609</v>
      </c>
      <c r="I168" s="120">
        <v>21000000</v>
      </c>
      <c r="J168" s="118"/>
      <c r="K168" s="121"/>
      <c r="L168" s="121"/>
      <c r="M168" s="122">
        <f t="shared" si="2"/>
        <v>21000000</v>
      </c>
      <c r="N168" s="117">
        <v>1082966245</v>
      </c>
      <c r="O168" s="123" t="s">
        <v>632</v>
      </c>
      <c r="P168" s="116" t="s">
        <v>625</v>
      </c>
      <c r="Q168" s="124">
        <v>45111</v>
      </c>
      <c r="R168" s="124">
        <v>45111</v>
      </c>
      <c r="S168" s="124">
        <v>45289</v>
      </c>
      <c r="T168" s="125" t="s">
        <v>612</v>
      </c>
      <c r="U168" s="124"/>
      <c r="V168" s="124"/>
      <c r="W168" s="126"/>
      <c r="X168" s="127"/>
      <c r="Y168" s="121">
        <v>3500000</v>
      </c>
      <c r="Z168" s="120">
        <v>17500000</v>
      </c>
      <c r="AA168" s="139">
        <v>0.16666666666666663</v>
      </c>
      <c r="AB168" s="119">
        <v>57461852</v>
      </c>
      <c r="AC168" s="136" t="s">
        <v>1282</v>
      </c>
      <c r="AD168" s="116"/>
      <c r="AE168" s="116"/>
      <c r="AF168" s="125"/>
      <c r="AG168" s="140" t="s">
        <v>1290</v>
      </c>
      <c r="AH168" s="119" t="s">
        <v>192</v>
      </c>
      <c r="AI168" s="119" t="s">
        <v>192</v>
      </c>
    </row>
    <row r="169" spans="1:35" s="130" customFormat="1" ht="17.25" customHeight="1" x14ac:dyDescent="0.25">
      <c r="A169" s="114">
        <v>891780111</v>
      </c>
      <c r="B169" s="115" t="s">
        <v>54</v>
      </c>
      <c r="C169" s="116" t="s">
        <v>57</v>
      </c>
      <c r="D169" s="115" t="s">
        <v>60</v>
      </c>
      <c r="E169" s="119" t="s">
        <v>1291</v>
      </c>
      <c r="F169" s="118" t="s">
        <v>61</v>
      </c>
      <c r="G169" s="118" t="s">
        <v>69</v>
      </c>
      <c r="H169" s="118" t="s">
        <v>609</v>
      </c>
      <c r="I169" s="120">
        <v>21000000</v>
      </c>
      <c r="J169" s="118"/>
      <c r="K169" s="121"/>
      <c r="L169" s="121"/>
      <c r="M169" s="122">
        <f t="shared" si="2"/>
        <v>21000000</v>
      </c>
      <c r="N169" s="117">
        <v>1082984183</v>
      </c>
      <c r="O169" s="123" t="s">
        <v>628</v>
      </c>
      <c r="P169" s="116" t="s">
        <v>625</v>
      </c>
      <c r="Q169" s="124">
        <v>45111</v>
      </c>
      <c r="R169" s="124">
        <v>45111</v>
      </c>
      <c r="S169" s="124">
        <v>45289</v>
      </c>
      <c r="T169" s="125" t="s">
        <v>612</v>
      </c>
      <c r="U169" s="124"/>
      <c r="V169" s="124"/>
      <c r="W169" s="126"/>
      <c r="X169" s="127"/>
      <c r="Y169" s="121">
        <v>3500000</v>
      </c>
      <c r="Z169" s="120">
        <v>17500000</v>
      </c>
      <c r="AA169" s="139">
        <v>0.16666666666666663</v>
      </c>
      <c r="AB169" s="119">
        <v>57461852</v>
      </c>
      <c r="AC169" s="136" t="s">
        <v>1282</v>
      </c>
      <c r="AD169" s="116"/>
      <c r="AE169" s="116"/>
      <c r="AF169" s="125"/>
      <c r="AG169" s="140" t="s">
        <v>1292</v>
      </c>
      <c r="AH169" s="119" t="s">
        <v>192</v>
      </c>
      <c r="AI169" s="119" t="s">
        <v>192</v>
      </c>
    </row>
    <row r="170" spans="1:35" s="130" customFormat="1" ht="17.25" customHeight="1" x14ac:dyDescent="0.25">
      <c r="A170" s="114">
        <v>891780111</v>
      </c>
      <c r="B170" s="115" t="s">
        <v>54</v>
      </c>
      <c r="C170" s="116" t="s">
        <v>57</v>
      </c>
      <c r="D170" s="115" t="s">
        <v>60</v>
      </c>
      <c r="E170" s="119" t="s">
        <v>1293</v>
      </c>
      <c r="F170" s="118" t="s">
        <v>61</v>
      </c>
      <c r="G170" s="118" t="s">
        <v>69</v>
      </c>
      <c r="H170" s="118" t="s">
        <v>609</v>
      </c>
      <c r="I170" s="120">
        <v>21000000</v>
      </c>
      <c r="J170" s="118"/>
      <c r="K170" s="121"/>
      <c r="L170" s="121"/>
      <c r="M170" s="122">
        <f t="shared" si="2"/>
        <v>21000000</v>
      </c>
      <c r="N170" s="117">
        <v>1082943812</v>
      </c>
      <c r="O170" s="123" t="s">
        <v>635</v>
      </c>
      <c r="P170" s="116" t="s">
        <v>625</v>
      </c>
      <c r="Q170" s="124">
        <v>45111</v>
      </c>
      <c r="R170" s="124">
        <v>45111</v>
      </c>
      <c r="S170" s="124">
        <v>45289</v>
      </c>
      <c r="T170" s="125" t="s">
        <v>612</v>
      </c>
      <c r="U170" s="124"/>
      <c r="V170" s="124"/>
      <c r="W170" s="126"/>
      <c r="X170" s="127"/>
      <c r="Y170" s="121">
        <v>3500000</v>
      </c>
      <c r="Z170" s="120">
        <v>17500000</v>
      </c>
      <c r="AA170" s="139">
        <v>0.16666666666666663</v>
      </c>
      <c r="AB170" s="119">
        <v>57461852</v>
      </c>
      <c r="AC170" s="136" t="s">
        <v>1282</v>
      </c>
      <c r="AD170" s="116"/>
      <c r="AE170" s="116"/>
      <c r="AF170" s="125"/>
      <c r="AG170" s="140" t="s">
        <v>1294</v>
      </c>
      <c r="AH170" s="119" t="s">
        <v>192</v>
      </c>
      <c r="AI170" s="119" t="s">
        <v>192</v>
      </c>
    </row>
    <row r="171" spans="1:35" s="130" customFormat="1" ht="17.25" customHeight="1" x14ac:dyDescent="0.25">
      <c r="A171" s="114">
        <v>891780111</v>
      </c>
      <c r="B171" s="115" t="s">
        <v>54</v>
      </c>
      <c r="C171" s="116" t="s">
        <v>57</v>
      </c>
      <c r="D171" s="115" t="s">
        <v>60</v>
      </c>
      <c r="E171" s="119" t="s">
        <v>1295</v>
      </c>
      <c r="F171" s="118" t="s">
        <v>61</v>
      </c>
      <c r="G171" s="118" t="s">
        <v>69</v>
      </c>
      <c r="H171" s="118" t="s">
        <v>609</v>
      </c>
      <c r="I171" s="120">
        <v>21786667</v>
      </c>
      <c r="J171" s="118"/>
      <c r="K171" s="121"/>
      <c r="L171" s="121"/>
      <c r="M171" s="122">
        <f t="shared" si="2"/>
        <v>21786667</v>
      </c>
      <c r="N171" s="117">
        <v>1065637083</v>
      </c>
      <c r="O171" s="123" t="s">
        <v>1006</v>
      </c>
      <c r="P171" s="116" t="s">
        <v>1296</v>
      </c>
      <c r="Q171" s="124">
        <v>45111</v>
      </c>
      <c r="R171" s="124">
        <v>45111</v>
      </c>
      <c r="S171" s="124">
        <v>45282</v>
      </c>
      <c r="T171" s="125" t="s">
        <v>612</v>
      </c>
      <c r="U171" s="124"/>
      <c r="V171" s="124"/>
      <c r="W171" s="126"/>
      <c r="X171" s="127"/>
      <c r="Y171" s="121">
        <v>3800000</v>
      </c>
      <c r="Z171" s="120">
        <v>17986667</v>
      </c>
      <c r="AA171" s="139">
        <v>0.17441860198257952</v>
      </c>
      <c r="AB171" s="119">
        <v>85155551</v>
      </c>
      <c r="AC171" s="136" t="s">
        <v>648</v>
      </c>
      <c r="AD171" s="116"/>
      <c r="AE171" s="116"/>
      <c r="AF171" s="125"/>
      <c r="AG171" s="140" t="s">
        <v>1297</v>
      </c>
      <c r="AH171" s="119" t="s">
        <v>192</v>
      </c>
      <c r="AI171" s="119" t="s">
        <v>192</v>
      </c>
    </row>
    <row r="172" spans="1:35" s="130" customFormat="1" ht="17.25" customHeight="1" x14ac:dyDescent="0.25">
      <c r="A172" s="114">
        <v>891780111</v>
      </c>
      <c r="B172" s="115" t="s">
        <v>54</v>
      </c>
      <c r="C172" s="116" t="s">
        <v>57</v>
      </c>
      <c r="D172" s="115" t="s">
        <v>60</v>
      </c>
      <c r="E172" s="119" t="s">
        <v>1298</v>
      </c>
      <c r="F172" s="118" t="s">
        <v>61</v>
      </c>
      <c r="G172" s="118" t="s">
        <v>69</v>
      </c>
      <c r="H172" s="118" t="s">
        <v>609</v>
      </c>
      <c r="I172" s="120">
        <v>21000000</v>
      </c>
      <c r="J172" s="118"/>
      <c r="K172" s="121"/>
      <c r="L172" s="121"/>
      <c r="M172" s="122">
        <f t="shared" si="2"/>
        <v>21000000</v>
      </c>
      <c r="N172" s="117">
        <v>1082374545</v>
      </c>
      <c r="O172" s="123" t="s">
        <v>828</v>
      </c>
      <c r="P172" s="116" t="s">
        <v>1299</v>
      </c>
      <c r="Q172" s="124">
        <v>45111</v>
      </c>
      <c r="R172" s="124">
        <v>45111</v>
      </c>
      <c r="S172" s="124">
        <v>45289</v>
      </c>
      <c r="T172" s="125" t="s">
        <v>612</v>
      </c>
      <c r="U172" s="124"/>
      <c r="V172" s="124"/>
      <c r="W172" s="126"/>
      <c r="X172" s="127"/>
      <c r="Y172" s="121">
        <v>3500000</v>
      </c>
      <c r="Z172" s="120">
        <v>17500000</v>
      </c>
      <c r="AA172" s="139">
        <v>0.16666666666666663</v>
      </c>
      <c r="AB172" s="119">
        <v>36694483</v>
      </c>
      <c r="AC172" s="136" t="s">
        <v>1300</v>
      </c>
      <c r="AD172" s="116"/>
      <c r="AE172" s="116"/>
      <c r="AF172" s="125"/>
      <c r="AG172" s="140" t="s">
        <v>1301</v>
      </c>
      <c r="AH172" s="119" t="s">
        <v>192</v>
      </c>
      <c r="AI172" s="119" t="s">
        <v>192</v>
      </c>
    </row>
    <row r="173" spans="1:35" s="130" customFormat="1" ht="17.25" customHeight="1" x14ac:dyDescent="0.25">
      <c r="A173" s="114">
        <v>891780111</v>
      </c>
      <c r="B173" s="115" t="s">
        <v>54</v>
      </c>
      <c r="C173" s="116" t="s">
        <v>57</v>
      </c>
      <c r="D173" s="115" t="s">
        <v>60</v>
      </c>
      <c r="E173" s="119" t="s">
        <v>1302</v>
      </c>
      <c r="F173" s="118" t="s">
        <v>61</v>
      </c>
      <c r="G173" s="118" t="s">
        <v>69</v>
      </c>
      <c r="H173" s="118" t="s">
        <v>609</v>
      </c>
      <c r="I173" s="120">
        <v>21000000</v>
      </c>
      <c r="J173" s="118"/>
      <c r="K173" s="121"/>
      <c r="L173" s="121"/>
      <c r="M173" s="122">
        <f t="shared" si="2"/>
        <v>21000000</v>
      </c>
      <c r="N173" s="117">
        <v>1084788615</v>
      </c>
      <c r="O173" s="123" t="s">
        <v>1303</v>
      </c>
      <c r="P173" s="116" t="s">
        <v>1304</v>
      </c>
      <c r="Q173" s="124">
        <v>45111</v>
      </c>
      <c r="R173" s="124">
        <v>45111</v>
      </c>
      <c r="S173" s="124">
        <v>45289</v>
      </c>
      <c r="T173" s="125" t="s">
        <v>612</v>
      </c>
      <c r="U173" s="124"/>
      <c r="V173" s="124"/>
      <c r="W173" s="126"/>
      <c r="X173" s="127"/>
      <c r="Y173" s="121">
        <v>3500000</v>
      </c>
      <c r="Z173" s="120">
        <v>17500000</v>
      </c>
      <c r="AA173" s="139">
        <v>0.16666666666666663</v>
      </c>
      <c r="AB173" s="119">
        <v>72004252</v>
      </c>
      <c r="AC173" s="136" t="s">
        <v>994</v>
      </c>
      <c r="AD173" s="116"/>
      <c r="AE173" s="116"/>
      <c r="AF173" s="125"/>
      <c r="AG173" s="140" t="s">
        <v>1305</v>
      </c>
      <c r="AH173" s="119" t="s">
        <v>192</v>
      </c>
      <c r="AI173" s="119" t="s">
        <v>192</v>
      </c>
    </row>
    <row r="174" spans="1:35" s="130" customFormat="1" ht="17.25" customHeight="1" x14ac:dyDescent="0.25">
      <c r="A174" s="114">
        <v>891780111</v>
      </c>
      <c r="B174" s="115" t="s">
        <v>54</v>
      </c>
      <c r="C174" s="116" t="s">
        <v>57</v>
      </c>
      <c r="D174" s="115" t="s">
        <v>60</v>
      </c>
      <c r="E174" s="119" t="s">
        <v>1306</v>
      </c>
      <c r="F174" s="118" t="s">
        <v>61</v>
      </c>
      <c r="G174" s="118" t="s">
        <v>69</v>
      </c>
      <c r="H174" s="118" t="s">
        <v>609</v>
      </c>
      <c r="I174" s="120">
        <v>21000000</v>
      </c>
      <c r="J174" s="118"/>
      <c r="K174" s="121"/>
      <c r="L174" s="121"/>
      <c r="M174" s="122">
        <f t="shared" si="2"/>
        <v>21000000</v>
      </c>
      <c r="N174" s="117">
        <v>1082934092</v>
      </c>
      <c r="O174" s="123" t="s">
        <v>818</v>
      </c>
      <c r="P174" s="116" t="s">
        <v>1307</v>
      </c>
      <c r="Q174" s="124">
        <v>45111</v>
      </c>
      <c r="R174" s="124">
        <v>45111</v>
      </c>
      <c r="S174" s="124">
        <v>45289</v>
      </c>
      <c r="T174" s="125" t="s">
        <v>612</v>
      </c>
      <c r="U174" s="124"/>
      <c r="V174" s="124"/>
      <c r="W174" s="126"/>
      <c r="X174" s="127"/>
      <c r="Y174" s="121">
        <v>3500000</v>
      </c>
      <c r="Z174" s="120">
        <v>17500000</v>
      </c>
      <c r="AA174" s="139">
        <v>0.16666666666666663</v>
      </c>
      <c r="AB174" s="119">
        <v>57435262</v>
      </c>
      <c r="AC174" s="136" t="s">
        <v>1308</v>
      </c>
      <c r="AD174" s="116"/>
      <c r="AE174" s="116"/>
      <c r="AF174" s="125"/>
      <c r="AG174" s="140" t="s">
        <v>1309</v>
      </c>
      <c r="AH174" s="119" t="s">
        <v>192</v>
      </c>
      <c r="AI174" s="119" t="s">
        <v>192</v>
      </c>
    </row>
    <row r="175" spans="1:35" s="130" customFormat="1" ht="17.25" customHeight="1" x14ac:dyDescent="0.25">
      <c r="A175" s="114">
        <v>891780111</v>
      </c>
      <c r="B175" s="115" t="s">
        <v>54</v>
      </c>
      <c r="C175" s="116" t="s">
        <v>57</v>
      </c>
      <c r="D175" s="115" t="s">
        <v>60</v>
      </c>
      <c r="E175" s="119" t="s">
        <v>1310</v>
      </c>
      <c r="F175" s="118" t="s">
        <v>61</v>
      </c>
      <c r="G175" s="118" t="s">
        <v>69</v>
      </c>
      <c r="H175" s="118" t="s">
        <v>609</v>
      </c>
      <c r="I175" s="120">
        <v>18346666</v>
      </c>
      <c r="J175" s="118"/>
      <c r="K175" s="121"/>
      <c r="L175" s="121"/>
      <c r="M175" s="122">
        <f t="shared" si="2"/>
        <v>18346666</v>
      </c>
      <c r="N175" s="117">
        <v>1083024229</v>
      </c>
      <c r="O175" s="123" t="s">
        <v>641</v>
      </c>
      <c r="P175" s="116" t="s">
        <v>1311</v>
      </c>
      <c r="Q175" s="124">
        <v>45111</v>
      </c>
      <c r="R175" s="124">
        <v>45111</v>
      </c>
      <c r="S175" s="124">
        <v>45282</v>
      </c>
      <c r="T175" s="125" t="s">
        <v>612</v>
      </c>
      <c r="U175" s="124"/>
      <c r="V175" s="124"/>
      <c r="W175" s="126"/>
      <c r="X175" s="127"/>
      <c r="Y175" s="121">
        <v>3200000</v>
      </c>
      <c r="Z175" s="120">
        <v>15146666</v>
      </c>
      <c r="AA175" s="139">
        <v>0.17441861098904832</v>
      </c>
      <c r="AB175" s="119">
        <v>1082903415</v>
      </c>
      <c r="AC175" s="136" t="s">
        <v>643</v>
      </c>
      <c r="AD175" s="116"/>
      <c r="AE175" s="116"/>
      <c r="AF175" s="125"/>
      <c r="AG175" s="140" t="s">
        <v>1312</v>
      </c>
      <c r="AH175" s="119" t="s">
        <v>192</v>
      </c>
      <c r="AI175" s="119" t="s">
        <v>192</v>
      </c>
    </row>
    <row r="176" spans="1:35" s="130" customFormat="1" ht="17.25" customHeight="1" x14ac:dyDescent="0.25">
      <c r="A176" s="114">
        <v>891780111</v>
      </c>
      <c r="B176" s="115" t="s">
        <v>54</v>
      </c>
      <c r="C176" s="116" t="s">
        <v>57</v>
      </c>
      <c r="D176" s="115" t="s">
        <v>60</v>
      </c>
      <c r="E176" s="119" t="s">
        <v>1313</v>
      </c>
      <c r="F176" s="118" t="s">
        <v>61</v>
      </c>
      <c r="G176" s="118" t="s">
        <v>69</v>
      </c>
      <c r="H176" s="118" t="s">
        <v>609</v>
      </c>
      <c r="I176" s="120">
        <v>18346666</v>
      </c>
      <c r="J176" s="118"/>
      <c r="K176" s="121"/>
      <c r="L176" s="121"/>
      <c r="M176" s="122">
        <f t="shared" si="2"/>
        <v>18346666</v>
      </c>
      <c r="N176" s="117">
        <v>1104435442</v>
      </c>
      <c r="O176" s="123" t="s">
        <v>814</v>
      </c>
      <c r="P176" s="116" t="s">
        <v>815</v>
      </c>
      <c r="Q176" s="124">
        <v>45111</v>
      </c>
      <c r="R176" s="124">
        <v>45111</v>
      </c>
      <c r="S176" s="124">
        <v>45282</v>
      </c>
      <c r="T176" s="125" t="s">
        <v>612</v>
      </c>
      <c r="U176" s="124"/>
      <c r="V176" s="124"/>
      <c r="W176" s="126"/>
      <c r="X176" s="127"/>
      <c r="Y176" s="121">
        <v>3200000</v>
      </c>
      <c r="Z176" s="120">
        <v>15146666</v>
      </c>
      <c r="AA176" s="139">
        <v>0.17441861098904832</v>
      </c>
      <c r="AB176" s="119">
        <v>1082903415</v>
      </c>
      <c r="AC176" s="136" t="s">
        <v>643</v>
      </c>
      <c r="AD176" s="116"/>
      <c r="AE176" s="116"/>
      <c r="AF176" s="125"/>
      <c r="AG176" s="140" t="s">
        <v>1314</v>
      </c>
      <c r="AH176" s="119" t="s">
        <v>192</v>
      </c>
      <c r="AI176" s="119" t="s">
        <v>192</v>
      </c>
    </row>
    <row r="177" spans="1:35" s="130" customFormat="1" ht="17.25" customHeight="1" x14ac:dyDescent="0.25">
      <c r="A177" s="114">
        <v>891780111</v>
      </c>
      <c r="B177" s="115" t="s">
        <v>54</v>
      </c>
      <c r="C177" s="116" t="s">
        <v>57</v>
      </c>
      <c r="D177" s="115" t="s">
        <v>60</v>
      </c>
      <c r="E177" s="119" t="s">
        <v>1315</v>
      </c>
      <c r="F177" s="118" t="s">
        <v>61</v>
      </c>
      <c r="G177" s="118" t="s">
        <v>69</v>
      </c>
      <c r="H177" s="118" t="s">
        <v>609</v>
      </c>
      <c r="I177" s="120">
        <v>17600000</v>
      </c>
      <c r="J177" s="118"/>
      <c r="K177" s="121"/>
      <c r="L177" s="121"/>
      <c r="M177" s="122">
        <f t="shared" si="2"/>
        <v>17600000</v>
      </c>
      <c r="N177" s="117">
        <v>1045710831</v>
      </c>
      <c r="O177" s="123" t="s">
        <v>663</v>
      </c>
      <c r="P177" s="116" t="s">
        <v>1316</v>
      </c>
      <c r="Q177" s="124">
        <v>45111</v>
      </c>
      <c r="R177" s="124">
        <v>45111</v>
      </c>
      <c r="S177" s="124">
        <v>45275</v>
      </c>
      <c r="T177" s="125" t="s">
        <v>612</v>
      </c>
      <c r="U177" s="124"/>
      <c r="V177" s="124"/>
      <c r="W177" s="126"/>
      <c r="X177" s="127"/>
      <c r="Y177" s="121">
        <v>3200000</v>
      </c>
      <c r="Z177" s="120">
        <v>14400000</v>
      </c>
      <c r="AA177" s="139">
        <v>0.18181818181818177</v>
      </c>
      <c r="AB177" s="119">
        <v>85155551</v>
      </c>
      <c r="AC177" s="136" t="s">
        <v>648</v>
      </c>
      <c r="AD177" s="116"/>
      <c r="AE177" s="116"/>
      <c r="AF177" s="125"/>
      <c r="AG177" s="140" t="s">
        <v>1317</v>
      </c>
      <c r="AH177" s="119" t="s">
        <v>192</v>
      </c>
      <c r="AI177" s="119" t="s">
        <v>192</v>
      </c>
    </row>
    <row r="178" spans="1:35" s="130" customFormat="1" ht="17.25" customHeight="1" x14ac:dyDescent="0.25">
      <c r="A178" s="114">
        <v>891780111</v>
      </c>
      <c r="B178" s="115" t="s">
        <v>54</v>
      </c>
      <c r="C178" s="116" t="s">
        <v>57</v>
      </c>
      <c r="D178" s="115" t="s">
        <v>60</v>
      </c>
      <c r="E178" s="119" t="s">
        <v>1318</v>
      </c>
      <c r="F178" s="118" t="s">
        <v>61</v>
      </c>
      <c r="G178" s="118" t="s">
        <v>69</v>
      </c>
      <c r="H178" s="118" t="s">
        <v>609</v>
      </c>
      <c r="I178" s="120">
        <v>16500000</v>
      </c>
      <c r="J178" s="118"/>
      <c r="K178" s="121"/>
      <c r="L178" s="121"/>
      <c r="M178" s="122">
        <f t="shared" si="2"/>
        <v>16500000</v>
      </c>
      <c r="N178" s="117">
        <v>1124006778</v>
      </c>
      <c r="O178" s="123" t="s">
        <v>735</v>
      </c>
      <c r="P178" s="116" t="s">
        <v>1319</v>
      </c>
      <c r="Q178" s="124">
        <v>45111</v>
      </c>
      <c r="R178" s="124">
        <v>45111</v>
      </c>
      <c r="S178" s="124">
        <v>45275</v>
      </c>
      <c r="T178" s="125" t="s">
        <v>612</v>
      </c>
      <c r="U178" s="124"/>
      <c r="V178" s="124"/>
      <c r="W178" s="126"/>
      <c r="X178" s="127"/>
      <c r="Y178" s="121">
        <v>3000000</v>
      </c>
      <c r="Z178" s="120">
        <v>13500000</v>
      </c>
      <c r="AA178" s="139">
        <v>0.18181818181818177</v>
      </c>
      <c r="AB178" s="119">
        <v>85155551</v>
      </c>
      <c r="AC178" s="136" t="s">
        <v>648</v>
      </c>
      <c r="AD178" s="116"/>
      <c r="AE178" s="116"/>
      <c r="AF178" s="125"/>
      <c r="AG178" s="140" t="s">
        <v>1320</v>
      </c>
      <c r="AH178" s="119" t="s">
        <v>192</v>
      </c>
      <c r="AI178" s="119" t="s">
        <v>192</v>
      </c>
    </row>
    <row r="179" spans="1:35" s="130" customFormat="1" ht="17.25" customHeight="1" x14ac:dyDescent="0.25">
      <c r="A179" s="114">
        <v>891780111</v>
      </c>
      <c r="B179" s="115" t="s">
        <v>54</v>
      </c>
      <c r="C179" s="116" t="s">
        <v>57</v>
      </c>
      <c r="D179" s="115" t="s">
        <v>60</v>
      </c>
      <c r="E179" s="119" t="s">
        <v>1321</v>
      </c>
      <c r="F179" s="118" t="s">
        <v>61</v>
      </c>
      <c r="G179" s="118" t="s">
        <v>69</v>
      </c>
      <c r="H179" s="118" t="s">
        <v>609</v>
      </c>
      <c r="I179" s="120">
        <v>17600000</v>
      </c>
      <c r="J179" s="118"/>
      <c r="K179" s="121"/>
      <c r="L179" s="121"/>
      <c r="M179" s="122">
        <f t="shared" si="2"/>
        <v>17600000</v>
      </c>
      <c r="N179" s="117">
        <v>1082936555</v>
      </c>
      <c r="O179" s="123" t="s">
        <v>1046</v>
      </c>
      <c r="P179" s="116" t="s">
        <v>1322</v>
      </c>
      <c r="Q179" s="124">
        <v>45111</v>
      </c>
      <c r="R179" s="124">
        <v>45111</v>
      </c>
      <c r="S179" s="124">
        <v>45275</v>
      </c>
      <c r="T179" s="125" t="s">
        <v>612</v>
      </c>
      <c r="U179" s="124"/>
      <c r="V179" s="124"/>
      <c r="W179" s="126"/>
      <c r="X179" s="127"/>
      <c r="Y179" s="121">
        <v>3200000</v>
      </c>
      <c r="Z179" s="120">
        <v>14400000</v>
      </c>
      <c r="AA179" s="139">
        <v>0.18181818181818177</v>
      </c>
      <c r="AB179" s="119">
        <v>85155551</v>
      </c>
      <c r="AC179" s="136" t="s">
        <v>648</v>
      </c>
      <c r="AD179" s="116"/>
      <c r="AE179" s="116"/>
      <c r="AF179" s="125"/>
      <c r="AG179" s="140" t="s">
        <v>1323</v>
      </c>
      <c r="AH179" s="119" t="s">
        <v>192</v>
      </c>
      <c r="AI179" s="119" t="s">
        <v>192</v>
      </c>
    </row>
    <row r="180" spans="1:35" s="130" customFormat="1" ht="17.25" customHeight="1" x14ac:dyDescent="0.25">
      <c r="A180" s="114">
        <v>891780111</v>
      </c>
      <c r="B180" s="115" t="s">
        <v>54</v>
      </c>
      <c r="C180" s="116" t="s">
        <v>57</v>
      </c>
      <c r="D180" s="115" t="s">
        <v>60</v>
      </c>
      <c r="E180" s="119" t="s">
        <v>1324</v>
      </c>
      <c r="F180" s="118" t="s">
        <v>61</v>
      </c>
      <c r="G180" s="118" t="s">
        <v>69</v>
      </c>
      <c r="H180" s="118" t="s">
        <v>609</v>
      </c>
      <c r="I180" s="120">
        <v>17600000</v>
      </c>
      <c r="J180" s="118"/>
      <c r="K180" s="121"/>
      <c r="L180" s="121"/>
      <c r="M180" s="122">
        <f t="shared" si="2"/>
        <v>17600000</v>
      </c>
      <c r="N180" s="117">
        <v>1082925044</v>
      </c>
      <c r="O180" s="123" t="s">
        <v>955</v>
      </c>
      <c r="P180" s="116" t="s">
        <v>1325</v>
      </c>
      <c r="Q180" s="124">
        <v>45111</v>
      </c>
      <c r="R180" s="124">
        <v>45111</v>
      </c>
      <c r="S180" s="124">
        <v>45275</v>
      </c>
      <c r="T180" s="125" t="s">
        <v>612</v>
      </c>
      <c r="U180" s="124"/>
      <c r="V180" s="124"/>
      <c r="W180" s="126"/>
      <c r="X180" s="127"/>
      <c r="Y180" s="121">
        <v>3200000</v>
      </c>
      <c r="Z180" s="120">
        <v>14400000</v>
      </c>
      <c r="AA180" s="139">
        <v>0.18181818181818177</v>
      </c>
      <c r="AB180" s="119">
        <v>85155551</v>
      </c>
      <c r="AC180" s="136" t="s">
        <v>648</v>
      </c>
      <c r="AD180" s="116"/>
      <c r="AE180" s="116"/>
      <c r="AF180" s="125"/>
      <c r="AG180" s="140" t="s">
        <v>1326</v>
      </c>
      <c r="AH180" s="119" t="s">
        <v>192</v>
      </c>
      <c r="AI180" s="119" t="s">
        <v>192</v>
      </c>
    </row>
    <row r="181" spans="1:35" s="130" customFormat="1" ht="17.25" customHeight="1" x14ac:dyDescent="0.25">
      <c r="A181" s="114">
        <v>891780111</v>
      </c>
      <c r="B181" s="115" t="s">
        <v>54</v>
      </c>
      <c r="C181" s="116" t="s">
        <v>57</v>
      </c>
      <c r="D181" s="115" t="s">
        <v>60</v>
      </c>
      <c r="E181" s="119" t="s">
        <v>1327</v>
      </c>
      <c r="F181" s="118" t="s">
        <v>61</v>
      </c>
      <c r="G181" s="118" t="s">
        <v>69</v>
      </c>
      <c r="H181" s="118" t="s">
        <v>609</v>
      </c>
      <c r="I181" s="120">
        <v>17600000</v>
      </c>
      <c r="J181" s="118"/>
      <c r="K181" s="121"/>
      <c r="L181" s="121"/>
      <c r="M181" s="122">
        <f t="shared" si="2"/>
        <v>17600000</v>
      </c>
      <c r="N181" s="117">
        <v>57445651</v>
      </c>
      <c r="O181" s="123" t="s">
        <v>676</v>
      </c>
      <c r="P181" s="116" t="s">
        <v>1328</v>
      </c>
      <c r="Q181" s="124">
        <v>45111</v>
      </c>
      <c r="R181" s="124">
        <v>45111</v>
      </c>
      <c r="S181" s="124">
        <v>45275</v>
      </c>
      <c r="T181" s="125" t="s">
        <v>612</v>
      </c>
      <c r="U181" s="124"/>
      <c r="V181" s="124"/>
      <c r="W181" s="126"/>
      <c r="X181" s="127"/>
      <c r="Y181" s="121">
        <v>3200000</v>
      </c>
      <c r="Z181" s="120">
        <v>14400000</v>
      </c>
      <c r="AA181" s="139">
        <v>0.18181818181818177</v>
      </c>
      <c r="AB181" s="119">
        <v>85155551</v>
      </c>
      <c r="AC181" s="136" t="s">
        <v>648</v>
      </c>
      <c r="AD181" s="116"/>
      <c r="AE181" s="116"/>
      <c r="AF181" s="125"/>
      <c r="AG181" s="140" t="s">
        <v>1329</v>
      </c>
      <c r="AH181" s="119" t="s">
        <v>192</v>
      </c>
      <c r="AI181" s="119" t="s">
        <v>192</v>
      </c>
    </row>
    <row r="182" spans="1:35" s="130" customFormat="1" ht="17.25" customHeight="1" x14ac:dyDescent="0.25">
      <c r="A182" s="114">
        <v>891780111</v>
      </c>
      <c r="B182" s="115" t="s">
        <v>54</v>
      </c>
      <c r="C182" s="116" t="s">
        <v>57</v>
      </c>
      <c r="D182" s="115" t="s">
        <v>60</v>
      </c>
      <c r="E182" s="119" t="s">
        <v>1330</v>
      </c>
      <c r="F182" s="118" t="s">
        <v>61</v>
      </c>
      <c r="G182" s="118" t="s">
        <v>69</v>
      </c>
      <c r="H182" s="118" t="s">
        <v>609</v>
      </c>
      <c r="I182" s="120">
        <v>16500000</v>
      </c>
      <c r="J182" s="118"/>
      <c r="K182" s="121"/>
      <c r="L182" s="121"/>
      <c r="M182" s="122">
        <f t="shared" si="2"/>
        <v>16500000</v>
      </c>
      <c r="N182" s="117">
        <v>1082868615</v>
      </c>
      <c r="O182" s="123" t="s">
        <v>1331</v>
      </c>
      <c r="P182" s="116" t="s">
        <v>1332</v>
      </c>
      <c r="Q182" s="124">
        <v>45111</v>
      </c>
      <c r="R182" s="124">
        <v>45111</v>
      </c>
      <c r="S182" s="124">
        <v>45275</v>
      </c>
      <c r="T182" s="125" t="s">
        <v>612</v>
      </c>
      <c r="U182" s="124"/>
      <c r="V182" s="124"/>
      <c r="W182" s="126"/>
      <c r="X182" s="127"/>
      <c r="Y182" s="121">
        <v>3000000</v>
      </c>
      <c r="Z182" s="120">
        <v>13500000</v>
      </c>
      <c r="AA182" s="139">
        <v>0.18181818181818177</v>
      </c>
      <c r="AB182" s="119">
        <v>85155551</v>
      </c>
      <c r="AC182" s="136" t="s">
        <v>648</v>
      </c>
      <c r="AD182" s="116"/>
      <c r="AE182" s="116"/>
      <c r="AF182" s="125"/>
      <c r="AG182" s="140" t="s">
        <v>1333</v>
      </c>
      <c r="AH182" s="119" t="s">
        <v>192</v>
      </c>
      <c r="AI182" s="119" t="s">
        <v>192</v>
      </c>
    </row>
    <row r="183" spans="1:35" s="130" customFormat="1" ht="17.25" customHeight="1" x14ac:dyDescent="0.25">
      <c r="A183" s="114">
        <v>891780111</v>
      </c>
      <c r="B183" s="115" t="s">
        <v>54</v>
      </c>
      <c r="C183" s="116" t="s">
        <v>57</v>
      </c>
      <c r="D183" s="115" t="s">
        <v>60</v>
      </c>
      <c r="E183" s="119" t="s">
        <v>1334</v>
      </c>
      <c r="F183" s="118" t="s">
        <v>61</v>
      </c>
      <c r="G183" s="118" t="s">
        <v>69</v>
      </c>
      <c r="H183" s="118" t="s">
        <v>609</v>
      </c>
      <c r="I183" s="120">
        <v>18346666</v>
      </c>
      <c r="J183" s="118"/>
      <c r="K183" s="121"/>
      <c r="L183" s="121"/>
      <c r="M183" s="122">
        <f t="shared" si="2"/>
        <v>18346666</v>
      </c>
      <c r="N183" s="117">
        <v>1083023702</v>
      </c>
      <c r="O183" s="123" t="s">
        <v>667</v>
      </c>
      <c r="P183" s="116" t="s">
        <v>1335</v>
      </c>
      <c r="Q183" s="124">
        <v>45111</v>
      </c>
      <c r="R183" s="124">
        <v>45111</v>
      </c>
      <c r="S183" s="124">
        <v>45282</v>
      </c>
      <c r="T183" s="125" t="s">
        <v>612</v>
      </c>
      <c r="U183" s="124"/>
      <c r="V183" s="124"/>
      <c r="W183" s="126"/>
      <c r="X183" s="127"/>
      <c r="Y183" s="121">
        <v>3200000</v>
      </c>
      <c r="Z183" s="120">
        <v>15146666</v>
      </c>
      <c r="AA183" s="139">
        <v>0.17441861098904832</v>
      </c>
      <c r="AB183" s="119">
        <v>57461852</v>
      </c>
      <c r="AC183" s="136" t="s">
        <v>1282</v>
      </c>
      <c r="AD183" s="116"/>
      <c r="AE183" s="116"/>
      <c r="AF183" s="125"/>
      <c r="AG183" s="140" t="s">
        <v>1336</v>
      </c>
      <c r="AH183" s="119" t="s">
        <v>192</v>
      </c>
      <c r="AI183" s="119" t="s">
        <v>192</v>
      </c>
    </row>
    <row r="184" spans="1:35" s="130" customFormat="1" ht="17.25" customHeight="1" x14ac:dyDescent="0.25">
      <c r="A184" s="114">
        <v>891780111</v>
      </c>
      <c r="B184" s="115" t="s">
        <v>54</v>
      </c>
      <c r="C184" s="116" t="s">
        <v>57</v>
      </c>
      <c r="D184" s="115" t="s">
        <v>60</v>
      </c>
      <c r="E184" s="119" t="s">
        <v>1337</v>
      </c>
      <c r="F184" s="118" t="s">
        <v>61</v>
      </c>
      <c r="G184" s="118" t="s">
        <v>69</v>
      </c>
      <c r="H184" s="118" t="s">
        <v>609</v>
      </c>
      <c r="I184" s="120">
        <v>17600000</v>
      </c>
      <c r="J184" s="118"/>
      <c r="K184" s="121"/>
      <c r="L184" s="121"/>
      <c r="M184" s="122">
        <f t="shared" si="2"/>
        <v>17600000</v>
      </c>
      <c r="N184" s="117">
        <v>1082958642</v>
      </c>
      <c r="O184" s="123" t="s">
        <v>1049</v>
      </c>
      <c r="P184" s="116" t="s">
        <v>1050</v>
      </c>
      <c r="Q184" s="124">
        <v>45111</v>
      </c>
      <c r="R184" s="124">
        <v>45111</v>
      </c>
      <c r="S184" s="124">
        <v>45275</v>
      </c>
      <c r="T184" s="125" t="s">
        <v>612</v>
      </c>
      <c r="U184" s="124"/>
      <c r="V184" s="124"/>
      <c r="W184" s="126"/>
      <c r="X184" s="127"/>
      <c r="Y184" s="121">
        <v>3200000</v>
      </c>
      <c r="Z184" s="120">
        <v>14400000</v>
      </c>
      <c r="AA184" s="139">
        <v>0.18181818181818177</v>
      </c>
      <c r="AB184" s="119">
        <v>85155551</v>
      </c>
      <c r="AC184" s="136" t="s">
        <v>648</v>
      </c>
      <c r="AD184" s="116"/>
      <c r="AE184" s="116"/>
      <c r="AF184" s="125"/>
      <c r="AG184" s="140" t="s">
        <v>1338</v>
      </c>
      <c r="AH184" s="119" t="s">
        <v>192</v>
      </c>
      <c r="AI184" s="119" t="s">
        <v>192</v>
      </c>
    </row>
    <row r="185" spans="1:35" s="130" customFormat="1" ht="17.25" customHeight="1" x14ac:dyDescent="0.25">
      <c r="A185" s="114">
        <v>891780111</v>
      </c>
      <c r="B185" s="115" t="s">
        <v>54</v>
      </c>
      <c r="C185" s="116" t="s">
        <v>57</v>
      </c>
      <c r="D185" s="115" t="s">
        <v>60</v>
      </c>
      <c r="E185" s="119" t="s">
        <v>1339</v>
      </c>
      <c r="F185" s="118" t="s">
        <v>61</v>
      </c>
      <c r="G185" s="118" t="s">
        <v>69</v>
      </c>
      <c r="H185" s="118" t="s">
        <v>609</v>
      </c>
      <c r="I185" s="120">
        <v>20900000</v>
      </c>
      <c r="J185" s="118"/>
      <c r="K185" s="121"/>
      <c r="L185" s="121"/>
      <c r="M185" s="122">
        <f t="shared" si="2"/>
        <v>20900000</v>
      </c>
      <c r="N185" s="117">
        <v>1082983109</v>
      </c>
      <c r="O185" s="123" t="s">
        <v>706</v>
      </c>
      <c r="P185" s="116" t="s">
        <v>1340</v>
      </c>
      <c r="Q185" s="124">
        <v>45111</v>
      </c>
      <c r="R185" s="124">
        <v>45111</v>
      </c>
      <c r="S185" s="124">
        <v>45275</v>
      </c>
      <c r="T185" s="125" t="s">
        <v>612</v>
      </c>
      <c r="U185" s="124"/>
      <c r="V185" s="124"/>
      <c r="W185" s="126"/>
      <c r="X185" s="127"/>
      <c r="Y185" s="121">
        <v>3800000</v>
      </c>
      <c r="Z185" s="120">
        <v>17100000</v>
      </c>
      <c r="AA185" s="139">
        <v>0.18181818181818177</v>
      </c>
      <c r="AB185" s="119">
        <v>85155551</v>
      </c>
      <c r="AC185" s="136" t="s">
        <v>648</v>
      </c>
      <c r="AD185" s="116"/>
      <c r="AE185" s="116"/>
      <c r="AF185" s="125"/>
      <c r="AG185" s="140" t="s">
        <v>1341</v>
      </c>
      <c r="AH185" s="119" t="s">
        <v>192</v>
      </c>
      <c r="AI185" s="119" t="s">
        <v>192</v>
      </c>
    </row>
    <row r="186" spans="1:35" s="130" customFormat="1" ht="17.25" customHeight="1" x14ac:dyDescent="0.25">
      <c r="A186" s="114">
        <v>891780111</v>
      </c>
      <c r="B186" s="115" t="s">
        <v>54</v>
      </c>
      <c r="C186" s="116" t="s">
        <v>57</v>
      </c>
      <c r="D186" s="115" t="s">
        <v>60</v>
      </c>
      <c r="E186" s="119" t="s">
        <v>1342</v>
      </c>
      <c r="F186" s="118" t="s">
        <v>61</v>
      </c>
      <c r="G186" s="118" t="s">
        <v>69</v>
      </c>
      <c r="H186" s="118" t="s">
        <v>609</v>
      </c>
      <c r="I186" s="120">
        <v>20350000</v>
      </c>
      <c r="J186" s="118"/>
      <c r="K186" s="121"/>
      <c r="L186" s="121"/>
      <c r="M186" s="122">
        <f t="shared" si="2"/>
        <v>20350000</v>
      </c>
      <c r="N186" s="117">
        <v>1084732648</v>
      </c>
      <c r="O186" s="123" t="s">
        <v>659</v>
      </c>
      <c r="P186" s="116" t="s">
        <v>660</v>
      </c>
      <c r="Q186" s="124">
        <v>45111</v>
      </c>
      <c r="R186" s="124">
        <v>45111</v>
      </c>
      <c r="S186" s="124">
        <v>45275</v>
      </c>
      <c r="T186" s="125" t="s">
        <v>612</v>
      </c>
      <c r="U186" s="124"/>
      <c r="V186" s="124"/>
      <c r="W186" s="126"/>
      <c r="X186" s="127"/>
      <c r="Y186" s="121">
        <v>3700000</v>
      </c>
      <c r="Z186" s="120">
        <v>16650000</v>
      </c>
      <c r="AA186" s="139">
        <v>0.18181818181818177</v>
      </c>
      <c r="AB186" s="119">
        <v>85155551</v>
      </c>
      <c r="AC186" s="136" t="s">
        <v>648</v>
      </c>
      <c r="AD186" s="116"/>
      <c r="AE186" s="116"/>
      <c r="AF186" s="125"/>
      <c r="AG186" s="140" t="s">
        <v>1343</v>
      </c>
      <c r="AH186" s="119" t="s">
        <v>192</v>
      </c>
      <c r="AI186" s="119" t="s">
        <v>192</v>
      </c>
    </row>
    <row r="187" spans="1:35" s="130" customFormat="1" ht="17.25" customHeight="1" x14ac:dyDescent="0.25">
      <c r="A187" s="114">
        <v>891780111</v>
      </c>
      <c r="B187" s="115" t="s">
        <v>54</v>
      </c>
      <c r="C187" s="116" t="s">
        <v>57</v>
      </c>
      <c r="D187" s="115" t="s">
        <v>60</v>
      </c>
      <c r="E187" s="119" t="s">
        <v>1344</v>
      </c>
      <c r="F187" s="118" t="s">
        <v>61</v>
      </c>
      <c r="G187" s="118" t="s">
        <v>69</v>
      </c>
      <c r="H187" s="118" t="s">
        <v>609</v>
      </c>
      <c r="I187" s="120">
        <v>22933333</v>
      </c>
      <c r="J187" s="118"/>
      <c r="K187" s="121"/>
      <c r="L187" s="121"/>
      <c r="M187" s="122">
        <f t="shared" si="2"/>
        <v>22933333</v>
      </c>
      <c r="N187" s="117">
        <v>84454392</v>
      </c>
      <c r="O187" s="123" t="s">
        <v>724</v>
      </c>
      <c r="P187" s="116" t="s">
        <v>1345</v>
      </c>
      <c r="Q187" s="124">
        <v>45111</v>
      </c>
      <c r="R187" s="124">
        <v>45111</v>
      </c>
      <c r="S187" s="124">
        <v>45282</v>
      </c>
      <c r="T187" s="125" t="s">
        <v>612</v>
      </c>
      <c r="U187" s="124"/>
      <c r="V187" s="124"/>
      <c r="W187" s="126"/>
      <c r="X187" s="127"/>
      <c r="Y187" s="121">
        <v>4000000</v>
      </c>
      <c r="Z187" s="120">
        <v>18933333</v>
      </c>
      <c r="AA187" s="139">
        <v>0.17441860718631697</v>
      </c>
      <c r="AB187" s="119">
        <v>85155551</v>
      </c>
      <c r="AC187" s="136" t="s">
        <v>648</v>
      </c>
      <c r="AD187" s="116"/>
      <c r="AE187" s="116"/>
      <c r="AF187" s="125"/>
      <c r="AG187" s="140" t="s">
        <v>1346</v>
      </c>
      <c r="AH187" s="119" t="s">
        <v>192</v>
      </c>
      <c r="AI187" s="119" t="s">
        <v>192</v>
      </c>
    </row>
    <row r="188" spans="1:35" s="130" customFormat="1" ht="17.25" customHeight="1" x14ac:dyDescent="0.25">
      <c r="A188" s="114">
        <v>891780111</v>
      </c>
      <c r="B188" s="115" t="s">
        <v>54</v>
      </c>
      <c r="C188" s="116" t="s">
        <v>57</v>
      </c>
      <c r="D188" s="115" t="s">
        <v>60</v>
      </c>
      <c r="E188" s="119" t="s">
        <v>1347</v>
      </c>
      <c r="F188" s="118" t="s">
        <v>61</v>
      </c>
      <c r="G188" s="118" t="s">
        <v>69</v>
      </c>
      <c r="H188" s="118" t="s">
        <v>609</v>
      </c>
      <c r="I188" s="120">
        <v>17600000</v>
      </c>
      <c r="J188" s="118"/>
      <c r="K188" s="121"/>
      <c r="L188" s="121"/>
      <c r="M188" s="122">
        <f t="shared" si="2"/>
        <v>17600000</v>
      </c>
      <c r="N188" s="117">
        <v>12617352</v>
      </c>
      <c r="O188" s="123" t="s">
        <v>689</v>
      </c>
      <c r="P188" s="116" t="s">
        <v>1348</v>
      </c>
      <c r="Q188" s="124">
        <v>45111</v>
      </c>
      <c r="R188" s="124">
        <v>45111</v>
      </c>
      <c r="S188" s="124">
        <v>45275</v>
      </c>
      <c r="T188" s="125" t="s">
        <v>612</v>
      </c>
      <c r="U188" s="124"/>
      <c r="V188" s="124"/>
      <c r="W188" s="126"/>
      <c r="X188" s="127"/>
      <c r="Y188" s="121">
        <v>3200000</v>
      </c>
      <c r="Z188" s="120">
        <v>14400000</v>
      </c>
      <c r="AA188" s="139">
        <v>0.18181818181818177</v>
      </c>
      <c r="AB188" s="119">
        <v>85155551</v>
      </c>
      <c r="AC188" s="136" t="s">
        <v>648</v>
      </c>
      <c r="AD188" s="116"/>
      <c r="AE188" s="116"/>
      <c r="AF188" s="125"/>
      <c r="AG188" s="140" t="s">
        <v>1349</v>
      </c>
      <c r="AH188" s="119" t="s">
        <v>192</v>
      </c>
      <c r="AI188" s="119" t="s">
        <v>192</v>
      </c>
    </row>
    <row r="189" spans="1:35" s="130" customFormat="1" ht="17.25" customHeight="1" x14ac:dyDescent="0.25">
      <c r="A189" s="114">
        <v>891780111</v>
      </c>
      <c r="B189" s="115" t="s">
        <v>54</v>
      </c>
      <c r="C189" s="116" t="s">
        <v>57</v>
      </c>
      <c r="D189" s="115" t="s">
        <v>60</v>
      </c>
      <c r="E189" s="119" t="s">
        <v>1350</v>
      </c>
      <c r="F189" s="118" t="s">
        <v>61</v>
      </c>
      <c r="G189" s="118" t="s">
        <v>69</v>
      </c>
      <c r="H189" s="118" t="s">
        <v>609</v>
      </c>
      <c r="I189" s="120">
        <v>17600000</v>
      </c>
      <c r="J189" s="118"/>
      <c r="K189" s="121"/>
      <c r="L189" s="121"/>
      <c r="M189" s="122">
        <f t="shared" si="2"/>
        <v>17600000</v>
      </c>
      <c r="N189" s="117">
        <v>1082887058</v>
      </c>
      <c r="O189" s="123" t="s">
        <v>655</v>
      </c>
      <c r="P189" s="116" t="s">
        <v>1351</v>
      </c>
      <c r="Q189" s="124">
        <v>45111</v>
      </c>
      <c r="R189" s="124">
        <v>45111</v>
      </c>
      <c r="S189" s="124">
        <v>45275</v>
      </c>
      <c r="T189" s="125" t="s">
        <v>612</v>
      </c>
      <c r="U189" s="124"/>
      <c r="V189" s="124"/>
      <c r="W189" s="126"/>
      <c r="X189" s="127"/>
      <c r="Y189" s="121">
        <v>3200000</v>
      </c>
      <c r="Z189" s="120">
        <v>14400000</v>
      </c>
      <c r="AA189" s="139">
        <v>0.18181818181818177</v>
      </c>
      <c r="AB189" s="119">
        <v>85155551</v>
      </c>
      <c r="AC189" s="136" t="s">
        <v>648</v>
      </c>
      <c r="AD189" s="116"/>
      <c r="AE189" s="116"/>
      <c r="AF189" s="125"/>
      <c r="AG189" s="140" t="s">
        <v>1352</v>
      </c>
      <c r="AH189" s="119" t="s">
        <v>192</v>
      </c>
      <c r="AI189" s="119" t="s">
        <v>192</v>
      </c>
    </row>
    <row r="190" spans="1:35" s="130" customFormat="1" ht="17.25" customHeight="1" x14ac:dyDescent="0.25">
      <c r="A190" s="114">
        <v>891780111</v>
      </c>
      <c r="B190" s="115" t="s">
        <v>54</v>
      </c>
      <c r="C190" s="116" t="s">
        <v>57</v>
      </c>
      <c r="D190" s="115" t="s">
        <v>60</v>
      </c>
      <c r="E190" s="119" t="s">
        <v>1353</v>
      </c>
      <c r="F190" s="118" t="s">
        <v>61</v>
      </c>
      <c r="G190" s="118" t="s">
        <v>69</v>
      </c>
      <c r="H190" s="118" t="s">
        <v>609</v>
      </c>
      <c r="I190" s="120">
        <v>17600000</v>
      </c>
      <c r="J190" s="118"/>
      <c r="K190" s="121"/>
      <c r="L190" s="121"/>
      <c r="M190" s="122">
        <f t="shared" si="2"/>
        <v>17600000</v>
      </c>
      <c r="N190" s="117">
        <v>1083034387</v>
      </c>
      <c r="O190" s="123" t="s">
        <v>788</v>
      </c>
      <c r="P190" s="116" t="s">
        <v>1354</v>
      </c>
      <c r="Q190" s="124">
        <v>45112</v>
      </c>
      <c r="R190" s="124">
        <v>45112</v>
      </c>
      <c r="S190" s="124">
        <v>45275</v>
      </c>
      <c r="T190" s="125" t="s">
        <v>612</v>
      </c>
      <c r="U190" s="124"/>
      <c r="V190" s="124"/>
      <c r="W190" s="126"/>
      <c r="X190" s="127"/>
      <c r="Y190" s="121">
        <v>3200000</v>
      </c>
      <c r="Z190" s="120">
        <v>14400000</v>
      </c>
      <c r="AA190" s="139">
        <v>0.18181818181818177</v>
      </c>
      <c r="AB190" s="119">
        <v>1082903415</v>
      </c>
      <c r="AC190" s="136" t="s">
        <v>643</v>
      </c>
      <c r="AD190" s="116"/>
      <c r="AE190" s="116"/>
      <c r="AF190" s="125"/>
      <c r="AG190" s="140" t="s">
        <v>1355</v>
      </c>
      <c r="AH190" s="119" t="s">
        <v>192</v>
      </c>
      <c r="AI190" s="119" t="s">
        <v>192</v>
      </c>
    </row>
    <row r="191" spans="1:35" s="130" customFormat="1" ht="17.25" customHeight="1" x14ac:dyDescent="0.25">
      <c r="A191" s="114">
        <v>891780111</v>
      </c>
      <c r="B191" s="115" t="s">
        <v>54</v>
      </c>
      <c r="C191" s="116" t="s">
        <v>57</v>
      </c>
      <c r="D191" s="115" t="s">
        <v>60</v>
      </c>
      <c r="E191" s="119" t="s">
        <v>1356</v>
      </c>
      <c r="F191" s="118" t="s">
        <v>61</v>
      </c>
      <c r="G191" s="118" t="s">
        <v>69</v>
      </c>
      <c r="H191" s="118" t="s">
        <v>609</v>
      </c>
      <c r="I191" s="120">
        <v>16500000</v>
      </c>
      <c r="J191" s="118"/>
      <c r="K191" s="121"/>
      <c r="L191" s="121"/>
      <c r="M191" s="122">
        <f t="shared" si="2"/>
        <v>16500000</v>
      </c>
      <c r="N191" s="117">
        <v>1140863901</v>
      </c>
      <c r="O191" s="123" t="s">
        <v>809</v>
      </c>
      <c r="P191" s="116" t="s">
        <v>1357</v>
      </c>
      <c r="Q191" s="124">
        <v>45112</v>
      </c>
      <c r="R191" s="124">
        <v>45112</v>
      </c>
      <c r="S191" s="124">
        <v>45275</v>
      </c>
      <c r="T191" s="125" t="s">
        <v>612</v>
      </c>
      <c r="U191" s="124"/>
      <c r="V191" s="124"/>
      <c r="W191" s="126"/>
      <c r="X191" s="127"/>
      <c r="Y191" s="121">
        <v>3000000</v>
      </c>
      <c r="Z191" s="120">
        <v>13500000</v>
      </c>
      <c r="AA191" s="139">
        <v>0.18181818181818177</v>
      </c>
      <c r="AB191" s="119">
        <v>1082903415</v>
      </c>
      <c r="AC191" s="136" t="s">
        <v>643</v>
      </c>
      <c r="AD191" s="116"/>
      <c r="AE191" s="116"/>
      <c r="AF191" s="125"/>
      <c r="AG191" s="140" t="s">
        <v>1358</v>
      </c>
      <c r="AH191" s="119" t="s">
        <v>192</v>
      </c>
      <c r="AI191" s="119" t="s">
        <v>192</v>
      </c>
    </row>
    <row r="192" spans="1:35" s="130" customFormat="1" ht="17.25" customHeight="1" x14ac:dyDescent="0.25">
      <c r="A192" s="114">
        <v>891780111</v>
      </c>
      <c r="B192" s="115" t="s">
        <v>54</v>
      </c>
      <c r="C192" s="116" t="s">
        <v>57</v>
      </c>
      <c r="D192" s="115" t="s">
        <v>60</v>
      </c>
      <c r="E192" s="119" t="s">
        <v>1359</v>
      </c>
      <c r="F192" s="118" t="s">
        <v>61</v>
      </c>
      <c r="G192" s="118" t="s">
        <v>69</v>
      </c>
      <c r="H192" s="118" t="s">
        <v>609</v>
      </c>
      <c r="I192" s="120">
        <v>16500000</v>
      </c>
      <c r="J192" s="118"/>
      <c r="K192" s="121"/>
      <c r="L192" s="121"/>
      <c r="M192" s="122">
        <f t="shared" si="2"/>
        <v>16500000</v>
      </c>
      <c r="N192" s="117">
        <v>1143161098</v>
      </c>
      <c r="O192" s="123" t="s">
        <v>1360</v>
      </c>
      <c r="P192" s="116" t="s">
        <v>1361</v>
      </c>
      <c r="Q192" s="124">
        <v>45112</v>
      </c>
      <c r="R192" s="124">
        <v>45112</v>
      </c>
      <c r="S192" s="124">
        <v>45275</v>
      </c>
      <c r="T192" s="125" t="s">
        <v>612</v>
      </c>
      <c r="U192" s="124"/>
      <c r="V192" s="124"/>
      <c r="W192" s="126"/>
      <c r="X192" s="127"/>
      <c r="Y192" s="121">
        <v>3000000</v>
      </c>
      <c r="Z192" s="120">
        <v>13500000</v>
      </c>
      <c r="AA192" s="139">
        <v>0.18181818181818177</v>
      </c>
      <c r="AB192" s="119">
        <v>1082903415</v>
      </c>
      <c r="AC192" s="136" t="s">
        <v>643</v>
      </c>
      <c r="AD192" s="116"/>
      <c r="AE192" s="116"/>
      <c r="AF192" s="125"/>
      <c r="AG192" s="140" t="s">
        <v>1362</v>
      </c>
      <c r="AH192" s="119" t="s">
        <v>192</v>
      </c>
      <c r="AI192" s="119" t="s">
        <v>192</v>
      </c>
    </row>
    <row r="193" spans="1:35" s="130" customFormat="1" ht="17.25" customHeight="1" x14ac:dyDescent="0.25">
      <c r="A193" s="114">
        <v>891780111</v>
      </c>
      <c r="B193" s="115" t="s">
        <v>54</v>
      </c>
      <c r="C193" s="116" t="s">
        <v>57</v>
      </c>
      <c r="D193" s="115" t="s">
        <v>60</v>
      </c>
      <c r="E193" s="119" t="s">
        <v>1363</v>
      </c>
      <c r="F193" s="118" t="s">
        <v>61</v>
      </c>
      <c r="G193" s="118" t="s">
        <v>69</v>
      </c>
      <c r="H193" s="118" t="s">
        <v>609</v>
      </c>
      <c r="I193" s="120">
        <v>16500000</v>
      </c>
      <c r="J193" s="118"/>
      <c r="K193" s="121"/>
      <c r="L193" s="121"/>
      <c r="M193" s="122">
        <f t="shared" si="2"/>
        <v>16500000</v>
      </c>
      <c r="N193" s="117">
        <v>1143154018</v>
      </c>
      <c r="O193" s="123" t="s">
        <v>800</v>
      </c>
      <c r="P193" s="116" t="s">
        <v>1364</v>
      </c>
      <c r="Q193" s="124">
        <v>45112</v>
      </c>
      <c r="R193" s="124">
        <v>45112</v>
      </c>
      <c r="S193" s="124">
        <v>45275</v>
      </c>
      <c r="T193" s="125" t="s">
        <v>612</v>
      </c>
      <c r="U193" s="124"/>
      <c r="V193" s="124"/>
      <c r="W193" s="126"/>
      <c r="X193" s="127"/>
      <c r="Y193" s="121">
        <v>3000000</v>
      </c>
      <c r="Z193" s="120">
        <v>13500000</v>
      </c>
      <c r="AA193" s="139">
        <v>0.18181818181818177</v>
      </c>
      <c r="AB193" s="119">
        <v>1082903415</v>
      </c>
      <c r="AC193" s="136" t="s">
        <v>643</v>
      </c>
      <c r="AD193" s="116"/>
      <c r="AE193" s="116"/>
      <c r="AF193" s="125"/>
      <c r="AG193" s="140" t="s">
        <v>1365</v>
      </c>
      <c r="AH193" s="119" t="s">
        <v>192</v>
      </c>
      <c r="AI193" s="119" t="s">
        <v>192</v>
      </c>
    </row>
    <row r="194" spans="1:35" s="130" customFormat="1" ht="17.25" customHeight="1" x14ac:dyDescent="0.25">
      <c r="A194" s="114">
        <v>891780111</v>
      </c>
      <c r="B194" s="115" t="s">
        <v>54</v>
      </c>
      <c r="C194" s="116" t="s">
        <v>57</v>
      </c>
      <c r="D194" s="115" t="s">
        <v>60</v>
      </c>
      <c r="E194" s="119" t="s">
        <v>1366</v>
      </c>
      <c r="F194" s="118" t="s">
        <v>61</v>
      </c>
      <c r="G194" s="118" t="s">
        <v>69</v>
      </c>
      <c r="H194" s="118" t="s">
        <v>609</v>
      </c>
      <c r="I194" s="120">
        <v>18346666</v>
      </c>
      <c r="J194" s="118"/>
      <c r="K194" s="121"/>
      <c r="L194" s="121"/>
      <c r="M194" s="122">
        <f t="shared" si="2"/>
        <v>18346666</v>
      </c>
      <c r="N194" s="117">
        <v>57466061</v>
      </c>
      <c r="O194" s="123" t="s">
        <v>1367</v>
      </c>
      <c r="P194" s="116" t="s">
        <v>1368</v>
      </c>
      <c r="Q194" s="124">
        <v>45112</v>
      </c>
      <c r="R194" s="124">
        <v>45112</v>
      </c>
      <c r="S194" s="124">
        <v>45282</v>
      </c>
      <c r="T194" s="125" t="s">
        <v>612</v>
      </c>
      <c r="U194" s="124"/>
      <c r="V194" s="124"/>
      <c r="W194" s="126"/>
      <c r="X194" s="127"/>
      <c r="Y194" s="121">
        <v>3200000</v>
      </c>
      <c r="Z194" s="120">
        <v>15146666</v>
      </c>
      <c r="AA194" s="139">
        <v>0.17441861098904832</v>
      </c>
      <c r="AB194" s="119">
        <v>1082903415</v>
      </c>
      <c r="AC194" s="136" t="s">
        <v>643</v>
      </c>
      <c r="AD194" s="116"/>
      <c r="AE194" s="116"/>
      <c r="AF194" s="125"/>
      <c r="AG194" s="140" t="s">
        <v>1369</v>
      </c>
      <c r="AH194" s="119" t="s">
        <v>192</v>
      </c>
      <c r="AI194" s="119" t="s">
        <v>192</v>
      </c>
    </row>
    <row r="195" spans="1:35" s="130" customFormat="1" ht="17.25" customHeight="1" x14ac:dyDescent="0.25">
      <c r="A195" s="114">
        <v>891780111</v>
      </c>
      <c r="B195" s="115" t="s">
        <v>54</v>
      </c>
      <c r="C195" s="116" t="s">
        <v>57</v>
      </c>
      <c r="D195" s="115" t="s">
        <v>60</v>
      </c>
      <c r="E195" s="119" t="s">
        <v>1370</v>
      </c>
      <c r="F195" s="118" t="s">
        <v>61</v>
      </c>
      <c r="G195" s="118" t="s">
        <v>69</v>
      </c>
      <c r="H195" s="118" t="s">
        <v>609</v>
      </c>
      <c r="I195" s="120">
        <v>16900000</v>
      </c>
      <c r="J195" s="118"/>
      <c r="K195" s="121"/>
      <c r="L195" s="121"/>
      <c r="M195" s="122">
        <f t="shared" si="2"/>
        <v>16900000</v>
      </c>
      <c r="N195" s="117">
        <v>1082958955</v>
      </c>
      <c r="O195" s="123" t="s">
        <v>754</v>
      </c>
      <c r="P195" s="116" t="s">
        <v>1371</v>
      </c>
      <c r="Q195" s="124">
        <v>45112</v>
      </c>
      <c r="R195" s="124">
        <v>45112</v>
      </c>
      <c r="S195" s="124">
        <v>45282</v>
      </c>
      <c r="T195" s="125" t="s">
        <v>612</v>
      </c>
      <c r="U195" s="124"/>
      <c r="V195" s="124"/>
      <c r="W195" s="126"/>
      <c r="X195" s="127"/>
      <c r="Y195" s="121">
        <v>3000000</v>
      </c>
      <c r="Z195" s="120">
        <v>13900000</v>
      </c>
      <c r="AA195" s="139">
        <v>0.1775147928994083</v>
      </c>
      <c r="AB195" s="119">
        <v>63563343</v>
      </c>
      <c r="AC195" s="136" t="s">
        <v>1372</v>
      </c>
      <c r="AD195" s="116"/>
      <c r="AE195" s="116"/>
      <c r="AF195" s="125"/>
      <c r="AG195" s="140" t="s">
        <v>1373</v>
      </c>
      <c r="AH195" s="119" t="s">
        <v>192</v>
      </c>
      <c r="AI195" s="119" t="s">
        <v>192</v>
      </c>
    </row>
    <row r="196" spans="1:35" s="130" customFormat="1" ht="17.25" customHeight="1" x14ac:dyDescent="0.25">
      <c r="A196" s="114">
        <v>891780111</v>
      </c>
      <c r="B196" s="115" t="s">
        <v>54</v>
      </c>
      <c r="C196" s="116" t="s">
        <v>57</v>
      </c>
      <c r="D196" s="115" t="s">
        <v>60</v>
      </c>
      <c r="E196" s="119" t="s">
        <v>1374</v>
      </c>
      <c r="F196" s="118" t="s">
        <v>61</v>
      </c>
      <c r="G196" s="118" t="s">
        <v>69</v>
      </c>
      <c r="H196" s="118" t="s">
        <v>609</v>
      </c>
      <c r="I196" s="120">
        <v>20280000</v>
      </c>
      <c r="J196" s="118"/>
      <c r="K196" s="121"/>
      <c r="L196" s="121"/>
      <c r="M196" s="122">
        <f t="shared" si="2"/>
        <v>20280000</v>
      </c>
      <c r="N196" s="117">
        <v>57299250</v>
      </c>
      <c r="O196" s="123" t="s">
        <v>837</v>
      </c>
      <c r="P196" s="116" t="s">
        <v>1375</v>
      </c>
      <c r="Q196" s="124">
        <v>45112</v>
      </c>
      <c r="R196" s="124">
        <v>45112</v>
      </c>
      <c r="S196" s="124">
        <v>45282</v>
      </c>
      <c r="T196" s="125" t="s">
        <v>612</v>
      </c>
      <c r="U196" s="124"/>
      <c r="V196" s="124"/>
      <c r="W196" s="126"/>
      <c r="X196" s="127"/>
      <c r="Y196" s="121">
        <v>3600000</v>
      </c>
      <c r="Z196" s="120">
        <v>16680000</v>
      </c>
      <c r="AA196" s="139">
        <v>0.1775147928994083</v>
      </c>
      <c r="AB196" s="119">
        <v>63563343</v>
      </c>
      <c r="AC196" s="136" t="s">
        <v>1372</v>
      </c>
      <c r="AD196" s="116"/>
      <c r="AE196" s="116"/>
      <c r="AF196" s="125"/>
      <c r="AG196" s="140" t="s">
        <v>1376</v>
      </c>
      <c r="AH196" s="119" t="s">
        <v>192</v>
      </c>
      <c r="AI196" s="119" t="s">
        <v>192</v>
      </c>
    </row>
    <row r="197" spans="1:35" s="130" customFormat="1" ht="17.25" customHeight="1" x14ac:dyDescent="0.25">
      <c r="A197" s="114">
        <v>891780111</v>
      </c>
      <c r="B197" s="115" t="s">
        <v>54</v>
      </c>
      <c r="C197" s="116" t="s">
        <v>57</v>
      </c>
      <c r="D197" s="115" t="s">
        <v>60</v>
      </c>
      <c r="E197" s="119" t="s">
        <v>1377</v>
      </c>
      <c r="F197" s="118" t="s">
        <v>61</v>
      </c>
      <c r="G197" s="118" t="s">
        <v>69</v>
      </c>
      <c r="H197" s="118" t="s">
        <v>609</v>
      </c>
      <c r="I197" s="120">
        <v>18026667</v>
      </c>
      <c r="J197" s="118"/>
      <c r="K197" s="121"/>
      <c r="L197" s="121"/>
      <c r="M197" s="122">
        <f t="shared" si="2"/>
        <v>18026667</v>
      </c>
      <c r="N197" s="117">
        <v>1010124615</v>
      </c>
      <c r="O197" s="123" t="s">
        <v>1378</v>
      </c>
      <c r="P197" s="116" t="s">
        <v>1379</v>
      </c>
      <c r="Q197" s="124">
        <v>45112</v>
      </c>
      <c r="R197" s="124">
        <v>45112</v>
      </c>
      <c r="S197" s="124">
        <v>45282</v>
      </c>
      <c r="T197" s="125" t="s">
        <v>612</v>
      </c>
      <c r="U197" s="124"/>
      <c r="V197" s="124"/>
      <c r="W197" s="126"/>
      <c r="X197" s="127"/>
      <c r="Y197" s="121">
        <v>3200000</v>
      </c>
      <c r="Z197" s="120">
        <v>14826667</v>
      </c>
      <c r="AA197" s="139">
        <v>0.17751478961696021</v>
      </c>
      <c r="AB197" s="119">
        <v>63563343</v>
      </c>
      <c r="AC197" s="136" t="s">
        <v>1372</v>
      </c>
      <c r="AD197" s="116"/>
      <c r="AE197" s="116"/>
      <c r="AF197" s="125"/>
      <c r="AG197" s="140" t="s">
        <v>1380</v>
      </c>
      <c r="AH197" s="119" t="s">
        <v>192</v>
      </c>
      <c r="AI197" s="119" t="s">
        <v>192</v>
      </c>
    </row>
    <row r="198" spans="1:35" s="130" customFormat="1" ht="17.25" customHeight="1" x14ac:dyDescent="0.25">
      <c r="A198" s="114">
        <v>891780111</v>
      </c>
      <c r="B198" s="115" t="s">
        <v>54</v>
      </c>
      <c r="C198" s="116" t="s">
        <v>57</v>
      </c>
      <c r="D198" s="115" t="s">
        <v>60</v>
      </c>
      <c r="E198" s="119" t="s">
        <v>1381</v>
      </c>
      <c r="F198" s="118" t="s">
        <v>61</v>
      </c>
      <c r="G198" s="118" t="s">
        <v>69</v>
      </c>
      <c r="H198" s="118" t="s">
        <v>609</v>
      </c>
      <c r="I198" s="120">
        <v>18026667</v>
      </c>
      <c r="J198" s="118"/>
      <c r="K198" s="121"/>
      <c r="L198" s="121"/>
      <c r="M198" s="122">
        <f t="shared" ref="M198:M261" si="3">+(I198+K198)-L198</f>
        <v>18026667</v>
      </c>
      <c r="N198" s="117">
        <v>1082989734</v>
      </c>
      <c r="O198" s="123" t="s">
        <v>833</v>
      </c>
      <c r="P198" s="116" t="s">
        <v>1382</v>
      </c>
      <c r="Q198" s="124">
        <v>45112</v>
      </c>
      <c r="R198" s="124">
        <v>45112</v>
      </c>
      <c r="S198" s="124">
        <v>45282</v>
      </c>
      <c r="T198" s="125" t="s">
        <v>612</v>
      </c>
      <c r="U198" s="124"/>
      <c r="V198" s="124"/>
      <c r="W198" s="126"/>
      <c r="X198" s="127"/>
      <c r="Y198" s="121">
        <v>3200000</v>
      </c>
      <c r="Z198" s="120">
        <v>14826667</v>
      </c>
      <c r="AA198" s="139">
        <v>0.17751478961696021</v>
      </c>
      <c r="AB198" s="119">
        <v>63563343</v>
      </c>
      <c r="AC198" s="136" t="s">
        <v>1372</v>
      </c>
      <c r="AD198" s="116"/>
      <c r="AE198" s="116"/>
      <c r="AF198" s="125"/>
      <c r="AG198" s="140" t="s">
        <v>1383</v>
      </c>
      <c r="AH198" s="119" t="s">
        <v>192</v>
      </c>
      <c r="AI198" s="119" t="s">
        <v>192</v>
      </c>
    </row>
    <row r="199" spans="1:35" s="130" customFormat="1" ht="17.25" customHeight="1" x14ac:dyDescent="0.25">
      <c r="A199" s="114">
        <v>891780111</v>
      </c>
      <c r="B199" s="115" t="s">
        <v>54</v>
      </c>
      <c r="C199" s="116" t="s">
        <v>57</v>
      </c>
      <c r="D199" s="115" t="s">
        <v>60</v>
      </c>
      <c r="E199" s="119" t="s">
        <v>1384</v>
      </c>
      <c r="F199" s="118" t="s">
        <v>61</v>
      </c>
      <c r="G199" s="118" t="s">
        <v>69</v>
      </c>
      <c r="H199" s="118" t="s">
        <v>609</v>
      </c>
      <c r="I199" s="120">
        <v>20066667</v>
      </c>
      <c r="J199" s="118"/>
      <c r="K199" s="121"/>
      <c r="L199" s="121"/>
      <c r="M199" s="122">
        <f t="shared" si="3"/>
        <v>20066667</v>
      </c>
      <c r="N199" s="117">
        <v>1083034324</v>
      </c>
      <c r="O199" s="123" t="s">
        <v>1210</v>
      </c>
      <c r="P199" s="116" t="s">
        <v>1385</v>
      </c>
      <c r="Q199" s="124">
        <v>45112</v>
      </c>
      <c r="R199" s="124">
        <v>45112</v>
      </c>
      <c r="S199" s="124">
        <v>45282</v>
      </c>
      <c r="T199" s="125" t="s">
        <v>612</v>
      </c>
      <c r="U199" s="124"/>
      <c r="V199" s="124"/>
      <c r="W199" s="126"/>
      <c r="X199" s="127"/>
      <c r="Y199" s="121">
        <v>3500000</v>
      </c>
      <c r="Z199" s="120">
        <v>16566667</v>
      </c>
      <c r="AA199" s="139">
        <v>0.17441860175384383</v>
      </c>
      <c r="AB199" s="119">
        <v>39049658</v>
      </c>
      <c r="AC199" s="136" t="s">
        <v>699</v>
      </c>
      <c r="AD199" s="116"/>
      <c r="AE199" s="116"/>
      <c r="AF199" s="125"/>
      <c r="AG199" s="140" t="s">
        <v>1386</v>
      </c>
      <c r="AH199" s="119" t="s">
        <v>192</v>
      </c>
      <c r="AI199" s="119" t="s">
        <v>192</v>
      </c>
    </row>
    <row r="200" spans="1:35" s="130" customFormat="1" ht="17.25" customHeight="1" x14ac:dyDescent="0.25">
      <c r="A200" s="114">
        <v>891780111</v>
      </c>
      <c r="B200" s="115" t="s">
        <v>54</v>
      </c>
      <c r="C200" s="116" t="s">
        <v>57</v>
      </c>
      <c r="D200" s="115" t="s">
        <v>60</v>
      </c>
      <c r="E200" s="119" t="s">
        <v>1387</v>
      </c>
      <c r="F200" s="118" t="s">
        <v>61</v>
      </c>
      <c r="G200" s="118" t="s">
        <v>69</v>
      </c>
      <c r="H200" s="118" t="s">
        <v>609</v>
      </c>
      <c r="I200" s="120">
        <v>20066667</v>
      </c>
      <c r="J200" s="118"/>
      <c r="K200" s="121"/>
      <c r="L200" s="121"/>
      <c r="M200" s="122">
        <f t="shared" si="3"/>
        <v>20066667</v>
      </c>
      <c r="N200" s="117">
        <v>36386177</v>
      </c>
      <c r="O200" s="123" t="s">
        <v>728</v>
      </c>
      <c r="P200" s="116" t="s">
        <v>1388</v>
      </c>
      <c r="Q200" s="124">
        <v>45112</v>
      </c>
      <c r="R200" s="124">
        <v>45112</v>
      </c>
      <c r="S200" s="124">
        <v>45282</v>
      </c>
      <c r="T200" s="125" t="s">
        <v>612</v>
      </c>
      <c r="U200" s="124"/>
      <c r="V200" s="124"/>
      <c r="W200" s="126"/>
      <c r="X200" s="127"/>
      <c r="Y200" s="121">
        <v>3500000</v>
      </c>
      <c r="Z200" s="120">
        <v>16566667</v>
      </c>
      <c r="AA200" s="139">
        <v>0.17441860175384383</v>
      </c>
      <c r="AB200" s="119">
        <v>39049658</v>
      </c>
      <c r="AC200" s="136" t="s">
        <v>699</v>
      </c>
      <c r="AD200" s="116"/>
      <c r="AE200" s="116"/>
      <c r="AF200" s="125"/>
      <c r="AG200" s="140" t="s">
        <v>1389</v>
      </c>
      <c r="AH200" s="119" t="s">
        <v>192</v>
      </c>
      <c r="AI200" s="119" t="s">
        <v>192</v>
      </c>
    </row>
    <row r="201" spans="1:35" s="130" customFormat="1" ht="17.25" customHeight="1" x14ac:dyDescent="0.25">
      <c r="A201" s="114">
        <v>891780111</v>
      </c>
      <c r="B201" s="115" t="s">
        <v>54</v>
      </c>
      <c r="C201" s="116" t="s">
        <v>57</v>
      </c>
      <c r="D201" s="115" t="s">
        <v>60</v>
      </c>
      <c r="E201" s="119" t="s">
        <v>1390</v>
      </c>
      <c r="F201" s="118" t="s">
        <v>61</v>
      </c>
      <c r="G201" s="118" t="s">
        <v>69</v>
      </c>
      <c r="H201" s="118" t="s">
        <v>609</v>
      </c>
      <c r="I201" s="120">
        <v>20066667</v>
      </c>
      <c r="J201" s="118"/>
      <c r="K201" s="121"/>
      <c r="L201" s="121"/>
      <c r="M201" s="122">
        <f t="shared" si="3"/>
        <v>20066667</v>
      </c>
      <c r="N201" s="117">
        <v>57462496</v>
      </c>
      <c r="O201" s="123" t="s">
        <v>1391</v>
      </c>
      <c r="P201" s="116" t="s">
        <v>1392</v>
      </c>
      <c r="Q201" s="124">
        <v>45112</v>
      </c>
      <c r="R201" s="124">
        <v>45112</v>
      </c>
      <c r="S201" s="124">
        <v>45282</v>
      </c>
      <c r="T201" s="125" t="s">
        <v>612</v>
      </c>
      <c r="U201" s="124"/>
      <c r="V201" s="124"/>
      <c r="W201" s="126"/>
      <c r="X201" s="127"/>
      <c r="Y201" s="121">
        <v>3500000</v>
      </c>
      <c r="Z201" s="120">
        <v>16566667</v>
      </c>
      <c r="AA201" s="139">
        <v>0.17441860175384383</v>
      </c>
      <c r="AB201" s="119">
        <v>39049658</v>
      </c>
      <c r="AC201" s="136" t="s">
        <v>699</v>
      </c>
      <c r="AD201" s="116"/>
      <c r="AE201" s="116"/>
      <c r="AF201" s="125"/>
      <c r="AG201" s="140" t="s">
        <v>1393</v>
      </c>
      <c r="AH201" s="119" t="s">
        <v>192</v>
      </c>
      <c r="AI201" s="119" t="s">
        <v>192</v>
      </c>
    </row>
    <row r="202" spans="1:35" s="130" customFormat="1" ht="17.25" customHeight="1" x14ac:dyDescent="0.25">
      <c r="A202" s="114">
        <v>891780111</v>
      </c>
      <c r="B202" s="115" t="s">
        <v>54</v>
      </c>
      <c r="C202" s="116" t="s">
        <v>57</v>
      </c>
      <c r="D202" s="115" t="s">
        <v>60</v>
      </c>
      <c r="E202" s="119" t="s">
        <v>1394</v>
      </c>
      <c r="F202" s="118" t="s">
        <v>61</v>
      </c>
      <c r="G202" s="118" t="s">
        <v>69</v>
      </c>
      <c r="H202" s="118" t="s">
        <v>609</v>
      </c>
      <c r="I202" s="120">
        <v>22933330</v>
      </c>
      <c r="J202" s="118"/>
      <c r="K202" s="121"/>
      <c r="L202" s="121"/>
      <c r="M202" s="122">
        <f t="shared" si="3"/>
        <v>22933330</v>
      </c>
      <c r="N202" s="117">
        <v>85155278</v>
      </c>
      <c r="O202" s="123" t="s">
        <v>693</v>
      </c>
      <c r="P202" s="116" t="s">
        <v>1395</v>
      </c>
      <c r="Q202" s="124">
        <v>45112</v>
      </c>
      <c r="R202" s="124">
        <v>45112</v>
      </c>
      <c r="S202" s="124">
        <v>45282</v>
      </c>
      <c r="T202" s="125" t="s">
        <v>612</v>
      </c>
      <c r="U202" s="124"/>
      <c r="V202" s="124"/>
      <c r="W202" s="126"/>
      <c r="X202" s="127"/>
      <c r="Y202" s="121">
        <v>4000000</v>
      </c>
      <c r="Z202" s="120">
        <v>18933330</v>
      </c>
      <c r="AA202" s="139">
        <v>0.17441863000270785</v>
      </c>
      <c r="AB202" s="119">
        <v>1082884010</v>
      </c>
      <c r="AC202" s="136" t="s">
        <v>1177</v>
      </c>
      <c r="AD202" s="116"/>
      <c r="AE202" s="116"/>
      <c r="AF202" s="125"/>
      <c r="AG202" s="140" t="s">
        <v>1396</v>
      </c>
      <c r="AH202" s="119" t="s">
        <v>192</v>
      </c>
      <c r="AI202" s="119" t="s">
        <v>192</v>
      </c>
    </row>
    <row r="203" spans="1:35" s="130" customFormat="1" ht="17.25" customHeight="1" x14ac:dyDescent="0.25">
      <c r="A203" s="114">
        <v>891780111</v>
      </c>
      <c r="B203" s="115" t="s">
        <v>54</v>
      </c>
      <c r="C203" s="116" t="s">
        <v>57</v>
      </c>
      <c r="D203" s="115" t="s">
        <v>60</v>
      </c>
      <c r="E203" s="119" t="s">
        <v>1397</v>
      </c>
      <c r="F203" s="118" t="s">
        <v>61</v>
      </c>
      <c r="G203" s="118" t="s">
        <v>69</v>
      </c>
      <c r="H203" s="118" t="s">
        <v>609</v>
      </c>
      <c r="I203" s="120">
        <v>17600000</v>
      </c>
      <c r="J203" s="118"/>
      <c r="K203" s="121"/>
      <c r="L203" s="121"/>
      <c r="M203" s="122">
        <f t="shared" si="3"/>
        <v>17600000</v>
      </c>
      <c r="N203" s="117">
        <v>1082944396</v>
      </c>
      <c r="O203" s="123" t="s">
        <v>909</v>
      </c>
      <c r="P203" s="116" t="s">
        <v>1398</v>
      </c>
      <c r="Q203" s="124">
        <v>45112</v>
      </c>
      <c r="R203" s="124">
        <v>45112</v>
      </c>
      <c r="S203" s="124">
        <v>45275</v>
      </c>
      <c r="T203" s="125" t="s">
        <v>612</v>
      </c>
      <c r="U203" s="124"/>
      <c r="V203" s="124"/>
      <c r="W203" s="126"/>
      <c r="X203" s="127"/>
      <c r="Y203" s="121">
        <v>3200000</v>
      </c>
      <c r="Z203" s="120">
        <v>14400000</v>
      </c>
      <c r="AA203" s="139">
        <v>0.18181818181818177</v>
      </c>
      <c r="AB203" s="119">
        <v>1082884010</v>
      </c>
      <c r="AC203" s="136" t="s">
        <v>1177</v>
      </c>
      <c r="AD203" s="116"/>
      <c r="AE203" s="116"/>
      <c r="AF203" s="125"/>
      <c r="AG203" s="140" t="s">
        <v>1399</v>
      </c>
      <c r="AH203" s="119" t="s">
        <v>192</v>
      </c>
      <c r="AI203" s="119" t="s">
        <v>192</v>
      </c>
    </row>
    <row r="204" spans="1:35" s="130" customFormat="1" ht="17.25" customHeight="1" x14ac:dyDescent="0.25">
      <c r="A204" s="114">
        <v>891780111</v>
      </c>
      <c r="B204" s="115" t="s">
        <v>54</v>
      </c>
      <c r="C204" s="116" t="s">
        <v>57</v>
      </c>
      <c r="D204" s="115" t="s">
        <v>60</v>
      </c>
      <c r="E204" s="119" t="s">
        <v>1400</v>
      </c>
      <c r="F204" s="118" t="s">
        <v>61</v>
      </c>
      <c r="G204" s="118" t="s">
        <v>69</v>
      </c>
      <c r="H204" s="118" t="s">
        <v>609</v>
      </c>
      <c r="I204" s="120">
        <v>20066667</v>
      </c>
      <c r="J204" s="118"/>
      <c r="K204" s="121"/>
      <c r="L204" s="121"/>
      <c r="M204" s="122">
        <f t="shared" si="3"/>
        <v>20066667</v>
      </c>
      <c r="N204" s="117">
        <v>1082984449</v>
      </c>
      <c r="O204" s="123" t="s">
        <v>714</v>
      </c>
      <c r="P204" s="116" t="s">
        <v>1401</v>
      </c>
      <c r="Q204" s="124">
        <v>45112</v>
      </c>
      <c r="R204" s="124">
        <v>45112</v>
      </c>
      <c r="S204" s="124">
        <v>45282</v>
      </c>
      <c r="T204" s="125" t="s">
        <v>612</v>
      </c>
      <c r="U204" s="124"/>
      <c r="V204" s="124"/>
      <c r="W204" s="126"/>
      <c r="X204" s="127"/>
      <c r="Y204" s="121">
        <v>3500000</v>
      </c>
      <c r="Z204" s="120">
        <v>16566667</v>
      </c>
      <c r="AA204" s="139">
        <v>0.17441860175384383</v>
      </c>
      <c r="AB204" s="119">
        <v>39049658</v>
      </c>
      <c r="AC204" s="136" t="s">
        <v>699</v>
      </c>
      <c r="AD204" s="116"/>
      <c r="AE204" s="116"/>
      <c r="AF204" s="125"/>
      <c r="AG204" s="140" t="s">
        <v>1402</v>
      </c>
      <c r="AH204" s="119" t="s">
        <v>192</v>
      </c>
      <c r="AI204" s="119" t="s">
        <v>192</v>
      </c>
    </row>
    <row r="205" spans="1:35" s="130" customFormat="1" ht="17.25" customHeight="1" x14ac:dyDescent="0.25">
      <c r="A205" s="114">
        <v>891780111</v>
      </c>
      <c r="B205" s="115" t="s">
        <v>54</v>
      </c>
      <c r="C205" s="116" t="s">
        <v>57</v>
      </c>
      <c r="D205" s="115" t="s">
        <v>60</v>
      </c>
      <c r="E205" s="119" t="s">
        <v>1403</v>
      </c>
      <c r="F205" s="118" t="s">
        <v>61</v>
      </c>
      <c r="G205" s="118" t="s">
        <v>69</v>
      </c>
      <c r="H205" s="118" t="s">
        <v>609</v>
      </c>
      <c r="I205" s="120">
        <v>20066667</v>
      </c>
      <c r="J205" s="118"/>
      <c r="K205" s="121"/>
      <c r="L205" s="121"/>
      <c r="M205" s="122">
        <f t="shared" si="3"/>
        <v>20066667</v>
      </c>
      <c r="N205" s="117">
        <v>1082875832</v>
      </c>
      <c r="O205" s="123" t="s">
        <v>702</v>
      </c>
      <c r="P205" s="116" t="s">
        <v>1404</v>
      </c>
      <c r="Q205" s="124">
        <v>45112</v>
      </c>
      <c r="R205" s="124">
        <v>45112</v>
      </c>
      <c r="S205" s="124">
        <v>45282</v>
      </c>
      <c r="T205" s="125" t="s">
        <v>612</v>
      </c>
      <c r="U205" s="124"/>
      <c r="V205" s="124"/>
      <c r="W205" s="126"/>
      <c r="X205" s="127"/>
      <c r="Y205" s="121">
        <v>3500000</v>
      </c>
      <c r="Z205" s="120">
        <v>16566667</v>
      </c>
      <c r="AA205" s="139">
        <v>0.17441860175384383</v>
      </c>
      <c r="AB205" s="119">
        <v>39049658</v>
      </c>
      <c r="AC205" s="136" t="s">
        <v>699</v>
      </c>
      <c r="AD205" s="116"/>
      <c r="AE205" s="116"/>
      <c r="AF205" s="125"/>
      <c r="AG205" s="140" t="s">
        <v>1405</v>
      </c>
      <c r="AH205" s="119" t="s">
        <v>192</v>
      </c>
      <c r="AI205" s="119" t="s">
        <v>192</v>
      </c>
    </row>
    <row r="206" spans="1:35" s="130" customFormat="1" ht="17.25" customHeight="1" x14ac:dyDescent="0.25">
      <c r="A206" s="114">
        <v>891780111</v>
      </c>
      <c r="B206" s="115" t="s">
        <v>54</v>
      </c>
      <c r="C206" s="116" t="s">
        <v>57</v>
      </c>
      <c r="D206" s="115" t="s">
        <v>60</v>
      </c>
      <c r="E206" s="119" t="s">
        <v>1406</v>
      </c>
      <c r="F206" s="118" t="s">
        <v>61</v>
      </c>
      <c r="G206" s="118" t="s">
        <v>69</v>
      </c>
      <c r="H206" s="118" t="s">
        <v>609</v>
      </c>
      <c r="I206" s="120">
        <v>18346670</v>
      </c>
      <c r="J206" s="118"/>
      <c r="K206" s="121"/>
      <c r="L206" s="121"/>
      <c r="M206" s="122">
        <f t="shared" si="3"/>
        <v>18346670</v>
      </c>
      <c r="N206" s="117">
        <v>1082990677</v>
      </c>
      <c r="O206" s="123" t="s">
        <v>772</v>
      </c>
      <c r="P206" s="116" t="s">
        <v>1407</v>
      </c>
      <c r="Q206" s="124">
        <v>45112</v>
      </c>
      <c r="R206" s="124">
        <v>45112</v>
      </c>
      <c r="S206" s="124">
        <v>45282</v>
      </c>
      <c r="T206" s="125" t="s">
        <v>612</v>
      </c>
      <c r="U206" s="124"/>
      <c r="V206" s="124"/>
      <c r="W206" s="126"/>
      <c r="X206" s="127"/>
      <c r="Y206" s="121">
        <v>3200000</v>
      </c>
      <c r="Z206" s="120">
        <v>15146670</v>
      </c>
      <c r="AA206" s="139">
        <v>0.17441857296174179</v>
      </c>
      <c r="AB206" s="119">
        <v>1082884010</v>
      </c>
      <c r="AC206" s="136" t="s">
        <v>1177</v>
      </c>
      <c r="AD206" s="116"/>
      <c r="AE206" s="116"/>
      <c r="AF206" s="125"/>
      <c r="AG206" s="140" t="s">
        <v>1408</v>
      </c>
      <c r="AH206" s="119" t="s">
        <v>192</v>
      </c>
      <c r="AI206" s="119" t="s">
        <v>192</v>
      </c>
    </row>
    <row r="207" spans="1:35" s="130" customFormat="1" ht="17.25" customHeight="1" x14ac:dyDescent="0.25">
      <c r="A207" s="114">
        <v>891780111</v>
      </c>
      <c r="B207" s="115" t="s">
        <v>54</v>
      </c>
      <c r="C207" s="116" t="s">
        <v>57</v>
      </c>
      <c r="D207" s="115" t="s">
        <v>60</v>
      </c>
      <c r="E207" s="119" t="s">
        <v>1409</v>
      </c>
      <c r="F207" s="118" t="s">
        <v>61</v>
      </c>
      <c r="G207" s="118" t="s">
        <v>69</v>
      </c>
      <c r="H207" s="118" t="s">
        <v>609</v>
      </c>
      <c r="I207" s="120">
        <v>20066667</v>
      </c>
      <c r="J207" s="118"/>
      <c r="K207" s="121"/>
      <c r="L207" s="121"/>
      <c r="M207" s="122">
        <f t="shared" si="3"/>
        <v>20066667</v>
      </c>
      <c r="N207" s="117">
        <v>1082875128</v>
      </c>
      <c r="O207" s="123" t="s">
        <v>739</v>
      </c>
      <c r="P207" s="116" t="s">
        <v>1410</v>
      </c>
      <c r="Q207" s="124">
        <v>45112</v>
      </c>
      <c r="R207" s="124">
        <v>45112</v>
      </c>
      <c r="S207" s="124">
        <v>45282</v>
      </c>
      <c r="T207" s="125" t="s">
        <v>612</v>
      </c>
      <c r="U207" s="124"/>
      <c r="V207" s="124"/>
      <c r="W207" s="126"/>
      <c r="X207" s="127"/>
      <c r="Y207" s="121">
        <v>3500000</v>
      </c>
      <c r="Z207" s="120">
        <v>16566667</v>
      </c>
      <c r="AA207" s="139">
        <v>0.17441860175384383</v>
      </c>
      <c r="AB207" s="119">
        <v>1082903415</v>
      </c>
      <c r="AC207" s="136" t="s">
        <v>643</v>
      </c>
      <c r="AD207" s="116"/>
      <c r="AE207" s="116"/>
      <c r="AF207" s="125"/>
      <c r="AG207" s="140" t="s">
        <v>1411</v>
      </c>
      <c r="AH207" s="119" t="s">
        <v>192</v>
      </c>
      <c r="AI207" s="119" t="s">
        <v>192</v>
      </c>
    </row>
    <row r="208" spans="1:35" s="130" customFormat="1" ht="17.25" customHeight="1" x14ac:dyDescent="0.25">
      <c r="A208" s="114">
        <v>891780111</v>
      </c>
      <c r="B208" s="115" t="s">
        <v>54</v>
      </c>
      <c r="C208" s="116" t="s">
        <v>57</v>
      </c>
      <c r="D208" s="115" t="s">
        <v>60</v>
      </c>
      <c r="E208" s="119" t="s">
        <v>1412</v>
      </c>
      <c r="F208" s="118" t="s">
        <v>61</v>
      </c>
      <c r="G208" s="118" t="s">
        <v>69</v>
      </c>
      <c r="H208" s="118" t="s">
        <v>609</v>
      </c>
      <c r="I208" s="120">
        <v>16500000</v>
      </c>
      <c r="J208" s="118"/>
      <c r="K208" s="121"/>
      <c r="L208" s="121"/>
      <c r="M208" s="122">
        <f t="shared" si="3"/>
        <v>16500000</v>
      </c>
      <c r="N208" s="117">
        <v>1130264593</v>
      </c>
      <c r="O208" s="123" t="s">
        <v>841</v>
      </c>
      <c r="P208" s="116" t="s">
        <v>1413</v>
      </c>
      <c r="Q208" s="124">
        <v>45112</v>
      </c>
      <c r="R208" s="124">
        <v>45112</v>
      </c>
      <c r="S208" s="124">
        <v>45275</v>
      </c>
      <c r="T208" s="125" t="s">
        <v>612</v>
      </c>
      <c r="U208" s="124"/>
      <c r="V208" s="124"/>
      <c r="W208" s="126"/>
      <c r="X208" s="127"/>
      <c r="Y208" s="121">
        <v>3000000</v>
      </c>
      <c r="Z208" s="120">
        <v>13500000</v>
      </c>
      <c r="AA208" s="139">
        <v>0.18181818181818177</v>
      </c>
      <c r="AB208" s="119">
        <v>1082903415</v>
      </c>
      <c r="AC208" s="136" t="s">
        <v>643</v>
      </c>
      <c r="AD208" s="116"/>
      <c r="AE208" s="116"/>
      <c r="AF208" s="125"/>
      <c r="AG208" s="140" t="s">
        <v>1414</v>
      </c>
      <c r="AH208" s="119" t="s">
        <v>192</v>
      </c>
      <c r="AI208" s="119" t="s">
        <v>192</v>
      </c>
    </row>
    <row r="209" spans="1:35" s="130" customFormat="1" ht="17.25" customHeight="1" x14ac:dyDescent="0.25">
      <c r="A209" s="114">
        <v>891780111</v>
      </c>
      <c r="B209" s="115" t="s">
        <v>54</v>
      </c>
      <c r="C209" s="116" t="s">
        <v>57</v>
      </c>
      <c r="D209" s="115" t="s">
        <v>60</v>
      </c>
      <c r="E209" s="119" t="s">
        <v>1415</v>
      </c>
      <c r="F209" s="118" t="s">
        <v>61</v>
      </c>
      <c r="G209" s="118" t="s">
        <v>69</v>
      </c>
      <c r="H209" s="118" t="s">
        <v>609</v>
      </c>
      <c r="I209" s="120">
        <v>18346666</v>
      </c>
      <c r="J209" s="118"/>
      <c r="K209" s="121"/>
      <c r="L209" s="121"/>
      <c r="M209" s="122">
        <f t="shared" si="3"/>
        <v>18346666</v>
      </c>
      <c r="N209" s="117">
        <v>1053001646</v>
      </c>
      <c r="O209" s="123" t="s">
        <v>750</v>
      </c>
      <c r="P209" s="116" t="s">
        <v>1413</v>
      </c>
      <c r="Q209" s="124">
        <v>45112</v>
      </c>
      <c r="R209" s="124">
        <v>45112</v>
      </c>
      <c r="S209" s="124">
        <v>45282</v>
      </c>
      <c r="T209" s="125" t="s">
        <v>612</v>
      </c>
      <c r="U209" s="124"/>
      <c r="V209" s="124"/>
      <c r="W209" s="126"/>
      <c r="X209" s="127"/>
      <c r="Y209" s="121">
        <v>3200000</v>
      </c>
      <c r="Z209" s="120">
        <v>15146666</v>
      </c>
      <c r="AA209" s="139">
        <v>0.17441861098904832</v>
      </c>
      <c r="AB209" s="119">
        <v>1082903415</v>
      </c>
      <c r="AC209" s="136" t="s">
        <v>643</v>
      </c>
      <c r="AD209" s="116"/>
      <c r="AE209" s="116"/>
      <c r="AF209" s="125"/>
      <c r="AG209" s="140" t="s">
        <v>1416</v>
      </c>
      <c r="AH209" s="119" t="s">
        <v>192</v>
      </c>
      <c r="AI209" s="119" t="s">
        <v>192</v>
      </c>
    </row>
    <row r="210" spans="1:35" s="130" customFormat="1" ht="17.25" customHeight="1" x14ac:dyDescent="0.25">
      <c r="A210" s="114">
        <v>891780111</v>
      </c>
      <c r="B210" s="115" t="s">
        <v>54</v>
      </c>
      <c r="C210" s="116" t="s">
        <v>57</v>
      </c>
      <c r="D210" s="115" t="s">
        <v>60</v>
      </c>
      <c r="E210" s="119" t="s">
        <v>1417</v>
      </c>
      <c r="F210" s="118" t="s">
        <v>61</v>
      </c>
      <c r="G210" s="118" t="s">
        <v>69</v>
      </c>
      <c r="H210" s="118" t="s">
        <v>609</v>
      </c>
      <c r="I210" s="120">
        <v>21786666</v>
      </c>
      <c r="J210" s="118"/>
      <c r="K210" s="121"/>
      <c r="L210" s="121"/>
      <c r="M210" s="122">
        <f t="shared" si="3"/>
        <v>21786666</v>
      </c>
      <c r="N210" s="117">
        <v>85152793</v>
      </c>
      <c r="O210" s="123" t="s">
        <v>763</v>
      </c>
      <c r="P210" s="116" t="s">
        <v>1418</v>
      </c>
      <c r="Q210" s="124">
        <v>45112</v>
      </c>
      <c r="R210" s="124">
        <v>45112</v>
      </c>
      <c r="S210" s="124">
        <v>45282</v>
      </c>
      <c r="T210" s="125" t="s">
        <v>612</v>
      </c>
      <c r="U210" s="124"/>
      <c r="V210" s="124"/>
      <c r="W210" s="126"/>
      <c r="X210" s="127"/>
      <c r="Y210" s="121">
        <v>3800000</v>
      </c>
      <c r="Z210" s="120">
        <v>17986666</v>
      </c>
      <c r="AA210" s="139">
        <v>0.17441860998832959</v>
      </c>
      <c r="AB210" s="119">
        <v>1082903415</v>
      </c>
      <c r="AC210" s="136" t="s">
        <v>643</v>
      </c>
      <c r="AD210" s="116"/>
      <c r="AE210" s="116"/>
      <c r="AF210" s="125"/>
      <c r="AG210" s="140" t="s">
        <v>1419</v>
      </c>
      <c r="AH210" s="119" t="s">
        <v>192</v>
      </c>
      <c r="AI210" s="119" t="s">
        <v>192</v>
      </c>
    </row>
    <row r="211" spans="1:35" s="130" customFormat="1" ht="17.25" customHeight="1" x14ac:dyDescent="0.25">
      <c r="A211" s="114">
        <v>891780111</v>
      </c>
      <c r="B211" s="115" t="s">
        <v>54</v>
      </c>
      <c r="C211" s="116" t="s">
        <v>57</v>
      </c>
      <c r="D211" s="115" t="s">
        <v>60</v>
      </c>
      <c r="E211" s="119" t="s">
        <v>1420</v>
      </c>
      <c r="F211" s="118" t="s">
        <v>61</v>
      </c>
      <c r="G211" s="118" t="s">
        <v>69</v>
      </c>
      <c r="H211" s="118" t="s">
        <v>609</v>
      </c>
      <c r="I211" s="120">
        <v>21786670</v>
      </c>
      <c r="J211" s="118"/>
      <c r="K211" s="121"/>
      <c r="L211" s="121"/>
      <c r="M211" s="122">
        <f t="shared" si="3"/>
        <v>21786670</v>
      </c>
      <c r="N211" s="117">
        <v>1082985225</v>
      </c>
      <c r="O211" s="123" t="s">
        <v>684</v>
      </c>
      <c r="P211" s="116" t="s">
        <v>1421</v>
      </c>
      <c r="Q211" s="124">
        <v>45112</v>
      </c>
      <c r="R211" s="124">
        <v>45112</v>
      </c>
      <c r="S211" s="124">
        <v>45282</v>
      </c>
      <c r="T211" s="125" t="s">
        <v>612</v>
      </c>
      <c r="U211" s="124"/>
      <c r="V211" s="124"/>
      <c r="W211" s="126"/>
      <c r="X211" s="127"/>
      <c r="Y211" s="121">
        <v>3800000</v>
      </c>
      <c r="Z211" s="120">
        <v>17986670</v>
      </c>
      <c r="AA211" s="139">
        <v>0.17441857796533389</v>
      </c>
      <c r="AB211" s="119">
        <v>1082884010</v>
      </c>
      <c r="AC211" s="136" t="s">
        <v>1177</v>
      </c>
      <c r="AD211" s="116"/>
      <c r="AE211" s="116"/>
      <c r="AF211" s="125"/>
      <c r="AG211" s="140" t="s">
        <v>1422</v>
      </c>
      <c r="AH211" s="119" t="s">
        <v>192</v>
      </c>
      <c r="AI211" s="119" t="s">
        <v>192</v>
      </c>
    </row>
    <row r="212" spans="1:35" s="130" customFormat="1" ht="17.25" customHeight="1" x14ac:dyDescent="0.25">
      <c r="A212" s="114">
        <v>891780111</v>
      </c>
      <c r="B212" s="115" t="s">
        <v>54</v>
      </c>
      <c r="C212" s="116" t="s">
        <v>57</v>
      </c>
      <c r="D212" s="115" t="s">
        <v>60</v>
      </c>
      <c r="E212" s="119" t="s">
        <v>1423</v>
      </c>
      <c r="F212" s="118" t="s">
        <v>61</v>
      </c>
      <c r="G212" s="118" t="s">
        <v>69</v>
      </c>
      <c r="H212" s="118" t="s">
        <v>609</v>
      </c>
      <c r="I212" s="120">
        <v>20066667</v>
      </c>
      <c r="J212" s="118"/>
      <c r="K212" s="121"/>
      <c r="L212" s="121"/>
      <c r="M212" s="122">
        <f t="shared" si="3"/>
        <v>20066667</v>
      </c>
      <c r="N212" s="117">
        <v>1082935131</v>
      </c>
      <c r="O212" s="123" t="s">
        <v>747</v>
      </c>
      <c r="P212" s="116" t="s">
        <v>1424</v>
      </c>
      <c r="Q212" s="124">
        <v>45112</v>
      </c>
      <c r="R212" s="124">
        <v>45112</v>
      </c>
      <c r="S212" s="124">
        <v>45282</v>
      </c>
      <c r="T212" s="125" t="s">
        <v>612</v>
      </c>
      <c r="U212" s="124"/>
      <c r="V212" s="124"/>
      <c r="W212" s="126"/>
      <c r="X212" s="127"/>
      <c r="Y212" s="121">
        <v>3500000</v>
      </c>
      <c r="Z212" s="120">
        <v>16566667</v>
      </c>
      <c r="AA212" s="139">
        <v>0.17441860175384383</v>
      </c>
      <c r="AB212" s="119">
        <v>39049658</v>
      </c>
      <c r="AC212" s="136" t="s">
        <v>1425</v>
      </c>
      <c r="AD212" s="116"/>
      <c r="AE212" s="116"/>
      <c r="AF212" s="125"/>
      <c r="AG212" s="140" t="s">
        <v>1426</v>
      </c>
      <c r="AH212" s="119" t="s">
        <v>192</v>
      </c>
      <c r="AI212" s="119" t="s">
        <v>192</v>
      </c>
    </row>
    <row r="213" spans="1:35" s="130" customFormat="1" ht="17.25" customHeight="1" x14ac:dyDescent="0.25">
      <c r="A213" s="114">
        <v>891780111</v>
      </c>
      <c r="B213" s="115" t="s">
        <v>54</v>
      </c>
      <c r="C213" s="116" t="s">
        <v>57</v>
      </c>
      <c r="D213" s="115" t="s">
        <v>60</v>
      </c>
      <c r="E213" s="119" t="s">
        <v>1427</v>
      </c>
      <c r="F213" s="118" t="s">
        <v>61</v>
      </c>
      <c r="G213" s="118" t="s">
        <v>69</v>
      </c>
      <c r="H213" s="118" t="s">
        <v>609</v>
      </c>
      <c r="I213" s="120">
        <v>20066667</v>
      </c>
      <c r="J213" s="118"/>
      <c r="K213" s="121"/>
      <c r="L213" s="121"/>
      <c r="M213" s="122">
        <f t="shared" si="3"/>
        <v>20066667</v>
      </c>
      <c r="N213" s="117">
        <v>1004461196</v>
      </c>
      <c r="O213" s="123" t="s">
        <v>1428</v>
      </c>
      <c r="P213" s="116" t="s">
        <v>1429</v>
      </c>
      <c r="Q213" s="124">
        <v>45112</v>
      </c>
      <c r="R213" s="124">
        <v>45112</v>
      </c>
      <c r="S213" s="124">
        <v>45282</v>
      </c>
      <c r="T213" s="125" t="s">
        <v>612</v>
      </c>
      <c r="U213" s="124"/>
      <c r="V213" s="124"/>
      <c r="W213" s="126"/>
      <c r="X213" s="127"/>
      <c r="Y213" s="121">
        <v>3500000</v>
      </c>
      <c r="Z213" s="120">
        <v>16566667</v>
      </c>
      <c r="AA213" s="139">
        <v>0.17441860175384383</v>
      </c>
      <c r="AB213" s="119">
        <v>39049658</v>
      </c>
      <c r="AC213" s="136" t="s">
        <v>1425</v>
      </c>
      <c r="AD213" s="116"/>
      <c r="AE213" s="116"/>
      <c r="AF213" s="125"/>
      <c r="AG213" s="140" t="s">
        <v>1430</v>
      </c>
      <c r="AH213" s="119" t="s">
        <v>192</v>
      </c>
      <c r="AI213" s="119" t="s">
        <v>192</v>
      </c>
    </row>
    <row r="214" spans="1:35" s="130" customFormat="1" ht="17.25" customHeight="1" x14ac:dyDescent="0.25">
      <c r="A214" s="114">
        <v>891780111</v>
      </c>
      <c r="B214" s="115" t="s">
        <v>54</v>
      </c>
      <c r="C214" s="116" t="s">
        <v>57</v>
      </c>
      <c r="D214" s="115" t="s">
        <v>60</v>
      </c>
      <c r="E214" s="119" t="s">
        <v>1431</v>
      </c>
      <c r="F214" s="118" t="s">
        <v>61</v>
      </c>
      <c r="G214" s="118" t="s">
        <v>69</v>
      </c>
      <c r="H214" s="118" t="s">
        <v>609</v>
      </c>
      <c r="I214" s="120">
        <v>10000000</v>
      </c>
      <c r="J214" s="118"/>
      <c r="K214" s="121"/>
      <c r="L214" s="121"/>
      <c r="M214" s="122">
        <f t="shared" si="3"/>
        <v>10000000</v>
      </c>
      <c r="N214" s="117">
        <v>1010191398</v>
      </c>
      <c r="O214" s="123" t="s">
        <v>884</v>
      </c>
      <c r="P214" s="116" t="s">
        <v>1432</v>
      </c>
      <c r="Q214" s="124">
        <v>45113</v>
      </c>
      <c r="R214" s="124">
        <v>45113</v>
      </c>
      <c r="S214" s="124">
        <v>45230</v>
      </c>
      <c r="T214" s="125" t="s">
        <v>612</v>
      </c>
      <c r="U214" s="124"/>
      <c r="V214" s="124"/>
      <c r="W214" s="126"/>
      <c r="X214" s="127"/>
      <c r="Y214" s="121">
        <v>0</v>
      </c>
      <c r="Z214" s="120">
        <v>10000000</v>
      </c>
      <c r="AA214" s="139">
        <v>0</v>
      </c>
      <c r="AB214" s="119">
        <v>85155551</v>
      </c>
      <c r="AC214" s="136" t="s">
        <v>1433</v>
      </c>
      <c r="AD214" s="116"/>
      <c r="AE214" s="116"/>
      <c r="AF214" s="125"/>
      <c r="AG214" s="140" t="s">
        <v>1434</v>
      </c>
      <c r="AH214" s="119" t="s">
        <v>192</v>
      </c>
      <c r="AI214" s="119" t="s">
        <v>192</v>
      </c>
    </row>
    <row r="215" spans="1:35" s="130" customFormat="1" ht="17.25" customHeight="1" x14ac:dyDescent="0.25">
      <c r="A215" s="114">
        <v>891780111</v>
      </c>
      <c r="B215" s="115" t="s">
        <v>54</v>
      </c>
      <c r="C215" s="116" t="s">
        <v>57</v>
      </c>
      <c r="D215" s="115" t="s">
        <v>60</v>
      </c>
      <c r="E215" s="119" t="s">
        <v>1435</v>
      </c>
      <c r="F215" s="118" t="s">
        <v>61</v>
      </c>
      <c r="G215" s="118" t="s">
        <v>69</v>
      </c>
      <c r="H215" s="118" t="s">
        <v>609</v>
      </c>
      <c r="I215" s="120">
        <v>13935000</v>
      </c>
      <c r="J215" s="118"/>
      <c r="K215" s="121"/>
      <c r="L215" s="121"/>
      <c r="M215" s="122">
        <f t="shared" si="3"/>
        <v>13935000</v>
      </c>
      <c r="N215" s="117">
        <v>1082872998</v>
      </c>
      <c r="O215" s="123" t="s">
        <v>1436</v>
      </c>
      <c r="P215" s="116" t="s">
        <v>1437</v>
      </c>
      <c r="Q215" s="124">
        <v>45113</v>
      </c>
      <c r="R215" s="124">
        <v>45113</v>
      </c>
      <c r="S215" s="124">
        <v>45289</v>
      </c>
      <c r="T215" s="125" t="s">
        <v>612</v>
      </c>
      <c r="U215" s="124"/>
      <c r="V215" s="124"/>
      <c r="W215" s="126"/>
      <c r="X215" s="127"/>
      <c r="Y215" s="121">
        <v>0</v>
      </c>
      <c r="Z215" s="120">
        <v>13935000</v>
      </c>
      <c r="AA215" s="139">
        <v>0</v>
      </c>
      <c r="AB215" s="119">
        <v>85477077</v>
      </c>
      <c r="AC215" s="136" t="s">
        <v>1267</v>
      </c>
      <c r="AD215" s="116"/>
      <c r="AE215" s="116"/>
      <c r="AF215" s="125"/>
      <c r="AG215" s="140" t="s">
        <v>1438</v>
      </c>
      <c r="AH215" s="119" t="s">
        <v>192</v>
      </c>
      <c r="AI215" s="119" t="s">
        <v>192</v>
      </c>
    </row>
    <row r="216" spans="1:35" s="130" customFormat="1" ht="17.25" customHeight="1" x14ac:dyDescent="0.25">
      <c r="A216" s="114">
        <v>891780111</v>
      </c>
      <c r="B216" s="115" t="s">
        <v>54</v>
      </c>
      <c r="C216" s="116" t="s">
        <v>57</v>
      </c>
      <c r="D216" s="115" t="s">
        <v>60</v>
      </c>
      <c r="E216" s="119" t="s">
        <v>1439</v>
      </c>
      <c r="F216" s="118" t="s">
        <v>61</v>
      </c>
      <c r="G216" s="118" t="s">
        <v>69</v>
      </c>
      <c r="H216" s="118" t="s">
        <v>609</v>
      </c>
      <c r="I216" s="120">
        <v>42000000</v>
      </c>
      <c r="J216" s="118"/>
      <c r="K216" s="121"/>
      <c r="L216" s="121"/>
      <c r="M216" s="122">
        <f t="shared" si="3"/>
        <v>42000000</v>
      </c>
      <c r="N216" s="117">
        <v>1083012229</v>
      </c>
      <c r="O216" s="123" t="s">
        <v>1440</v>
      </c>
      <c r="P216" s="116" t="s">
        <v>1441</v>
      </c>
      <c r="Q216" s="124">
        <v>45113</v>
      </c>
      <c r="R216" s="124">
        <v>45113</v>
      </c>
      <c r="S216" s="124">
        <v>45459</v>
      </c>
      <c r="T216" s="125" t="s">
        <v>612</v>
      </c>
      <c r="U216" s="124"/>
      <c r="V216" s="124"/>
      <c r="W216" s="126"/>
      <c r="X216" s="127"/>
      <c r="Y216" s="121">
        <v>0</v>
      </c>
      <c r="Z216" s="120">
        <v>42000000</v>
      </c>
      <c r="AA216" s="139">
        <v>0</v>
      </c>
      <c r="AB216" s="119">
        <v>84091773</v>
      </c>
      <c r="AC216" s="136" t="s">
        <v>1262</v>
      </c>
      <c r="AD216" s="116"/>
      <c r="AE216" s="116"/>
      <c r="AF216" s="125"/>
      <c r="AG216" s="140" t="s">
        <v>1442</v>
      </c>
      <c r="AH216" s="119" t="s">
        <v>192</v>
      </c>
      <c r="AI216" s="119" t="s">
        <v>192</v>
      </c>
    </row>
    <row r="217" spans="1:35" s="130" customFormat="1" ht="17.25" customHeight="1" x14ac:dyDescent="0.25">
      <c r="A217" s="114">
        <v>891780111</v>
      </c>
      <c r="B217" s="115" t="s">
        <v>54</v>
      </c>
      <c r="C217" s="116" t="s">
        <v>57</v>
      </c>
      <c r="D217" s="115" t="s">
        <v>60</v>
      </c>
      <c r="E217" s="119" t="s">
        <v>1443</v>
      </c>
      <c r="F217" s="118" t="s">
        <v>61</v>
      </c>
      <c r="G217" s="118" t="s">
        <v>69</v>
      </c>
      <c r="H217" s="118" t="s">
        <v>609</v>
      </c>
      <c r="I217" s="120">
        <v>27431880</v>
      </c>
      <c r="J217" s="118"/>
      <c r="K217" s="121"/>
      <c r="L217" s="121"/>
      <c r="M217" s="122">
        <f t="shared" si="3"/>
        <v>27431880</v>
      </c>
      <c r="N217" s="117">
        <v>52428805</v>
      </c>
      <c r="O217" s="123" t="s">
        <v>1444</v>
      </c>
      <c r="P217" s="116" t="s">
        <v>1445</v>
      </c>
      <c r="Q217" s="124">
        <v>45113</v>
      </c>
      <c r="R217" s="124">
        <v>45113</v>
      </c>
      <c r="S217" s="124">
        <v>45368</v>
      </c>
      <c r="T217" s="125" t="s">
        <v>612</v>
      </c>
      <c r="U217" s="124"/>
      <c r="V217" s="124"/>
      <c r="W217" s="126"/>
      <c r="X217" s="127"/>
      <c r="Y217" s="121">
        <v>0</v>
      </c>
      <c r="Z217" s="120">
        <v>27431880</v>
      </c>
      <c r="AA217" s="139">
        <v>0</v>
      </c>
      <c r="AB217" s="119">
        <v>63563343</v>
      </c>
      <c r="AC217" s="136" t="s">
        <v>1372</v>
      </c>
      <c r="AD217" s="116"/>
      <c r="AE217" s="116"/>
      <c r="AF217" s="125"/>
      <c r="AG217" s="140" t="s">
        <v>1446</v>
      </c>
      <c r="AH217" s="119" t="s">
        <v>192</v>
      </c>
      <c r="AI217" s="119" t="s">
        <v>192</v>
      </c>
    </row>
    <row r="218" spans="1:35" s="130" customFormat="1" ht="17.25" customHeight="1" x14ac:dyDescent="0.25">
      <c r="A218" s="114">
        <v>891780111</v>
      </c>
      <c r="B218" s="115" t="s">
        <v>54</v>
      </c>
      <c r="C218" s="116" t="s">
        <v>57</v>
      </c>
      <c r="D218" s="115" t="s">
        <v>60</v>
      </c>
      <c r="E218" s="119" t="s">
        <v>1447</v>
      </c>
      <c r="F218" s="118" t="s">
        <v>61</v>
      </c>
      <c r="G218" s="118" t="s">
        <v>69</v>
      </c>
      <c r="H218" s="118" t="s">
        <v>609</v>
      </c>
      <c r="I218" s="120">
        <v>6000000</v>
      </c>
      <c r="J218" s="118"/>
      <c r="K218" s="121"/>
      <c r="L218" s="121"/>
      <c r="M218" s="122">
        <f t="shared" si="3"/>
        <v>6000000</v>
      </c>
      <c r="N218" s="117">
        <v>1128282695</v>
      </c>
      <c r="O218" s="123" t="s">
        <v>1448</v>
      </c>
      <c r="P218" s="116" t="s">
        <v>1449</v>
      </c>
      <c r="Q218" s="124">
        <v>45114</v>
      </c>
      <c r="R218" s="124">
        <v>45114</v>
      </c>
      <c r="S218" s="124">
        <v>45121</v>
      </c>
      <c r="T218" s="125" t="s">
        <v>612</v>
      </c>
      <c r="U218" s="124"/>
      <c r="V218" s="124"/>
      <c r="W218" s="126"/>
      <c r="X218" s="127"/>
      <c r="Y218" s="121">
        <v>0</v>
      </c>
      <c r="Z218" s="120">
        <v>6000000</v>
      </c>
      <c r="AA218" s="139">
        <v>0</v>
      </c>
      <c r="AB218" s="119">
        <v>19285288</v>
      </c>
      <c r="AC218" s="136" t="s">
        <v>1450</v>
      </c>
      <c r="AD218" s="116"/>
      <c r="AE218" s="116"/>
      <c r="AF218" s="125"/>
      <c r="AG218" s="140" t="s">
        <v>1451</v>
      </c>
      <c r="AH218" s="119" t="s">
        <v>192</v>
      </c>
      <c r="AI218" s="119" t="s">
        <v>192</v>
      </c>
    </row>
    <row r="219" spans="1:35" s="130" customFormat="1" ht="17.25" customHeight="1" x14ac:dyDescent="0.25">
      <c r="A219" s="114">
        <v>891780111</v>
      </c>
      <c r="B219" s="115" t="s">
        <v>54</v>
      </c>
      <c r="C219" s="116" t="s">
        <v>57</v>
      </c>
      <c r="D219" s="115" t="s">
        <v>60</v>
      </c>
      <c r="E219" s="119" t="s">
        <v>1452</v>
      </c>
      <c r="F219" s="118" t="s">
        <v>61</v>
      </c>
      <c r="G219" s="118" t="s">
        <v>69</v>
      </c>
      <c r="H219" s="118" t="s">
        <v>609</v>
      </c>
      <c r="I219" s="120">
        <v>5000000</v>
      </c>
      <c r="J219" s="118"/>
      <c r="K219" s="121"/>
      <c r="L219" s="121"/>
      <c r="M219" s="122">
        <f t="shared" si="3"/>
        <v>5000000</v>
      </c>
      <c r="N219" s="117">
        <v>1076622994</v>
      </c>
      <c r="O219" s="123" t="s">
        <v>1453</v>
      </c>
      <c r="P219" s="116" t="s">
        <v>1454</v>
      </c>
      <c r="Q219" s="124">
        <v>45114</v>
      </c>
      <c r="R219" s="124">
        <v>45114</v>
      </c>
      <c r="S219" s="124">
        <v>45175</v>
      </c>
      <c r="T219" s="125" t="s">
        <v>612</v>
      </c>
      <c r="U219" s="124"/>
      <c r="V219" s="124"/>
      <c r="W219" s="126"/>
      <c r="X219" s="127"/>
      <c r="Y219" s="121">
        <v>0</v>
      </c>
      <c r="Z219" s="120">
        <v>5000000</v>
      </c>
      <c r="AA219" s="139">
        <v>0</v>
      </c>
      <c r="AB219" s="119">
        <v>85155551</v>
      </c>
      <c r="AC219" s="136" t="s">
        <v>1433</v>
      </c>
      <c r="AD219" s="116"/>
      <c r="AE219" s="116"/>
      <c r="AF219" s="125"/>
      <c r="AG219" s="140" t="s">
        <v>1455</v>
      </c>
      <c r="AH219" s="119" t="s">
        <v>192</v>
      </c>
      <c r="AI219" s="119" t="s">
        <v>192</v>
      </c>
    </row>
    <row r="220" spans="1:35" s="130" customFormat="1" ht="17.25" customHeight="1" x14ac:dyDescent="0.25">
      <c r="A220" s="114">
        <v>891780111</v>
      </c>
      <c r="B220" s="115" t="s">
        <v>54</v>
      </c>
      <c r="C220" s="116" t="s">
        <v>57</v>
      </c>
      <c r="D220" s="115" t="s">
        <v>60</v>
      </c>
      <c r="E220" s="119" t="s">
        <v>1456</v>
      </c>
      <c r="F220" s="118" t="s">
        <v>61</v>
      </c>
      <c r="G220" s="118" t="s">
        <v>69</v>
      </c>
      <c r="H220" s="118" t="s">
        <v>609</v>
      </c>
      <c r="I220" s="120">
        <v>19200000</v>
      </c>
      <c r="J220" s="118"/>
      <c r="K220" s="121"/>
      <c r="L220" s="121"/>
      <c r="M220" s="122">
        <f t="shared" si="3"/>
        <v>19200000</v>
      </c>
      <c r="N220" s="117">
        <v>57422539</v>
      </c>
      <c r="O220" s="123" t="s">
        <v>1457</v>
      </c>
      <c r="P220" s="116" t="s">
        <v>768</v>
      </c>
      <c r="Q220" s="124">
        <v>45114</v>
      </c>
      <c r="R220" s="124">
        <v>45114</v>
      </c>
      <c r="S220" s="124">
        <v>45289</v>
      </c>
      <c r="T220" s="125" t="s">
        <v>612</v>
      </c>
      <c r="U220" s="124"/>
      <c r="V220" s="124"/>
      <c r="W220" s="126"/>
      <c r="X220" s="127"/>
      <c r="Y220" s="121">
        <v>3200000</v>
      </c>
      <c r="Z220" s="120">
        <v>16000000</v>
      </c>
      <c r="AA220" s="139">
        <v>0.16666666666666663</v>
      </c>
      <c r="AB220" s="119">
        <v>72004252</v>
      </c>
      <c r="AC220" s="136" t="s">
        <v>825</v>
      </c>
      <c r="AD220" s="116"/>
      <c r="AE220" s="116"/>
      <c r="AF220" s="125"/>
      <c r="AG220" s="140" t="s">
        <v>1458</v>
      </c>
      <c r="AH220" s="119" t="s">
        <v>192</v>
      </c>
      <c r="AI220" s="119" t="s">
        <v>192</v>
      </c>
    </row>
    <row r="221" spans="1:35" s="130" customFormat="1" ht="17.25" customHeight="1" x14ac:dyDescent="0.25">
      <c r="A221" s="114">
        <v>891780111</v>
      </c>
      <c r="B221" s="115" t="s">
        <v>54</v>
      </c>
      <c r="C221" s="116" t="s">
        <v>57</v>
      </c>
      <c r="D221" s="115" t="s">
        <v>60</v>
      </c>
      <c r="E221" s="119" t="s">
        <v>1459</v>
      </c>
      <c r="F221" s="118" t="s">
        <v>61</v>
      </c>
      <c r="G221" s="118" t="s">
        <v>69</v>
      </c>
      <c r="H221" s="118" t="s">
        <v>609</v>
      </c>
      <c r="I221" s="120">
        <v>17386666</v>
      </c>
      <c r="J221" s="118"/>
      <c r="K221" s="121"/>
      <c r="L221" s="121"/>
      <c r="M221" s="122">
        <f t="shared" si="3"/>
        <v>17386666</v>
      </c>
      <c r="N221" s="117">
        <v>1082995408</v>
      </c>
      <c r="O221" s="123" t="s">
        <v>776</v>
      </c>
      <c r="P221" s="116" t="s">
        <v>1460</v>
      </c>
      <c r="Q221" s="124">
        <v>45117</v>
      </c>
      <c r="R221" s="124">
        <v>45117</v>
      </c>
      <c r="S221" s="124">
        <v>45282</v>
      </c>
      <c r="T221" s="125" t="s">
        <v>612</v>
      </c>
      <c r="U221" s="124"/>
      <c r="V221" s="124"/>
      <c r="W221" s="126"/>
      <c r="X221" s="127"/>
      <c r="Y221" s="121">
        <v>2240000</v>
      </c>
      <c r="Z221" s="120">
        <v>15146666</v>
      </c>
      <c r="AA221" s="139">
        <v>0.12883436076818866</v>
      </c>
      <c r="AB221" s="119">
        <v>1082884010</v>
      </c>
      <c r="AC221" s="136" t="s">
        <v>1461</v>
      </c>
      <c r="AD221" s="116"/>
      <c r="AE221" s="116"/>
      <c r="AF221" s="125"/>
      <c r="AG221" s="140" t="s">
        <v>1462</v>
      </c>
      <c r="AH221" s="119" t="s">
        <v>192</v>
      </c>
      <c r="AI221" s="119" t="s">
        <v>192</v>
      </c>
    </row>
    <row r="222" spans="1:35" s="130" customFormat="1" ht="17.25" customHeight="1" x14ac:dyDescent="0.25">
      <c r="A222" s="114">
        <v>891780111</v>
      </c>
      <c r="B222" s="115" t="s">
        <v>54</v>
      </c>
      <c r="C222" s="116" t="s">
        <v>57</v>
      </c>
      <c r="D222" s="115" t="s">
        <v>60</v>
      </c>
      <c r="E222" s="119" t="s">
        <v>1463</v>
      </c>
      <c r="F222" s="118" t="s">
        <v>61</v>
      </c>
      <c r="G222" s="118" t="s">
        <v>69</v>
      </c>
      <c r="H222" s="118" t="s">
        <v>609</v>
      </c>
      <c r="I222" s="120">
        <v>31680000</v>
      </c>
      <c r="J222" s="118"/>
      <c r="K222" s="121"/>
      <c r="L222" s="121"/>
      <c r="M222" s="122">
        <f t="shared" si="3"/>
        <v>31680000</v>
      </c>
      <c r="N222" s="117">
        <v>1082998052</v>
      </c>
      <c r="O222" s="123" t="s">
        <v>1464</v>
      </c>
      <c r="P222" s="116" t="s">
        <v>1465</v>
      </c>
      <c r="Q222" s="124">
        <v>45117</v>
      </c>
      <c r="R222" s="124">
        <v>45117</v>
      </c>
      <c r="S222" s="124">
        <v>45482</v>
      </c>
      <c r="T222" s="125" t="s">
        <v>612</v>
      </c>
      <c r="U222" s="124"/>
      <c r="V222" s="124"/>
      <c r="W222" s="126"/>
      <c r="X222" s="127"/>
      <c r="Y222" s="121">
        <v>0</v>
      </c>
      <c r="Z222" s="120">
        <v>31680000</v>
      </c>
      <c r="AA222" s="139">
        <v>0</v>
      </c>
      <c r="AB222" s="119">
        <v>51913961</v>
      </c>
      <c r="AC222" s="136" t="s">
        <v>1466</v>
      </c>
      <c r="AD222" s="116"/>
      <c r="AE222" s="116"/>
      <c r="AF222" s="125"/>
      <c r="AG222" s="140" t="s">
        <v>1467</v>
      </c>
      <c r="AH222" s="119" t="s">
        <v>192</v>
      </c>
      <c r="AI222" s="119" t="s">
        <v>192</v>
      </c>
    </row>
    <row r="223" spans="1:35" s="130" customFormat="1" ht="17.25" customHeight="1" x14ac:dyDescent="0.25">
      <c r="A223" s="114">
        <v>891780111</v>
      </c>
      <c r="B223" s="115" t="s">
        <v>54</v>
      </c>
      <c r="C223" s="116" t="s">
        <v>57</v>
      </c>
      <c r="D223" s="115" t="s">
        <v>60</v>
      </c>
      <c r="E223" s="119" t="s">
        <v>1468</v>
      </c>
      <c r="F223" s="118" t="s">
        <v>61</v>
      </c>
      <c r="G223" s="118" t="s">
        <v>69</v>
      </c>
      <c r="H223" s="118" t="s">
        <v>609</v>
      </c>
      <c r="I223" s="120">
        <v>20000000</v>
      </c>
      <c r="J223" s="118"/>
      <c r="K223" s="121"/>
      <c r="L223" s="121"/>
      <c r="M223" s="122">
        <f t="shared" si="3"/>
        <v>20000000</v>
      </c>
      <c r="N223" s="117">
        <v>1143403843</v>
      </c>
      <c r="O223" s="123" t="s">
        <v>1469</v>
      </c>
      <c r="P223" s="116" t="s">
        <v>1470</v>
      </c>
      <c r="Q223" s="124">
        <v>45117</v>
      </c>
      <c r="R223" s="124">
        <v>45117</v>
      </c>
      <c r="S223" s="124">
        <v>45350</v>
      </c>
      <c r="T223" s="125" t="s">
        <v>612</v>
      </c>
      <c r="U223" s="124"/>
      <c r="V223" s="124"/>
      <c r="W223" s="126"/>
      <c r="X223" s="127"/>
      <c r="Y223" s="121">
        <v>0</v>
      </c>
      <c r="Z223" s="120">
        <v>20000000</v>
      </c>
      <c r="AA223" s="139">
        <v>0</v>
      </c>
      <c r="AB223" s="119">
        <v>52389076</v>
      </c>
      <c r="AC223" s="136" t="s">
        <v>1471</v>
      </c>
      <c r="AD223" s="116"/>
      <c r="AE223" s="116"/>
      <c r="AF223" s="125"/>
      <c r="AG223" s="140" t="s">
        <v>1472</v>
      </c>
      <c r="AH223" s="119" t="s">
        <v>192</v>
      </c>
      <c r="AI223" s="119" t="s">
        <v>192</v>
      </c>
    </row>
    <row r="224" spans="1:35" s="130" customFormat="1" ht="17.25" customHeight="1" x14ac:dyDescent="0.25">
      <c r="A224" s="114">
        <v>891780111</v>
      </c>
      <c r="B224" s="115" t="s">
        <v>54</v>
      </c>
      <c r="C224" s="116" t="s">
        <v>57</v>
      </c>
      <c r="D224" s="115" t="s">
        <v>60</v>
      </c>
      <c r="E224" s="119" t="s">
        <v>1473</v>
      </c>
      <c r="F224" s="118" t="s">
        <v>61</v>
      </c>
      <c r="G224" s="118" t="s">
        <v>69</v>
      </c>
      <c r="H224" s="118" t="s">
        <v>609</v>
      </c>
      <c r="I224" s="120">
        <v>27836040</v>
      </c>
      <c r="J224" s="118"/>
      <c r="K224" s="121"/>
      <c r="L224" s="121"/>
      <c r="M224" s="122">
        <f t="shared" si="3"/>
        <v>27836040</v>
      </c>
      <c r="N224" s="117">
        <v>1082848824</v>
      </c>
      <c r="O224" s="123" t="s">
        <v>1474</v>
      </c>
      <c r="P224" s="116" t="s">
        <v>1475</v>
      </c>
      <c r="Q224" s="124">
        <v>45117</v>
      </c>
      <c r="R224" s="124">
        <v>45117</v>
      </c>
      <c r="S224" s="124">
        <v>45482</v>
      </c>
      <c r="T224" s="125" t="s">
        <v>612</v>
      </c>
      <c r="U224" s="124"/>
      <c r="V224" s="124"/>
      <c r="W224" s="126"/>
      <c r="X224" s="127"/>
      <c r="Y224" s="121">
        <v>0</v>
      </c>
      <c r="Z224" s="120">
        <v>27836040</v>
      </c>
      <c r="AA224" s="139">
        <v>0</v>
      </c>
      <c r="AB224" s="119">
        <v>5056184</v>
      </c>
      <c r="AC224" s="136" t="s">
        <v>1476</v>
      </c>
      <c r="AD224" s="116"/>
      <c r="AE224" s="116"/>
      <c r="AF224" s="125"/>
      <c r="AG224" s="140" t="s">
        <v>1477</v>
      </c>
      <c r="AH224" s="119" t="s">
        <v>192</v>
      </c>
      <c r="AI224" s="119" t="s">
        <v>192</v>
      </c>
    </row>
    <row r="225" spans="1:35" s="130" customFormat="1" ht="17.25" customHeight="1" x14ac:dyDescent="0.25">
      <c r="A225" s="114">
        <v>891780111</v>
      </c>
      <c r="B225" s="115" t="s">
        <v>54</v>
      </c>
      <c r="C225" s="116" t="s">
        <v>57</v>
      </c>
      <c r="D225" s="115" t="s">
        <v>60</v>
      </c>
      <c r="E225" s="119" t="s">
        <v>1478</v>
      </c>
      <c r="F225" s="118" t="s">
        <v>61</v>
      </c>
      <c r="G225" s="118" t="s">
        <v>69</v>
      </c>
      <c r="H225" s="118" t="s">
        <v>609</v>
      </c>
      <c r="I225" s="120">
        <v>37974348</v>
      </c>
      <c r="J225" s="118"/>
      <c r="K225" s="121"/>
      <c r="L225" s="121"/>
      <c r="M225" s="122">
        <f t="shared" si="3"/>
        <v>37974348</v>
      </c>
      <c r="N225" s="117">
        <v>1081828885</v>
      </c>
      <c r="O225" s="123" t="s">
        <v>1479</v>
      </c>
      <c r="P225" s="116" t="s">
        <v>1480</v>
      </c>
      <c r="Q225" s="124">
        <v>45117</v>
      </c>
      <c r="R225" s="124">
        <v>45117</v>
      </c>
      <c r="S225" s="124">
        <v>45482</v>
      </c>
      <c r="T225" s="125" t="s">
        <v>612</v>
      </c>
      <c r="U225" s="124"/>
      <c r="V225" s="124"/>
      <c r="W225" s="126"/>
      <c r="X225" s="127"/>
      <c r="Y225" s="121">
        <v>0</v>
      </c>
      <c r="Z225" s="120">
        <v>37974348</v>
      </c>
      <c r="AA225" s="139">
        <v>0</v>
      </c>
      <c r="AB225" s="119">
        <v>5056184</v>
      </c>
      <c r="AC225" s="136" t="s">
        <v>1476</v>
      </c>
      <c r="AD225" s="116"/>
      <c r="AE225" s="116"/>
      <c r="AF225" s="125"/>
      <c r="AG225" s="140" t="s">
        <v>1481</v>
      </c>
      <c r="AH225" s="119" t="s">
        <v>192</v>
      </c>
      <c r="AI225" s="119" t="s">
        <v>192</v>
      </c>
    </row>
    <row r="226" spans="1:35" s="130" customFormat="1" ht="17.25" customHeight="1" x14ac:dyDescent="0.25">
      <c r="A226" s="114">
        <v>891780111</v>
      </c>
      <c r="B226" s="115" t="s">
        <v>54</v>
      </c>
      <c r="C226" s="116" t="s">
        <v>57</v>
      </c>
      <c r="D226" s="115" t="s">
        <v>60</v>
      </c>
      <c r="E226" s="119" t="s">
        <v>1482</v>
      </c>
      <c r="F226" s="118" t="s">
        <v>61</v>
      </c>
      <c r="G226" s="118" t="s">
        <v>69</v>
      </c>
      <c r="H226" s="118" t="s">
        <v>609</v>
      </c>
      <c r="I226" s="120">
        <v>17000000</v>
      </c>
      <c r="J226" s="118"/>
      <c r="K226" s="121"/>
      <c r="L226" s="121"/>
      <c r="M226" s="122">
        <f t="shared" si="3"/>
        <v>17000000</v>
      </c>
      <c r="N226" s="117">
        <v>1104429269</v>
      </c>
      <c r="O226" s="123" t="s">
        <v>1160</v>
      </c>
      <c r="P226" s="116" t="s">
        <v>1483</v>
      </c>
      <c r="Q226" s="124">
        <v>45117</v>
      </c>
      <c r="R226" s="124">
        <v>45117</v>
      </c>
      <c r="S226" s="124">
        <v>45269</v>
      </c>
      <c r="T226" s="125" t="s">
        <v>612</v>
      </c>
      <c r="U226" s="124"/>
      <c r="V226" s="124"/>
      <c r="W226" s="126"/>
      <c r="X226" s="127"/>
      <c r="Y226" s="121">
        <v>0</v>
      </c>
      <c r="Z226" s="120">
        <v>17000000</v>
      </c>
      <c r="AA226" s="139">
        <v>0</v>
      </c>
      <c r="AB226" s="119">
        <v>84452442</v>
      </c>
      <c r="AC226" s="136" t="s">
        <v>1484</v>
      </c>
      <c r="AD226" s="116"/>
      <c r="AE226" s="116"/>
      <c r="AF226" s="125"/>
      <c r="AG226" s="140" t="s">
        <v>1485</v>
      </c>
      <c r="AH226" s="119" t="s">
        <v>192</v>
      </c>
      <c r="AI226" s="119" t="s">
        <v>192</v>
      </c>
    </row>
    <row r="227" spans="1:35" s="130" customFormat="1" ht="17.25" customHeight="1" x14ac:dyDescent="0.25">
      <c r="A227" s="114">
        <v>891780111</v>
      </c>
      <c r="B227" s="115" t="s">
        <v>54</v>
      </c>
      <c r="C227" s="116" t="s">
        <v>57</v>
      </c>
      <c r="D227" s="115" t="s">
        <v>60</v>
      </c>
      <c r="E227" s="119" t="s">
        <v>1486</v>
      </c>
      <c r="F227" s="118" t="s">
        <v>61</v>
      </c>
      <c r="G227" s="118" t="s">
        <v>69</v>
      </c>
      <c r="H227" s="118" t="s">
        <v>609</v>
      </c>
      <c r="I227" s="120">
        <v>18500000</v>
      </c>
      <c r="J227" s="118"/>
      <c r="K227" s="121"/>
      <c r="L227" s="121"/>
      <c r="M227" s="122">
        <f t="shared" si="3"/>
        <v>18500000</v>
      </c>
      <c r="N227" s="117">
        <v>1065647873</v>
      </c>
      <c r="O227" s="123" t="s">
        <v>862</v>
      </c>
      <c r="P227" s="116" t="s">
        <v>1487</v>
      </c>
      <c r="Q227" s="124">
        <v>45118</v>
      </c>
      <c r="R227" s="124">
        <v>45118</v>
      </c>
      <c r="S227" s="124">
        <v>45270</v>
      </c>
      <c r="T227" s="125" t="s">
        <v>612</v>
      </c>
      <c r="U227" s="124"/>
      <c r="V227" s="124"/>
      <c r="W227" s="126"/>
      <c r="X227" s="127"/>
      <c r="Y227" s="121">
        <v>0</v>
      </c>
      <c r="Z227" s="120">
        <v>18500000</v>
      </c>
      <c r="AA227" s="139">
        <v>0</v>
      </c>
      <c r="AB227" s="119">
        <v>52389076</v>
      </c>
      <c r="AC227" s="136" t="s">
        <v>970</v>
      </c>
      <c r="AD227" s="116"/>
      <c r="AE227" s="116"/>
      <c r="AF227" s="125"/>
      <c r="AG227" s="140" t="s">
        <v>1488</v>
      </c>
      <c r="AH227" s="119" t="s">
        <v>192</v>
      </c>
      <c r="AI227" s="119" t="s">
        <v>192</v>
      </c>
    </row>
    <row r="228" spans="1:35" s="130" customFormat="1" ht="17.25" customHeight="1" x14ac:dyDescent="0.25">
      <c r="A228" s="114">
        <v>891780111</v>
      </c>
      <c r="B228" s="115" t="s">
        <v>54</v>
      </c>
      <c r="C228" s="116" t="s">
        <v>57</v>
      </c>
      <c r="D228" s="115" t="s">
        <v>60</v>
      </c>
      <c r="E228" s="119" t="s">
        <v>1489</v>
      </c>
      <c r="F228" s="118" t="s">
        <v>61</v>
      </c>
      <c r="G228" s="118" t="s">
        <v>69</v>
      </c>
      <c r="H228" s="118" t="s">
        <v>609</v>
      </c>
      <c r="I228" s="120">
        <v>16200000</v>
      </c>
      <c r="J228" s="118"/>
      <c r="K228" s="121"/>
      <c r="L228" s="121"/>
      <c r="M228" s="122">
        <f t="shared" si="3"/>
        <v>16200000</v>
      </c>
      <c r="N228" s="117">
        <v>1010074079</v>
      </c>
      <c r="O228" s="123" t="s">
        <v>1152</v>
      </c>
      <c r="P228" s="116" t="s">
        <v>1490</v>
      </c>
      <c r="Q228" s="124">
        <v>45118</v>
      </c>
      <c r="R228" s="124">
        <v>45118</v>
      </c>
      <c r="S228" s="124">
        <v>45282</v>
      </c>
      <c r="T228" s="125" t="s">
        <v>612</v>
      </c>
      <c r="U228" s="124"/>
      <c r="V228" s="124"/>
      <c r="W228" s="126"/>
      <c r="X228" s="127"/>
      <c r="Y228" s="121">
        <v>0</v>
      </c>
      <c r="Z228" s="120">
        <v>16200000</v>
      </c>
      <c r="AA228" s="139">
        <v>0</v>
      </c>
      <c r="AB228" s="119">
        <v>39049658</v>
      </c>
      <c r="AC228" s="136" t="s">
        <v>1425</v>
      </c>
      <c r="AD228" s="116"/>
      <c r="AE228" s="116"/>
      <c r="AF228" s="125"/>
      <c r="AG228" s="140" t="s">
        <v>1491</v>
      </c>
      <c r="AH228" s="119" t="s">
        <v>192</v>
      </c>
      <c r="AI228" s="119" t="s">
        <v>192</v>
      </c>
    </row>
    <row r="229" spans="1:35" s="130" customFormat="1" ht="17.25" customHeight="1" x14ac:dyDescent="0.25">
      <c r="A229" s="114">
        <v>891780111</v>
      </c>
      <c r="B229" s="115" t="s">
        <v>54</v>
      </c>
      <c r="C229" s="116" t="s">
        <v>57</v>
      </c>
      <c r="D229" s="115" t="s">
        <v>60</v>
      </c>
      <c r="E229" s="119" t="s">
        <v>1492</v>
      </c>
      <c r="F229" s="118" t="s">
        <v>61</v>
      </c>
      <c r="G229" s="118" t="s">
        <v>69</v>
      </c>
      <c r="H229" s="118" t="s">
        <v>609</v>
      </c>
      <c r="I229" s="120">
        <v>16000000</v>
      </c>
      <c r="J229" s="118"/>
      <c r="K229" s="121"/>
      <c r="L229" s="121"/>
      <c r="M229" s="122">
        <f t="shared" si="3"/>
        <v>16000000</v>
      </c>
      <c r="N229" s="117">
        <v>36453856</v>
      </c>
      <c r="O229" s="123" t="s">
        <v>888</v>
      </c>
      <c r="P229" s="116" t="s">
        <v>1493</v>
      </c>
      <c r="Q229" s="124">
        <v>45120</v>
      </c>
      <c r="R229" s="124">
        <v>45120</v>
      </c>
      <c r="S229" s="124">
        <v>45272</v>
      </c>
      <c r="T229" s="125" t="s">
        <v>612</v>
      </c>
      <c r="U229" s="124"/>
      <c r="V229" s="124"/>
      <c r="W229" s="126"/>
      <c r="X229" s="127"/>
      <c r="Y229" s="121">
        <v>0</v>
      </c>
      <c r="Z229" s="120">
        <v>16000000</v>
      </c>
      <c r="AA229" s="139">
        <v>0</v>
      </c>
      <c r="AB229" s="119">
        <v>52389076</v>
      </c>
      <c r="AC229" s="136" t="s">
        <v>970</v>
      </c>
      <c r="AD229" s="116"/>
      <c r="AE229" s="116"/>
      <c r="AF229" s="125"/>
      <c r="AG229" s="140" t="s">
        <v>1494</v>
      </c>
      <c r="AH229" s="119" t="s">
        <v>192</v>
      </c>
      <c r="AI229" s="119" t="s">
        <v>192</v>
      </c>
    </row>
    <row r="230" spans="1:35" s="130" customFormat="1" ht="17.25" customHeight="1" x14ac:dyDescent="0.25">
      <c r="A230" s="114">
        <v>891780111</v>
      </c>
      <c r="B230" s="115" t="s">
        <v>54</v>
      </c>
      <c r="C230" s="116" t="s">
        <v>57</v>
      </c>
      <c r="D230" s="115" t="s">
        <v>60</v>
      </c>
      <c r="E230" s="119" t="s">
        <v>1495</v>
      </c>
      <c r="F230" s="118" t="s">
        <v>61</v>
      </c>
      <c r="G230" s="118" t="s">
        <v>69</v>
      </c>
      <c r="H230" s="118" t="s">
        <v>609</v>
      </c>
      <c r="I230" s="120">
        <v>12500000</v>
      </c>
      <c r="J230" s="118"/>
      <c r="K230" s="121"/>
      <c r="L230" s="121"/>
      <c r="M230" s="122">
        <f t="shared" si="3"/>
        <v>12500000</v>
      </c>
      <c r="N230" s="117">
        <v>1007350142</v>
      </c>
      <c r="O230" s="123" t="s">
        <v>1496</v>
      </c>
      <c r="P230" s="116" t="s">
        <v>1497</v>
      </c>
      <c r="Q230" s="124">
        <v>45120</v>
      </c>
      <c r="R230" s="124">
        <v>45120</v>
      </c>
      <c r="S230" s="124">
        <v>45272</v>
      </c>
      <c r="T230" s="125" t="s">
        <v>612</v>
      </c>
      <c r="U230" s="124"/>
      <c r="V230" s="124"/>
      <c r="W230" s="126"/>
      <c r="X230" s="127"/>
      <c r="Y230" s="121">
        <v>0</v>
      </c>
      <c r="Z230" s="120">
        <v>12500000</v>
      </c>
      <c r="AA230" s="139">
        <v>0</v>
      </c>
      <c r="AB230" s="119">
        <v>52389076</v>
      </c>
      <c r="AC230" s="136" t="s">
        <v>970</v>
      </c>
      <c r="AD230" s="116"/>
      <c r="AE230" s="116"/>
      <c r="AF230" s="125"/>
      <c r="AG230" s="140" t="s">
        <v>1498</v>
      </c>
      <c r="AH230" s="119" t="s">
        <v>192</v>
      </c>
      <c r="AI230" s="119" t="s">
        <v>192</v>
      </c>
    </row>
    <row r="231" spans="1:35" s="130" customFormat="1" ht="17.25" customHeight="1" x14ac:dyDescent="0.25">
      <c r="A231" s="114">
        <v>891780111</v>
      </c>
      <c r="B231" s="115" t="s">
        <v>54</v>
      </c>
      <c r="C231" s="116" t="s">
        <v>57</v>
      </c>
      <c r="D231" s="115" t="s">
        <v>60</v>
      </c>
      <c r="E231" s="119" t="s">
        <v>1499</v>
      </c>
      <c r="F231" s="118" t="s">
        <v>61</v>
      </c>
      <c r="G231" s="118" t="s">
        <v>69</v>
      </c>
      <c r="H231" s="118" t="s">
        <v>609</v>
      </c>
      <c r="I231" s="120">
        <v>16640000</v>
      </c>
      <c r="J231" s="118"/>
      <c r="K231" s="121"/>
      <c r="L231" s="121"/>
      <c r="M231" s="122">
        <f t="shared" si="3"/>
        <v>16640000</v>
      </c>
      <c r="N231" s="117">
        <v>1082979078</v>
      </c>
      <c r="O231" s="123" t="s">
        <v>1500</v>
      </c>
      <c r="P231" s="116" t="s">
        <v>1501</v>
      </c>
      <c r="Q231" s="124">
        <v>45124</v>
      </c>
      <c r="R231" s="124">
        <v>45124</v>
      </c>
      <c r="S231" s="124">
        <v>45282</v>
      </c>
      <c r="T231" s="125" t="s">
        <v>612</v>
      </c>
      <c r="U231" s="124"/>
      <c r="V231" s="124"/>
      <c r="W231" s="126"/>
      <c r="X231" s="127"/>
      <c r="Y231" s="121">
        <v>1493333</v>
      </c>
      <c r="Z231" s="120">
        <v>15146667</v>
      </c>
      <c r="AA231" s="139">
        <v>8.9743569711538407E-2</v>
      </c>
      <c r="AB231" s="119">
        <v>1082884010</v>
      </c>
      <c r="AC231" s="136" t="s">
        <v>1177</v>
      </c>
      <c r="AD231" s="116"/>
      <c r="AE231" s="116"/>
      <c r="AF231" s="125"/>
      <c r="AG231" s="140" t="s">
        <v>1502</v>
      </c>
      <c r="AH231" s="119" t="s">
        <v>192</v>
      </c>
      <c r="AI231" s="119" t="s">
        <v>192</v>
      </c>
    </row>
    <row r="232" spans="1:35" s="130" customFormat="1" ht="17.25" customHeight="1" x14ac:dyDescent="0.25">
      <c r="A232" s="114">
        <v>891780111</v>
      </c>
      <c r="B232" s="115" t="s">
        <v>54</v>
      </c>
      <c r="C232" s="116" t="s">
        <v>57</v>
      </c>
      <c r="D232" s="115" t="s">
        <v>60</v>
      </c>
      <c r="E232" s="119" t="s">
        <v>1503</v>
      </c>
      <c r="F232" s="118" t="s">
        <v>61</v>
      </c>
      <c r="G232" s="118" t="s">
        <v>69</v>
      </c>
      <c r="H232" s="118" t="s">
        <v>609</v>
      </c>
      <c r="I232" s="120">
        <v>17680000</v>
      </c>
      <c r="J232" s="118"/>
      <c r="K232" s="121"/>
      <c r="L232" s="121"/>
      <c r="M232" s="122">
        <f t="shared" si="3"/>
        <v>17680000</v>
      </c>
      <c r="N232" s="117">
        <v>1082890110</v>
      </c>
      <c r="O232" s="123" t="s">
        <v>871</v>
      </c>
      <c r="P232" s="116" t="s">
        <v>1504</v>
      </c>
      <c r="Q232" s="124">
        <v>45124</v>
      </c>
      <c r="R232" s="124">
        <v>45124</v>
      </c>
      <c r="S232" s="124">
        <v>45282</v>
      </c>
      <c r="T232" s="125" t="s">
        <v>612</v>
      </c>
      <c r="U232" s="124"/>
      <c r="V232" s="124"/>
      <c r="W232" s="126"/>
      <c r="X232" s="127"/>
      <c r="Y232" s="121">
        <v>1586667</v>
      </c>
      <c r="Z232" s="120">
        <v>16093333</v>
      </c>
      <c r="AA232" s="139">
        <v>8.9743608597285029E-2</v>
      </c>
      <c r="AB232" s="119">
        <v>1082884010</v>
      </c>
      <c r="AC232" s="136" t="s">
        <v>1177</v>
      </c>
      <c r="AD232" s="116"/>
      <c r="AE232" s="116"/>
      <c r="AF232" s="125"/>
      <c r="AG232" s="140" t="s">
        <v>1505</v>
      </c>
      <c r="AH232" s="119" t="s">
        <v>192</v>
      </c>
      <c r="AI232" s="119" t="s">
        <v>192</v>
      </c>
    </row>
    <row r="233" spans="1:35" s="130" customFormat="1" ht="17.25" customHeight="1" x14ac:dyDescent="0.25">
      <c r="A233" s="114">
        <v>891780111</v>
      </c>
      <c r="B233" s="115" t="s">
        <v>54</v>
      </c>
      <c r="C233" s="116" t="s">
        <v>57</v>
      </c>
      <c r="D233" s="115" t="s">
        <v>60</v>
      </c>
      <c r="E233" s="119" t="s">
        <v>1506</v>
      </c>
      <c r="F233" s="118" t="s">
        <v>61</v>
      </c>
      <c r="G233" s="118" t="s">
        <v>69</v>
      </c>
      <c r="H233" s="118" t="s">
        <v>609</v>
      </c>
      <c r="I233" s="120">
        <v>15080000</v>
      </c>
      <c r="J233" s="118"/>
      <c r="K233" s="121"/>
      <c r="L233" s="121"/>
      <c r="M233" s="122">
        <f t="shared" si="3"/>
        <v>15080000</v>
      </c>
      <c r="N233" s="117">
        <v>1118868814</v>
      </c>
      <c r="O233" s="123" t="s">
        <v>804</v>
      </c>
      <c r="P233" s="116" t="s">
        <v>1507</v>
      </c>
      <c r="Q233" s="124">
        <v>45124</v>
      </c>
      <c r="R233" s="124">
        <v>45124</v>
      </c>
      <c r="S233" s="124">
        <v>45282</v>
      </c>
      <c r="T233" s="125" t="s">
        <v>612</v>
      </c>
      <c r="U233" s="124"/>
      <c r="V233" s="124"/>
      <c r="W233" s="126"/>
      <c r="X233" s="127"/>
      <c r="Y233" s="121">
        <v>1353333</v>
      </c>
      <c r="Z233" s="120">
        <v>13726667</v>
      </c>
      <c r="AA233" s="139">
        <v>8.9743567639257282E-2</v>
      </c>
      <c r="AB233" s="119">
        <v>63563343</v>
      </c>
      <c r="AC233" s="136" t="s">
        <v>1372</v>
      </c>
      <c r="AD233" s="116"/>
      <c r="AE233" s="116"/>
      <c r="AF233" s="125"/>
      <c r="AG233" s="140" t="s">
        <v>1508</v>
      </c>
      <c r="AH233" s="119" t="s">
        <v>192</v>
      </c>
      <c r="AI233" s="119" t="s">
        <v>192</v>
      </c>
    </row>
    <row r="234" spans="1:35" s="130" customFormat="1" ht="17.25" customHeight="1" x14ac:dyDescent="0.25">
      <c r="A234" s="114">
        <v>891780111</v>
      </c>
      <c r="B234" s="115" t="s">
        <v>54</v>
      </c>
      <c r="C234" s="116" t="s">
        <v>57</v>
      </c>
      <c r="D234" s="115" t="s">
        <v>60</v>
      </c>
      <c r="E234" s="119" t="s">
        <v>1509</v>
      </c>
      <c r="F234" s="118" t="s">
        <v>61</v>
      </c>
      <c r="G234" s="118" t="s">
        <v>69</v>
      </c>
      <c r="H234" s="118" t="s">
        <v>609</v>
      </c>
      <c r="I234" s="120">
        <v>19760000</v>
      </c>
      <c r="J234" s="118"/>
      <c r="K234" s="121"/>
      <c r="L234" s="121"/>
      <c r="M234" s="122">
        <f t="shared" si="3"/>
        <v>19760000</v>
      </c>
      <c r="N234" s="117">
        <v>1082950124</v>
      </c>
      <c r="O234" s="123" t="s">
        <v>780</v>
      </c>
      <c r="P234" s="116" t="s">
        <v>1510</v>
      </c>
      <c r="Q234" s="124">
        <v>45124</v>
      </c>
      <c r="R234" s="124">
        <v>45124</v>
      </c>
      <c r="S234" s="124">
        <v>45282</v>
      </c>
      <c r="T234" s="125" t="s">
        <v>612</v>
      </c>
      <c r="U234" s="124"/>
      <c r="V234" s="124"/>
      <c r="W234" s="126"/>
      <c r="X234" s="127"/>
      <c r="Y234" s="121">
        <v>1773333</v>
      </c>
      <c r="Z234" s="120">
        <v>17986667</v>
      </c>
      <c r="AA234" s="139">
        <v>8.9743572874493971E-2</v>
      </c>
      <c r="AB234" s="119">
        <v>1082884010</v>
      </c>
      <c r="AC234" s="136" t="s">
        <v>1177</v>
      </c>
      <c r="AD234" s="116"/>
      <c r="AE234" s="116"/>
      <c r="AF234" s="125"/>
      <c r="AG234" s="140" t="s">
        <v>1511</v>
      </c>
      <c r="AH234" s="119" t="s">
        <v>192</v>
      </c>
      <c r="AI234" s="119" t="s">
        <v>192</v>
      </c>
    </row>
    <row r="235" spans="1:35" s="130" customFormat="1" ht="17.25" customHeight="1" x14ac:dyDescent="0.25">
      <c r="A235" s="114">
        <v>891780111</v>
      </c>
      <c r="B235" s="115" t="s">
        <v>54</v>
      </c>
      <c r="C235" s="116" t="s">
        <v>57</v>
      </c>
      <c r="D235" s="115" t="s">
        <v>60</v>
      </c>
      <c r="E235" s="119" t="s">
        <v>1512</v>
      </c>
      <c r="F235" s="118" t="s">
        <v>61</v>
      </c>
      <c r="G235" s="118" t="s">
        <v>69</v>
      </c>
      <c r="H235" s="118" t="s">
        <v>609</v>
      </c>
      <c r="I235" s="120">
        <v>16640000</v>
      </c>
      <c r="J235" s="118"/>
      <c r="K235" s="121"/>
      <c r="L235" s="121"/>
      <c r="M235" s="122">
        <f t="shared" si="3"/>
        <v>16640000</v>
      </c>
      <c r="N235" s="117">
        <v>1083023299</v>
      </c>
      <c r="O235" s="123" t="s">
        <v>796</v>
      </c>
      <c r="P235" s="116" t="s">
        <v>1513</v>
      </c>
      <c r="Q235" s="124">
        <v>45124</v>
      </c>
      <c r="R235" s="124">
        <v>45124</v>
      </c>
      <c r="S235" s="124">
        <v>45282</v>
      </c>
      <c r="T235" s="125" t="s">
        <v>612</v>
      </c>
      <c r="U235" s="124"/>
      <c r="V235" s="124"/>
      <c r="W235" s="126"/>
      <c r="X235" s="127"/>
      <c r="Y235" s="121">
        <v>1493333</v>
      </c>
      <c r="Z235" s="120">
        <v>15146667</v>
      </c>
      <c r="AA235" s="139">
        <v>8.9743569711538407E-2</v>
      </c>
      <c r="AB235" s="119">
        <v>1082884010</v>
      </c>
      <c r="AC235" s="136" t="s">
        <v>1177</v>
      </c>
      <c r="AD235" s="116"/>
      <c r="AE235" s="116"/>
      <c r="AF235" s="125"/>
      <c r="AG235" s="140" t="s">
        <v>1514</v>
      </c>
      <c r="AH235" s="119" t="s">
        <v>192</v>
      </c>
      <c r="AI235" s="119" t="s">
        <v>192</v>
      </c>
    </row>
    <row r="236" spans="1:35" s="130" customFormat="1" ht="17.25" customHeight="1" x14ac:dyDescent="0.25">
      <c r="A236" s="114">
        <v>891780111</v>
      </c>
      <c r="B236" s="115" t="s">
        <v>54</v>
      </c>
      <c r="C236" s="116" t="s">
        <v>57</v>
      </c>
      <c r="D236" s="115" t="s">
        <v>60</v>
      </c>
      <c r="E236" s="119" t="s">
        <v>1515</v>
      </c>
      <c r="F236" s="118" t="s">
        <v>61</v>
      </c>
      <c r="G236" s="118" t="s">
        <v>69</v>
      </c>
      <c r="H236" s="118" t="s">
        <v>609</v>
      </c>
      <c r="I236" s="120">
        <v>15080000</v>
      </c>
      <c r="J236" s="118"/>
      <c r="K236" s="121"/>
      <c r="L236" s="121"/>
      <c r="M236" s="122">
        <f t="shared" si="3"/>
        <v>15080000</v>
      </c>
      <c r="N236" s="117">
        <v>1129504010</v>
      </c>
      <c r="O236" s="123" t="s">
        <v>850</v>
      </c>
      <c r="P236" s="116" t="s">
        <v>925</v>
      </c>
      <c r="Q236" s="124">
        <v>45124</v>
      </c>
      <c r="R236" s="124">
        <v>45124</v>
      </c>
      <c r="S236" s="124">
        <v>45282</v>
      </c>
      <c r="T236" s="125" t="s">
        <v>612</v>
      </c>
      <c r="U236" s="124"/>
      <c r="V236" s="124"/>
      <c r="W236" s="126"/>
      <c r="X236" s="127"/>
      <c r="Y236" s="121">
        <v>0</v>
      </c>
      <c r="Z236" s="120">
        <v>15080000</v>
      </c>
      <c r="AA236" s="139">
        <v>0</v>
      </c>
      <c r="AB236" s="119">
        <v>63563343</v>
      </c>
      <c r="AC236" s="136" t="s">
        <v>806</v>
      </c>
      <c r="AD236" s="116"/>
      <c r="AE236" s="116"/>
      <c r="AF236" s="125"/>
      <c r="AG236" s="140" t="s">
        <v>1516</v>
      </c>
      <c r="AH236" s="119" t="s">
        <v>192</v>
      </c>
      <c r="AI236" s="119" t="s">
        <v>192</v>
      </c>
    </row>
    <row r="237" spans="1:35" s="130" customFormat="1" ht="17.25" customHeight="1" x14ac:dyDescent="0.25">
      <c r="A237" s="114">
        <v>891780111</v>
      </c>
      <c r="B237" s="115" t="s">
        <v>54</v>
      </c>
      <c r="C237" s="116" t="s">
        <v>57</v>
      </c>
      <c r="D237" s="115" t="s">
        <v>60</v>
      </c>
      <c r="E237" s="119" t="s">
        <v>1517</v>
      </c>
      <c r="F237" s="118" t="s">
        <v>61</v>
      </c>
      <c r="G237" s="118" t="s">
        <v>69</v>
      </c>
      <c r="H237" s="118" t="s">
        <v>609</v>
      </c>
      <c r="I237" s="120">
        <v>15600000</v>
      </c>
      <c r="J237" s="118"/>
      <c r="K237" s="121"/>
      <c r="L237" s="121"/>
      <c r="M237" s="122">
        <f t="shared" si="3"/>
        <v>15600000</v>
      </c>
      <c r="N237" s="117">
        <v>1082989702</v>
      </c>
      <c r="O237" s="123" t="s">
        <v>854</v>
      </c>
      <c r="P237" s="116" t="s">
        <v>1518</v>
      </c>
      <c r="Q237" s="124">
        <v>45124</v>
      </c>
      <c r="R237" s="124">
        <v>45124</v>
      </c>
      <c r="S237" s="124">
        <v>45282</v>
      </c>
      <c r="T237" s="125" t="s">
        <v>612</v>
      </c>
      <c r="U237" s="124"/>
      <c r="V237" s="124"/>
      <c r="W237" s="126"/>
      <c r="X237" s="127"/>
      <c r="Y237" s="121">
        <v>1400000</v>
      </c>
      <c r="Z237" s="120">
        <v>14200000</v>
      </c>
      <c r="AA237" s="139">
        <v>8.9743589743589758E-2</v>
      </c>
      <c r="AB237" s="119">
        <v>63563343</v>
      </c>
      <c r="AC237" s="136" t="s">
        <v>806</v>
      </c>
      <c r="AD237" s="116"/>
      <c r="AE237" s="116"/>
      <c r="AF237" s="125"/>
      <c r="AG237" s="140" t="s">
        <v>1519</v>
      </c>
      <c r="AH237" s="119" t="s">
        <v>192</v>
      </c>
      <c r="AI237" s="119" t="s">
        <v>192</v>
      </c>
    </row>
    <row r="238" spans="1:35" s="130" customFormat="1" ht="17.25" customHeight="1" x14ac:dyDescent="0.25">
      <c r="A238" s="114">
        <v>891780111</v>
      </c>
      <c r="B238" s="115" t="s">
        <v>54</v>
      </c>
      <c r="C238" s="116" t="s">
        <v>57</v>
      </c>
      <c r="D238" s="115" t="s">
        <v>60</v>
      </c>
      <c r="E238" s="119" t="s">
        <v>1520</v>
      </c>
      <c r="F238" s="118" t="s">
        <v>61</v>
      </c>
      <c r="G238" s="118" t="s">
        <v>69</v>
      </c>
      <c r="H238" s="118" t="s">
        <v>609</v>
      </c>
      <c r="I238" s="120">
        <v>16640000</v>
      </c>
      <c r="J238" s="118"/>
      <c r="K238" s="121"/>
      <c r="L238" s="121"/>
      <c r="M238" s="122">
        <f t="shared" si="3"/>
        <v>16640000</v>
      </c>
      <c r="N238" s="117">
        <v>1047476135</v>
      </c>
      <c r="O238" s="123" t="s">
        <v>784</v>
      </c>
      <c r="P238" s="116" t="s">
        <v>1521</v>
      </c>
      <c r="Q238" s="124">
        <v>45124</v>
      </c>
      <c r="R238" s="124">
        <v>45124</v>
      </c>
      <c r="S238" s="124">
        <v>45282</v>
      </c>
      <c r="T238" s="125" t="s">
        <v>612</v>
      </c>
      <c r="U238" s="124"/>
      <c r="V238" s="124"/>
      <c r="W238" s="126"/>
      <c r="X238" s="127"/>
      <c r="Y238" s="121">
        <v>1493333</v>
      </c>
      <c r="Z238" s="120">
        <v>15146667</v>
      </c>
      <c r="AA238" s="139">
        <v>8.9743569711538407E-2</v>
      </c>
      <c r="AB238" s="119">
        <v>1082884010</v>
      </c>
      <c r="AC238" s="136" t="s">
        <v>1177</v>
      </c>
      <c r="AD238" s="116"/>
      <c r="AE238" s="116"/>
      <c r="AF238" s="125"/>
      <c r="AG238" s="140" t="s">
        <v>1522</v>
      </c>
      <c r="AH238" s="119" t="s">
        <v>192</v>
      </c>
      <c r="AI238" s="119" t="s">
        <v>192</v>
      </c>
    </row>
    <row r="239" spans="1:35" s="130" customFormat="1" ht="17.25" customHeight="1" x14ac:dyDescent="0.25">
      <c r="A239" s="114">
        <v>891780111</v>
      </c>
      <c r="B239" s="115" t="s">
        <v>54</v>
      </c>
      <c r="C239" s="116" t="s">
        <v>57</v>
      </c>
      <c r="D239" s="115" t="s">
        <v>60</v>
      </c>
      <c r="E239" s="119" t="s">
        <v>1523</v>
      </c>
      <c r="F239" s="118" t="s">
        <v>61</v>
      </c>
      <c r="G239" s="118" t="s">
        <v>69</v>
      </c>
      <c r="H239" s="118" t="s">
        <v>609</v>
      </c>
      <c r="I239" s="120">
        <v>16886667</v>
      </c>
      <c r="J239" s="118"/>
      <c r="K239" s="121"/>
      <c r="L239" s="121"/>
      <c r="M239" s="122">
        <f t="shared" si="3"/>
        <v>16886667</v>
      </c>
      <c r="N239" s="117">
        <v>1082992358</v>
      </c>
      <c r="O239" s="123" t="s">
        <v>1524</v>
      </c>
      <c r="P239" s="116" t="s">
        <v>1525</v>
      </c>
      <c r="Q239" s="124">
        <v>45124</v>
      </c>
      <c r="R239" s="124">
        <v>45124</v>
      </c>
      <c r="S239" s="124">
        <v>45275</v>
      </c>
      <c r="T239" s="125" t="s">
        <v>612</v>
      </c>
      <c r="U239" s="124"/>
      <c r="V239" s="124"/>
      <c r="W239" s="126"/>
      <c r="X239" s="127"/>
      <c r="Y239" s="121">
        <v>1586667</v>
      </c>
      <c r="Z239" s="120">
        <v>15300000</v>
      </c>
      <c r="AA239" s="139">
        <v>9.3959749428350836E-2</v>
      </c>
      <c r="AB239" s="119">
        <v>1082884010</v>
      </c>
      <c r="AC239" s="136" t="s">
        <v>1177</v>
      </c>
      <c r="AD239" s="116"/>
      <c r="AE239" s="116"/>
      <c r="AF239" s="125"/>
      <c r="AG239" s="140" t="s">
        <v>1526</v>
      </c>
      <c r="AH239" s="119" t="s">
        <v>192</v>
      </c>
      <c r="AI239" s="119" t="s">
        <v>192</v>
      </c>
    </row>
    <row r="240" spans="1:35" s="130" customFormat="1" ht="17.25" customHeight="1" x14ac:dyDescent="0.25">
      <c r="A240" s="114">
        <v>891780111</v>
      </c>
      <c r="B240" s="115" t="s">
        <v>54</v>
      </c>
      <c r="C240" s="116" t="s">
        <v>57</v>
      </c>
      <c r="D240" s="115" t="s">
        <v>60</v>
      </c>
      <c r="E240" s="119" t="s">
        <v>1527</v>
      </c>
      <c r="F240" s="118" t="s">
        <v>61</v>
      </c>
      <c r="G240" s="118" t="s">
        <v>69</v>
      </c>
      <c r="H240" s="118" t="s">
        <v>609</v>
      </c>
      <c r="I240" s="120">
        <v>19250000</v>
      </c>
      <c r="J240" s="118"/>
      <c r="K240" s="121"/>
      <c r="L240" s="121"/>
      <c r="M240" s="122">
        <f t="shared" si="3"/>
        <v>19250000</v>
      </c>
      <c r="N240" s="117">
        <v>1082931591</v>
      </c>
      <c r="O240" s="123" t="s">
        <v>624</v>
      </c>
      <c r="P240" s="116" t="s">
        <v>625</v>
      </c>
      <c r="Q240" s="124">
        <v>45124</v>
      </c>
      <c r="R240" s="124">
        <v>45124</v>
      </c>
      <c r="S240" s="124">
        <v>45289</v>
      </c>
      <c r="T240" s="125" t="s">
        <v>612</v>
      </c>
      <c r="U240" s="124"/>
      <c r="V240" s="124"/>
      <c r="W240" s="126"/>
      <c r="X240" s="127"/>
      <c r="Y240" s="121">
        <v>1750000</v>
      </c>
      <c r="Z240" s="120">
        <v>17500000</v>
      </c>
      <c r="AA240" s="139">
        <v>9.0909090909090939E-2</v>
      </c>
      <c r="AB240" s="119">
        <v>1082884010</v>
      </c>
      <c r="AC240" s="136" t="s">
        <v>1528</v>
      </c>
      <c r="AD240" s="116"/>
      <c r="AE240" s="116"/>
      <c r="AF240" s="125"/>
      <c r="AG240" s="140" t="s">
        <v>1529</v>
      </c>
      <c r="AH240" s="119" t="s">
        <v>192</v>
      </c>
      <c r="AI240" s="119" t="s">
        <v>192</v>
      </c>
    </row>
    <row r="241" spans="1:35" s="130" customFormat="1" ht="17.25" customHeight="1" x14ac:dyDescent="0.25">
      <c r="A241" s="114">
        <v>891780111</v>
      </c>
      <c r="B241" s="115" t="s">
        <v>54</v>
      </c>
      <c r="C241" s="116" t="s">
        <v>57</v>
      </c>
      <c r="D241" s="115" t="s">
        <v>60</v>
      </c>
      <c r="E241" s="119" t="s">
        <v>1530</v>
      </c>
      <c r="F241" s="118" t="s">
        <v>61</v>
      </c>
      <c r="G241" s="118" t="s">
        <v>69</v>
      </c>
      <c r="H241" s="118" t="s">
        <v>609</v>
      </c>
      <c r="I241" s="120">
        <v>24000000</v>
      </c>
      <c r="J241" s="118"/>
      <c r="K241" s="121"/>
      <c r="L241" s="121"/>
      <c r="M241" s="122">
        <f t="shared" si="3"/>
        <v>24000000</v>
      </c>
      <c r="N241" s="117">
        <v>1082944860</v>
      </c>
      <c r="O241" s="123" t="s">
        <v>610</v>
      </c>
      <c r="P241" s="116" t="s">
        <v>1531</v>
      </c>
      <c r="Q241" s="124">
        <v>45124</v>
      </c>
      <c r="R241" s="124">
        <v>45124</v>
      </c>
      <c r="S241" s="124">
        <v>45289</v>
      </c>
      <c r="T241" s="125" t="s">
        <v>612</v>
      </c>
      <c r="U241" s="124"/>
      <c r="V241" s="124"/>
      <c r="W241" s="126"/>
      <c r="X241" s="127"/>
      <c r="Y241" s="121">
        <v>4000000</v>
      </c>
      <c r="Z241" s="120">
        <v>20000000</v>
      </c>
      <c r="AA241" s="139">
        <v>0.16666666666666663</v>
      </c>
      <c r="AB241" s="119">
        <v>1082884010</v>
      </c>
      <c r="AC241" s="136" t="s">
        <v>1528</v>
      </c>
      <c r="AD241" s="116"/>
      <c r="AE241" s="116"/>
      <c r="AF241" s="125"/>
      <c r="AG241" s="140" t="s">
        <v>1532</v>
      </c>
      <c r="AH241" s="119" t="s">
        <v>192</v>
      </c>
      <c r="AI241" s="119" t="s">
        <v>192</v>
      </c>
    </row>
    <row r="242" spans="1:35" s="130" customFormat="1" ht="17.25" customHeight="1" x14ac:dyDescent="0.25">
      <c r="A242" s="114">
        <v>891780111</v>
      </c>
      <c r="B242" s="115" t="s">
        <v>54</v>
      </c>
      <c r="C242" s="116" t="s">
        <v>57</v>
      </c>
      <c r="D242" s="115" t="s">
        <v>60</v>
      </c>
      <c r="E242" s="119" t="s">
        <v>1533</v>
      </c>
      <c r="F242" s="118" t="s">
        <v>61</v>
      </c>
      <c r="G242" s="118" t="s">
        <v>69</v>
      </c>
      <c r="H242" s="118" t="s">
        <v>609</v>
      </c>
      <c r="I242" s="120">
        <v>16000000</v>
      </c>
      <c r="J242" s="118"/>
      <c r="K242" s="121"/>
      <c r="L242" s="121"/>
      <c r="M242" s="122">
        <f t="shared" si="3"/>
        <v>16000000</v>
      </c>
      <c r="N242" s="117">
        <v>1083467782</v>
      </c>
      <c r="O242" s="123" t="s">
        <v>1534</v>
      </c>
      <c r="P242" s="116" t="s">
        <v>1535</v>
      </c>
      <c r="Q242" s="124">
        <v>45124</v>
      </c>
      <c r="R242" s="124">
        <v>45124</v>
      </c>
      <c r="S242" s="124">
        <v>45275</v>
      </c>
      <c r="T242" s="125" t="s">
        <v>612</v>
      </c>
      <c r="U242" s="124"/>
      <c r="V242" s="124"/>
      <c r="W242" s="126"/>
      <c r="X242" s="127"/>
      <c r="Y242" s="121">
        <v>0</v>
      </c>
      <c r="Z242" s="120">
        <v>16000000</v>
      </c>
      <c r="AA242" s="139">
        <v>0</v>
      </c>
      <c r="AB242" s="119">
        <v>85472020</v>
      </c>
      <c r="AC242" s="136" t="s">
        <v>1536</v>
      </c>
      <c r="AD242" s="116"/>
      <c r="AE242" s="116"/>
      <c r="AF242" s="125"/>
      <c r="AG242" s="140" t="s">
        <v>1537</v>
      </c>
      <c r="AH242" s="119" t="s">
        <v>192</v>
      </c>
      <c r="AI242" s="119" t="s">
        <v>192</v>
      </c>
    </row>
    <row r="243" spans="1:35" s="130" customFormat="1" ht="17.25" customHeight="1" x14ac:dyDescent="0.25">
      <c r="A243" s="114">
        <v>891780111</v>
      </c>
      <c r="B243" s="115" t="s">
        <v>54</v>
      </c>
      <c r="C243" s="116" t="s">
        <v>57</v>
      </c>
      <c r="D243" s="115" t="s">
        <v>60</v>
      </c>
      <c r="E243" s="119" t="s">
        <v>1538</v>
      </c>
      <c r="F243" s="118" t="s">
        <v>61</v>
      </c>
      <c r="G243" s="118" t="s">
        <v>69</v>
      </c>
      <c r="H243" s="118" t="s">
        <v>609</v>
      </c>
      <c r="I243" s="120">
        <v>16000000</v>
      </c>
      <c r="J243" s="118"/>
      <c r="K243" s="121"/>
      <c r="L243" s="121"/>
      <c r="M243" s="122">
        <f t="shared" si="3"/>
        <v>16000000</v>
      </c>
      <c r="N243" s="117">
        <v>1082984823</v>
      </c>
      <c r="O243" s="123" t="s">
        <v>942</v>
      </c>
      <c r="P243" s="116" t="s">
        <v>1539</v>
      </c>
      <c r="Q243" s="124">
        <v>45124</v>
      </c>
      <c r="R243" s="124">
        <v>45124</v>
      </c>
      <c r="S243" s="124">
        <v>45275</v>
      </c>
      <c r="T243" s="125" t="s">
        <v>612</v>
      </c>
      <c r="U243" s="124"/>
      <c r="V243" s="124"/>
      <c r="W243" s="126"/>
      <c r="X243" s="127"/>
      <c r="Y243" s="121">
        <v>0</v>
      </c>
      <c r="Z243" s="120">
        <v>16000000</v>
      </c>
      <c r="AA243" s="139">
        <v>0</v>
      </c>
      <c r="AB243" s="119">
        <v>85472020</v>
      </c>
      <c r="AC243" s="136" t="s">
        <v>1536</v>
      </c>
      <c r="AD243" s="116"/>
      <c r="AE243" s="116"/>
      <c r="AF243" s="125"/>
      <c r="AG243" s="140" t="s">
        <v>1540</v>
      </c>
      <c r="AH243" s="119" t="s">
        <v>192</v>
      </c>
      <c r="AI243" s="119" t="s">
        <v>192</v>
      </c>
    </row>
    <row r="244" spans="1:35" s="130" customFormat="1" ht="17.25" customHeight="1" x14ac:dyDescent="0.25">
      <c r="A244" s="114">
        <v>891780111</v>
      </c>
      <c r="B244" s="115" t="s">
        <v>54</v>
      </c>
      <c r="C244" s="116" t="s">
        <v>57</v>
      </c>
      <c r="D244" s="115" t="s">
        <v>60</v>
      </c>
      <c r="E244" s="119" t="s">
        <v>1541</v>
      </c>
      <c r="F244" s="118" t="s">
        <v>61</v>
      </c>
      <c r="G244" s="118" t="s">
        <v>69</v>
      </c>
      <c r="H244" s="118" t="s">
        <v>609</v>
      </c>
      <c r="I244" s="120">
        <v>16000000</v>
      </c>
      <c r="J244" s="118"/>
      <c r="K244" s="121"/>
      <c r="L244" s="121"/>
      <c r="M244" s="122">
        <f t="shared" si="3"/>
        <v>16000000</v>
      </c>
      <c r="N244" s="117">
        <v>57463378</v>
      </c>
      <c r="O244" s="123" t="s">
        <v>938</v>
      </c>
      <c r="P244" s="116" t="s">
        <v>1542</v>
      </c>
      <c r="Q244" s="124">
        <v>45124</v>
      </c>
      <c r="R244" s="124">
        <v>45124</v>
      </c>
      <c r="S244" s="124">
        <v>45275</v>
      </c>
      <c r="T244" s="125" t="s">
        <v>612</v>
      </c>
      <c r="U244" s="124"/>
      <c r="V244" s="124"/>
      <c r="W244" s="126"/>
      <c r="X244" s="127"/>
      <c r="Y244" s="121">
        <v>0</v>
      </c>
      <c r="Z244" s="120">
        <v>16000000</v>
      </c>
      <c r="AA244" s="139">
        <v>0</v>
      </c>
      <c r="AB244" s="119">
        <v>85472020</v>
      </c>
      <c r="AC244" s="136" t="s">
        <v>1536</v>
      </c>
      <c r="AD244" s="116"/>
      <c r="AE244" s="116"/>
      <c r="AF244" s="125"/>
      <c r="AG244" s="140" t="s">
        <v>1543</v>
      </c>
      <c r="AH244" s="119" t="s">
        <v>192</v>
      </c>
      <c r="AI244" s="119" t="s">
        <v>192</v>
      </c>
    </row>
    <row r="245" spans="1:35" s="130" customFormat="1" ht="17.25" customHeight="1" x14ac:dyDescent="0.25">
      <c r="A245" s="114">
        <v>891780111</v>
      </c>
      <c r="B245" s="115" t="s">
        <v>54</v>
      </c>
      <c r="C245" s="116" t="s">
        <v>57</v>
      </c>
      <c r="D245" s="115" t="s">
        <v>60</v>
      </c>
      <c r="E245" s="119" t="s">
        <v>1544</v>
      </c>
      <c r="F245" s="118" t="s">
        <v>61</v>
      </c>
      <c r="G245" s="118" t="s">
        <v>69</v>
      </c>
      <c r="H245" s="118" t="s">
        <v>609</v>
      </c>
      <c r="I245" s="120">
        <v>18316667</v>
      </c>
      <c r="J245" s="118"/>
      <c r="K245" s="121"/>
      <c r="L245" s="121"/>
      <c r="M245" s="122">
        <f t="shared" si="3"/>
        <v>18316667</v>
      </c>
      <c r="N245" s="117">
        <v>33224219</v>
      </c>
      <c r="O245" s="123" t="s">
        <v>717</v>
      </c>
      <c r="P245" s="116" t="s">
        <v>1545</v>
      </c>
      <c r="Q245" s="124">
        <v>45124</v>
      </c>
      <c r="R245" s="124">
        <v>45124</v>
      </c>
      <c r="S245" s="124">
        <v>45282</v>
      </c>
      <c r="T245" s="125" t="s">
        <v>612</v>
      </c>
      <c r="U245" s="124"/>
      <c r="V245" s="124"/>
      <c r="W245" s="126"/>
      <c r="X245" s="127"/>
      <c r="Y245" s="121">
        <v>1750000</v>
      </c>
      <c r="Z245" s="120">
        <v>16566667</v>
      </c>
      <c r="AA245" s="139">
        <v>9.5541399535188365E-2</v>
      </c>
      <c r="AB245" s="119">
        <v>39049658</v>
      </c>
      <c r="AC245" s="136" t="s">
        <v>1425</v>
      </c>
      <c r="AD245" s="116"/>
      <c r="AE245" s="116"/>
      <c r="AF245" s="125"/>
      <c r="AG245" s="140" t="s">
        <v>1546</v>
      </c>
      <c r="AH245" s="119" t="s">
        <v>192</v>
      </c>
      <c r="AI245" s="119" t="s">
        <v>192</v>
      </c>
    </row>
    <row r="246" spans="1:35" s="130" customFormat="1" ht="17.25" customHeight="1" x14ac:dyDescent="0.25">
      <c r="A246" s="114">
        <v>891780111</v>
      </c>
      <c r="B246" s="115" t="s">
        <v>54</v>
      </c>
      <c r="C246" s="116" t="s">
        <v>57</v>
      </c>
      <c r="D246" s="115" t="s">
        <v>60</v>
      </c>
      <c r="E246" s="119" t="s">
        <v>1547</v>
      </c>
      <c r="F246" s="118" t="s">
        <v>61</v>
      </c>
      <c r="G246" s="118" t="s">
        <v>69</v>
      </c>
      <c r="H246" s="118" t="s">
        <v>609</v>
      </c>
      <c r="I246" s="120">
        <v>15600000</v>
      </c>
      <c r="J246" s="118"/>
      <c r="K246" s="121"/>
      <c r="L246" s="121"/>
      <c r="M246" s="122">
        <f t="shared" si="3"/>
        <v>15600000</v>
      </c>
      <c r="N246" s="117">
        <v>1082957323</v>
      </c>
      <c r="O246" s="123" t="s">
        <v>1548</v>
      </c>
      <c r="P246" s="116" t="s">
        <v>1549</v>
      </c>
      <c r="Q246" s="124">
        <v>45125</v>
      </c>
      <c r="R246" s="124">
        <v>45125</v>
      </c>
      <c r="S246" s="124">
        <v>45282</v>
      </c>
      <c r="T246" s="125" t="s">
        <v>612</v>
      </c>
      <c r="U246" s="124"/>
      <c r="V246" s="124"/>
      <c r="W246" s="126"/>
      <c r="X246" s="127"/>
      <c r="Y246" s="121">
        <v>1400000</v>
      </c>
      <c r="Z246" s="120">
        <v>14200000</v>
      </c>
      <c r="AA246" s="139">
        <v>8.9743589743589758E-2</v>
      </c>
      <c r="AB246" s="119">
        <v>1082884010</v>
      </c>
      <c r="AC246" s="136" t="s">
        <v>1177</v>
      </c>
      <c r="AD246" s="116"/>
      <c r="AE246" s="116"/>
      <c r="AF246" s="125"/>
      <c r="AG246" s="140" t="s">
        <v>1550</v>
      </c>
      <c r="AH246" s="119" t="s">
        <v>192</v>
      </c>
      <c r="AI246" s="119" t="s">
        <v>192</v>
      </c>
    </row>
    <row r="247" spans="1:35" s="130" customFormat="1" ht="17.25" customHeight="1" x14ac:dyDescent="0.25">
      <c r="A247" s="114">
        <v>891780111</v>
      </c>
      <c r="B247" s="115" t="s">
        <v>54</v>
      </c>
      <c r="C247" s="116" t="s">
        <v>57</v>
      </c>
      <c r="D247" s="115" t="s">
        <v>60</v>
      </c>
      <c r="E247" s="119" t="s">
        <v>1551</v>
      </c>
      <c r="F247" s="118" t="s">
        <v>61</v>
      </c>
      <c r="G247" s="118" t="s">
        <v>69</v>
      </c>
      <c r="H247" s="118" t="s">
        <v>609</v>
      </c>
      <c r="I247" s="120">
        <v>10500000</v>
      </c>
      <c r="J247" s="118"/>
      <c r="K247" s="121"/>
      <c r="L247" s="121"/>
      <c r="M247" s="122">
        <f t="shared" si="3"/>
        <v>10500000</v>
      </c>
      <c r="N247" s="117">
        <v>1004369998</v>
      </c>
      <c r="O247" s="123" t="s">
        <v>1552</v>
      </c>
      <c r="P247" s="116" t="s">
        <v>1553</v>
      </c>
      <c r="Q247" s="124">
        <v>45126</v>
      </c>
      <c r="R247" s="124">
        <v>45126</v>
      </c>
      <c r="S247" s="124">
        <v>45270</v>
      </c>
      <c r="T247" s="125" t="s">
        <v>612</v>
      </c>
      <c r="U247" s="124"/>
      <c r="V247" s="124"/>
      <c r="W247" s="126"/>
      <c r="X247" s="127"/>
      <c r="Y247" s="121">
        <v>0</v>
      </c>
      <c r="Z247" s="120">
        <v>10500000</v>
      </c>
      <c r="AA247" s="139">
        <v>0</v>
      </c>
      <c r="AB247" s="119">
        <v>16078654</v>
      </c>
      <c r="AC247" s="136" t="s">
        <v>1554</v>
      </c>
      <c r="AD247" s="116"/>
      <c r="AE247" s="116"/>
      <c r="AF247" s="125"/>
      <c r="AG247" s="140" t="s">
        <v>1555</v>
      </c>
      <c r="AH247" s="119" t="s">
        <v>192</v>
      </c>
      <c r="AI247" s="119" t="s">
        <v>192</v>
      </c>
    </row>
    <row r="248" spans="1:35" s="130" customFormat="1" ht="17.25" customHeight="1" x14ac:dyDescent="0.25">
      <c r="A248" s="114">
        <v>891780111</v>
      </c>
      <c r="B248" s="115" t="s">
        <v>54</v>
      </c>
      <c r="C248" s="116" t="s">
        <v>57</v>
      </c>
      <c r="D248" s="115" t="s">
        <v>60</v>
      </c>
      <c r="E248" s="119" t="s">
        <v>1556</v>
      </c>
      <c r="F248" s="118" t="s">
        <v>61</v>
      </c>
      <c r="G248" s="118" t="s">
        <v>69</v>
      </c>
      <c r="H248" s="118" t="s">
        <v>609</v>
      </c>
      <c r="I248" s="120">
        <v>3200000</v>
      </c>
      <c r="J248" s="118"/>
      <c r="K248" s="121"/>
      <c r="L248" s="121"/>
      <c r="M248" s="122">
        <f t="shared" si="3"/>
        <v>3200000</v>
      </c>
      <c r="N248" s="117">
        <v>36669125</v>
      </c>
      <c r="O248" s="123" t="s">
        <v>1557</v>
      </c>
      <c r="P248" s="116" t="s">
        <v>1558</v>
      </c>
      <c r="Q248" s="124">
        <v>45126</v>
      </c>
      <c r="R248" s="124">
        <v>45126</v>
      </c>
      <c r="S248" s="124">
        <v>45156</v>
      </c>
      <c r="T248" s="125" t="s">
        <v>612</v>
      </c>
      <c r="U248" s="124"/>
      <c r="V248" s="124"/>
      <c r="W248" s="126"/>
      <c r="X248" s="127"/>
      <c r="Y248" s="121">
        <v>0</v>
      </c>
      <c r="Z248" s="120">
        <v>3200000</v>
      </c>
      <c r="AA248" s="139">
        <v>0</v>
      </c>
      <c r="AB248" s="119">
        <v>41947381</v>
      </c>
      <c r="AC248" s="136" t="s">
        <v>1559</v>
      </c>
      <c r="AD248" s="116"/>
      <c r="AE248" s="116"/>
      <c r="AF248" s="125"/>
      <c r="AG248" s="140" t="s">
        <v>1560</v>
      </c>
      <c r="AH248" s="119" t="s">
        <v>192</v>
      </c>
      <c r="AI248" s="119" t="s">
        <v>192</v>
      </c>
    </row>
    <row r="249" spans="1:35" s="130" customFormat="1" ht="17.25" customHeight="1" x14ac:dyDescent="0.25">
      <c r="A249" s="114">
        <v>891780111</v>
      </c>
      <c r="B249" s="115" t="s">
        <v>54</v>
      </c>
      <c r="C249" s="116" t="s">
        <v>57</v>
      </c>
      <c r="D249" s="115" t="s">
        <v>60</v>
      </c>
      <c r="E249" s="119" t="s">
        <v>1561</v>
      </c>
      <c r="F249" s="118" t="s">
        <v>61</v>
      </c>
      <c r="G249" s="118" t="s">
        <v>69</v>
      </c>
      <c r="H249" s="118" t="s">
        <v>609</v>
      </c>
      <c r="I249" s="120">
        <v>25000000</v>
      </c>
      <c r="J249" s="118"/>
      <c r="K249" s="121"/>
      <c r="L249" s="121"/>
      <c r="M249" s="122">
        <f t="shared" si="3"/>
        <v>25000000</v>
      </c>
      <c r="N249" s="117">
        <v>901703978</v>
      </c>
      <c r="O249" s="123" t="s">
        <v>1562</v>
      </c>
      <c r="P249" s="116" t="s">
        <v>1563</v>
      </c>
      <c r="Q249" s="124">
        <v>45126</v>
      </c>
      <c r="R249" s="124">
        <v>45126</v>
      </c>
      <c r="S249" s="124">
        <v>45278</v>
      </c>
      <c r="T249" s="125" t="s">
        <v>612</v>
      </c>
      <c r="U249" s="124"/>
      <c r="V249" s="124"/>
      <c r="W249" s="126"/>
      <c r="X249" s="127"/>
      <c r="Y249" s="121">
        <v>0</v>
      </c>
      <c r="Z249" s="120">
        <v>25000000</v>
      </c>
      <c r="AA249" s="139">
        <v>0</v>
      </c>
      <c r="AB249" s="119">
        <v>22545553</v>
      </c>
      <c r="AC249" s="136" t="s">
        <v>1564</v>
      </c>
      <c r="AD249" s="116"/>
      <c r="AE249" s="116"/>
      <c r="AF249" s="125"/>
      <c r="AG249" s="140" t="s">
        <v>1565</v>
      </c>
      <c r="AH249" s="119" t="s">
        <v>192</v>
      </c>
      <c r="AI249" s="116" t="s">
        <v>191</v>
      </c>
    </row>
    <row r="250" spans="1:35" s="130" customFormat="1" ht="17.25" customHeight="1" x14ac:dyDescent="0.25">
      <c r="A250" s="114">
        <v>891780111</v>
      </c>
      <c r="B250" s="115" t="s">
        <v>54</v>
      </c>
      <c r="C250" s="116" t="s">
        <v>57</v>
      </c>
      <c r="D250" s="115" t="s">
        <v>60</v>
      </c>
      <c r="E250" s="119" t="s">
        <v>1566</v>
      </c>
      <c r="F250" s="118" t="s">
        <v>61</v>
      </c>
      <c r="G250" s="118" t="s">
        <v>69</v>
      </c>
      <c r="H250" s="118" t="s">
        <v>609</v>
      </c>
      <c r="I250" s="120">
        <v>12416666</v>
      </c>
      <c r="J250" s="118"/>
      <c r="K250" s="121"/>
      <c r="L250" s="121"/>
      <c r="M250" s="122">
        <f t="shared" si="3"/>
        <v>12416666</v>
      </c>
      <c r="N250" s="117">
        <v>1082907569</v>
      </c>
      <c r="O250" s="123" t="s">
        <v>1567</v>
      </c>
      <c r="P250" s="116" t="s">
        <v>1568</v>
      </c>
      <c r="Q250" s="124">
        <v>45131</v>
      </c>
      <c r="R250" s="124">
        <v>45131</v>
      </c>
      <c r="S250" s="124">
        <v>45282</v>
      </c>
      <c r="T250" s="125" t="s">
        <v>612</v>
      </c>
      <c r="U250" s="124"/>
      <c r="V250" s="124"/>
      <c r="W250" s="126"/>
      <c r="X250" s="127"/>
      <c r="Y250" s="121">
        <v>0</v>
      </c>
      <c r="Z250" s="120">
        <v>12416666</v>
      </c>
      <c r="AA250" s="139">
        <v>0</v>
      </c>
      <c r="AB250" s="119">
        <v>63563343</v>
      </c>
      <c r="AC250" s="136" t="s">
        <v>1372</v>
      </c>
      <c r="AD250" s="116"/>
      <c r="AE250" s="116"/>
      <c r="AF250" s="125"/>
      <c r="AG250" s="140" t="s">
        <v>1569</v>
      </c>
      <c r="AH250" s="119" t="s">
        <v>192</v>
      </c>
      <c r="AI250" s="119" t="s">
        <v>192</v>
      </c>
    </row>
    <row r="251" spans="1:35" s="130" customFormat="1" ht="17.25" customHeight="1" x14ac:dyDescent="0.25">
      <c r="A251" s="114">
        <v>891780111</v>
      </c>
      <c r="B251" s="115" t="s">
        <v>54</v>
      </c>
      <c r="C251" s="116" t="s">
        <v>57</v>
      </c>
      <c r="D251" s="115" t="s">
        <v>60</v>
      </c>
      <c r="E251" s="119" t="s">
        <v>1570</v>
      </c>
      <c r="F251" s="118" t="s">
        <v>61</v>
      </c>
      <c r="G251" s="118" t="s">
        <v>69</v>
      </c>
      <c r="H251" s="118" t="s">
        <v>609</v>
      </c>
      <c r="I251" s="120">
        <v>4700000</v>
      </c>
      <c r="J251" s="118"/>
      <c r="K251" s="121"/>
      <c r="L251" s="121"/>
      <c r="M251" s="122">
        <f t="shared" si="3"/>
        <v>4700000</v>
      </c>
      <c r="N251" s="117">
        <v>71676049</v>
      </c>
      <c r="O251" s="123" t="s">
        <v>697</v>
      </c>
      <c r="P251" s="116" t="s">
        <v>1571</v>
      </c>
      <c r="Q251" s="124">
        <v>45131</v>
      </c>
      <c r="R251" s="124">
        <v>45131</v>
      </c>
      <c r="S251" s="124">
        <v>45161</v>
      </c>
      <c r="T251" s="125" t="s">
        <v>612</v>
      </c>
      <c r="U251" s="124"/>
      <c r="V251" s="124"/>
      <c r="W251" s="126"/>
      <c r="X251" s="127"/>
      <c r="Y251" s="121">
        <v>0</v>
      </c>
      <c r="Z251" s="120">
        <v>4700000</v>
      </c>
      <c r="AA251" s="139">
        <v>0</v>
      </c>
      <c r="AB251" s="119">
        <v>39049658</v>
      </c>
      <c r="AC251" s="136" t="s">
        <v>1157</v>
      </c>
      <c r="AD251" s="116"/>
      <c r="AE251" s="116"/>
      <c r="AF251" s="125"/>
      <c r="AG251" s="140" t="s">
        <v>1572</v>
      </c>
      <c r="AH251" s="119" t="s">
        <v>192</v>
      </c>
      <c r="AI251" s="119" t="s">
        <v>192</v>
      </c>
    </row>
    <row r="252" spans="1:35" s="130" customFormat="1" ht="17.25" customHeight="1" x14ac:dyDescent="0.25">
      <c r="A252" s="114">
        <v>891780111</v>
      </c>
      <c r="B252" s="115" t="s">
        <v>54</v>
      </c>
      <c r="C252" s="116" t="s">
        <v>57</v>
      </c>
      <c r="D252" s="115" t="s">
        <v>60</v>
      </c>
      <c r="E252" s="119" t="s">
        <v>1573</v>
      </c>
      <c r="F252" s="118" t="s">
        <v>61</v>
      </c>
      <c r="G252" s="118" t="s">
        <v>69</v>
      </c>
      <c r="H252" s="118" t="s">
        <v>609</v>
      </c>
      <c r="I252" s="120">
        <v>18000000</v>
      </c>
      <c r="J252" s="118"/>
      <c r="K252" s="121"/>
      <c r="L252" s="121"/>
      <c r="M252" s="122">
        <f t="shared" si="3"/>
        <v>18000000</v>
      </c>
      <c r="N252" s="117">
        <v>1082964235</v>
      </c>
      <c r="O252" s="123" t="s">
        <v>1574</v>
      </c>
      <c r="P252" s="116" t="s">
        <v>1575</v>
      </c>
      <c r="Q252" s="124">
        <v>45134</v>
      </c>
      <c r="R252" s="124">
        <v>45134</v>
      </c>
      <c r="S252" s="124">
        <v>45286</v>
      </c>
      <c r="T252" s="125" t="s">
        <v>612</v>
      </c>
      <c r="U252" s="124"/>
      <c r="V252" s="124"/>
      <c r="W252" s="126"/>
      <c r="X252" s="127"/>
      <c r="Y252" s="121">
        <v>0</v>
      </c>
      <c r="Z252" s="120">
        <v>18000000</v>
      </c>
      <c r="AA252" s="139">
        <v>0</v>
      </c>
      <c r="AB252" s="119">
        <v>52389076</v>
      </c>
      <c r="AC252" s="136" t="s">
        <v>970</v>
      </c>
      <c r="AD252" s="116"/>
      <c r="AE252" s="116"/>
      <c r="AF252" s="125"/>
      <c r="AG252" s="140" t="s">
        <v>1576</v>
      </c>
      <c r="AH252" s="119" t="s">
        <v>192</v>
      </c>
      <c r="AI252" s="119" t="s">
        <v>192</v>
      </c>
    </row>
    <row r="253" spans="1:35" s="130" customFormat="1" ht="17.25" customHeight="1" x14ac:dyDescent="0.25">
      <c r="A253" s="114">
        <v>891780111</v>
      </c>
      <c r="B253" s="115" t="s">
        <v>54</v>
      </c>
      <c r="C253" s="116" t="s">
        <v>57</v>
      </c>
      <c r="D253" s="115" t="s">
        <v>60</v>
      </c>
      <c r="E253" s="119" t="s">
        <v>1577</v>
      </c>
      <c r="F253" s="118" t="s">
        <v>61</v>
      </c>
      <c r="G253" s="118" t="s">
        <v>69</v>
      </c>
      <c r="H253" s="118" t="s">
        <v>73</v>
      </c>
      <c r="I253" s="133">
        <v>11000000</v>
      </c>
      <c r="J253" s="118"/>
      <c r="K253" s="121"/>
      <c r="L253" s="121"/>
      <c r="M253" s="122">
        <f t="shared" si="3"/>
        <v>11000000</v>
      </c>
      <c r="N253" s="119">
        <v>1079915385</v>
      </c>
      <c r="O253" s="119" t="s">
        <v>1578</v>
      </c>
      <c r="P253" s="116" t="s">
        <v>1579</v>
      </c>
      <c r="Q253" s="124">
        <v>44959</v>
      </c>
      <c r="R253" s="124">
        <v>44959</v>
      </c>
      <c r="S253" s="124">
        <v>45107</v>
      </c>
      <c r="T253" s="125" t="s">
        <v>612</v>
      </c>
      <c r="U253" s="124"/>
      <c r="V253" s="124"/>
      <c r="W253" s="126"/>
      <c r="X253" s="127"/>
      <c r="Y253" s="121">
        <v>11000000</v>
      </c>
      <c r="Z253" s="120">
        <v>0</v>
      </c>
      <c r="AA253" s="139">
        <v>1</v>
      </c>
      <c r="AB253" s="119">
        <v>57294316</v>
      </c>
      <c r="AC253" s="119" t="s">
        <v>669</v>
      </c>
      <c r="AD253" s="116"/>
      <c r="AE253" s="116"/>
      <c r="AF253" s="125"/>
      <c r="AG253" s="129" t="s">
        <v>1580</v>
      </c>
      <c r="AH253" s="119" t="s">
        <v>192</v>
      </c>
      <c r="AI253" s="119" t="s">
        <v>192</v>
      </c>
    </row>
    <row r="254" spans="1:35" s="130" customFormat="1" ht="17.25" customHeight="1" x14ac:dyDescent="0.25">
      <c r="A254" s="114">
        <v>891780111</v>
      </c>
      <c r="B254" s="115" t="s">
        <v>54</v>
      </c>
      <c r="C254" s="116" t="s">
        <v>57</v>
      </c>
      <c r="D254" s="115" t="s">
        <v>60</v>
      </c>
      <c r="E254" s="119" t="s">
        <v>1581</v>
      </c>
      <c r="F254" s="118" t="s">
        <v>61</v>
      </c>
      <c r="G254" s="118" t="s">
        <v>69</v>
      </c>
      <c r="H254" s="118" t="s">
        <v>73</v>
      </c>
      <c r="I254" s="133">
        <v>7000000</v>
      </c>
      <c r="J254" s="118"/>
      <c r="K254" s="121"/>
      <c r="L254" s="121"/>
      <c r="M254" s="122">
        <f t="shared" si="3"/>
        <v>7000000</v>
      </c>
      <c r="N254" s="123" t="s">
        <v>1582</v>
      </c>
      <c r="O254" s="123" t="s">
        <v>1210</v>
      </c>
      <c r="P254" s="116" t="s">
        <v>1583</v>
      </c>
      <c r="Q254" s="124">
        <v>44964</v>
      </c>
      <c r="R254" s="124">
        <v>44964</v>
      </c>
      <c r="S254" s="124">
        <v>45076</v>
      </c>
      <c r="T254" s="125" t="s">
        <v>612</v>
      </c>
      <c r="U254" s="124"/>
      <c r="V254" s="124"/>
      <c r="W254" s="126"/>
      <c r="X254" s="127"/>
      <c r="Y254" s="121">
        <v>7000000</v>
      </c>
      <c r="Z254" s="120">
        <v>0</v>
      </c>
      <c r="AA254" s="139">
        <v>1</v>
      </c>
      <c r="AB254" s="119">
        <v>39049658</v>
      </c>
      <c r="AC254" s="118" t="s">
        <v>930</v>
      </c>
      <c r="AD254" s="116"/>
      <c r="AE254" s="116"/>
      <c r="AF254" s="125"/>
      <c r="AG254" s="129" t="s">
        <v>1584</v>
      </c>
      <c r="AH254" s="119" t="s">
        <v>192</v>
      </c>
      <c r="AI254" s="119" t="s">
        <v>192</v>
      </c>
    </row>
    <row r="255" spans="1:35" s="130" customFormat="1" ht="17.25" customHeight="1" x14ac:dyDescent="0.25">
      <c r="A255" s="114">
        <v>891780111</v>
      </c>
      <c r="B255" s="115" t="s">
        <v>54</v>
      </c>
      <c r="C255" s="116" t="s">
        <v>57</v>
      </c>
      <c r="D255" s="115" t="s">
        <v>60</v>
      </c>
      <c r="E255" s="119" t="s">
        <v>1585</v>
      </c>
      <c r="F255" s="118" t="s">
        <v>61</v>
      </c>
      <c r="G255" s="118" t="s">
        <v>69</v>
      </c>
      <c r="H255" s="118" t="s">
        <v>73</v>
      </c>
      <c r="I255" s="133">
        <v>10000000</v>
      </c>
      <c r="J255" s="118"/>
      <c r="K255" s="121"/>
      <c r="L255" s="121"/>
      <c r="M255" s="122">
        <f t="shared" si="3"/>
        <v>10000000</v>
      </c>
      <c r="N255" s="123" t="s">
        <v>1586</v>
      </c>
      <c r="O255" s="123" t="s">
        <v>1587</v>
      </c>
      <c r="P255" s="116" t="s">
        <v>1588</v>
      </c>
      <c r="Q255" s="124">
        <v>44966</v>
      </c>
      <c r="R255" s="124">
        <v>44966</v>
      </c>
      <c r="S255" s="124">
        <v>45077</v>
      </c>
      <c r="T255" s="125" t="s">
        <v>612</v>
      </c>
      <c r="U255" s="124"/>
      <c r="V255" s="124"/>
      <c r="W255" s="126">
        <v>45107</v>
      </c>
      <c r="X255" s="127">
        <v>1</v>
      </c>
      <c r="Y255" s="121">
        <v>10000000</v>
      </c>
      <c r="Z255" s="120">
        <v>0</v>
      </c>
      <c r="AA255" s="139">
        <v>1</v>
      </c>
      <c r="AB255" s="119">
        <v>85155551</v>
      </c>
      <c r="AC255" s="118" t="s">
        <v>648</v>
      </c>
      <c r="AD255" s="116"/>
      <c r="AE255" s="116"/>
      <c r="AF255" s="125"/>
      <c r="AG255" s="129" t="s">
        <v>1589</v>
      </c>
      <c r="AH255" s="119" t="s">
        <v>192</v>
      </c>
      <c r="AI255" s="119" t="s">
        <v>192</v>
      </c>
    </row>
    <row r="256" spans="1:35" s="130" customFormat="1" ht="17.25" customHeight="1" x14ac:dyDescent="0.25">
      <c r="A256" s="114">
        <v>891780111</v>
      </c>
      <c r="B256" s="115" t="s">
        <v>54</v>
      </c>
      <c r="C256" s="116" t="s">
        <v>57</v>
      </c>
      <c r="D256" s="115" t="s">
        <v>60</v>
      </c>
      <c r="E256" s="119" t="s">
        <v>1590</v>
      </c>
      <c r="F256" s="118" t="s">
        <v>61</v>
      </c>
      <c r="G256" s="118" t="s">
        <v>69</v>
      </c>
      <c r="H256" s="118" t="s">
        <v>73</v>
      </c>
      <c r="I256" s="133">
        <v>11500000</v>
      </c>
      <c r="J256" s="118"/>
      <c r="K256" s="121"/>
      <c r="L256" s="121"/>
      <c r="M256" s="122">
        <f t="shared" si="3"/>
        <v>11500000</v>
      </c>
      <c r="N256" s="123" t="s">
        <v>1591</v>
      </c>
      <c r="O256" s="123" t="s">
        <v>1592</v>
      </c>
      <c r="P256" s="116" t="s">
        <v>1593</v>
      </c>
      <c r="Q256" s="124">
        <v>44970</v>
      </c>
      <c r="R256" s="124">
        <v>44970</v>
      </c>
      <c r="S256" s="124">
        <v>45107</v>
      </c>
      <c r="T256" s="125" t="s">
        <v>612</v>
      </c>
      <c r="U256" s="124"/>
      <c r="V256" s="124"/>
      <c r="W256" s="126"/>
      <c r="X256" s="127"/>
      <c r="Y256" s="121">
        <v>11500000</v>
      </c>
      <c r="Z256" s="120">
        <v>0</v>
      </c>
      <c r="AA256" s="139">
        <v>1</v>
      </c>
      <c r="AB256" s="119">
        <v>36665858</v>
      </c>
      <c r="AC256" s="123" t="s">
        <v>1594</v>
      </c>
      <c r="AD256" s="116"/>
      <c r="AE256" s="116"/>
      <c r="AF256" s="125"/>
      <c r="AG256" s="140" t="s">
        <v>1595</v>
      </c>
      <c r="AH256" s="119" t="s">
        <v>192</v>
      </c>
      <c r="AI256" s="119" t="s">
        <v>192</v>
      </c>
    </row>
    <row r="257" spans="1:35" s="130" customFormat="1" ht="17.25" customHeight="1" x14ac:dyDescent="0.25">
      <c r="A257" s="114">
        <v>891780111</v>
      </c>
      <c r="B257" s="115" t="s">
        <v>54</v>
      </c>
      <c r="C257" s="116" t="s">
        <v>57</v>
      </c>
      <c r="D257" s="115" t="s">
        <v>60</v>
      </c>
      <c r="E257" s="119" t="s">
        <v>1596</v>
      </c>
      <c r="F257" s="118" t="s">
        <v>61</v>
      </c>
      <c r="G257" s="118" t="s">
        <v>69</v>
      </c>
      <c r="H257" s="118" t="s">
        <v>73</v>
      </c>
      <c r="I257" s="142">
        <v>18000000</v>
      </c>
      <c r="J257" s="118"/>
      <c r="K257" s="121"/>
      <c r="L257" s="121"/>
      <c r="M257" s="122">
        <f t="shared" si="3"/>
        <v>18000000</v>
      </c>
      <c r="N257" s="119">
        <v>1082912748</v>
      </c>
      <c r="O257" s="119" t="s">
        <v>1597</v>
      </c>
      <c r="P257" s="116" t="s">
        <v>1598</v>
      </c>
      <c r="Q257" s="124">
        <v>45029</v>
      </c>
      <c r="R257" s="124">
        <v>45029</v>
      </c>
      <c r="S257" s="124">
        <v>45275</v>
      </c>
      <c r="T257" s="125" t="s">
        <v>612</v>
      </c>
      <c r="U257" s="124"/>
      <c r="V257" s="124"/>
      <c r="W257" s="126"/>
      <c r="X257" s="127"/>
      <c r="Y257" s="121">
        <v>6000000</v>
      </c>
      <c r="Z257" s="120">
        <v>12000000</v>
      </c>
      <c r="AA257" s="139">
        <v>0.33333333333333337</v>
      </c>
      <c r="AB257" s="119">
        <v>19474750</v>
      </c>
      <c r="AC257" s="123" t="s">
        <v>1599</v>
      </c>
      <c r="AD257" s="116"/>
      <c r="AE257" s="116"/>
      <c r="AF257" s="125"/>
      <c r="AG257" s="129" t="s">
        <v>1600</v>
      </c>
      <c r="AH257" s="119" t="s">
        <v>192</v>
      </c>
      <c r="AI257" s="119" t="s">
        <v>192</v>
      </c>
    </row>
    <row r="258" spans="1:35" s="130" customFormat="1" ht="17.25" customHeight="1" x14ac:dyDescent="0.25">
      <c r="A258" s="114">
        <v>891780111</v>
      </c>
      <c r="B258" s="115" t="s">
        <v>54</v>
      </c>
      <c r="C258" s="116" t="s">
        <v>57</v>
      </c>
      <c r="D258" s="115" t="s">
        <v>60</v>
      </c>
      <c r="E258" s="119" t="s">
        <v>1601</v>
      </c>
      <c r="F258" s="118" t="s">
        <v>61</v>
      </c>
      <c r="G258" s="118" t="s">
        <v>69</v>
      </c>
      <c r="H258" s="118" t="s">
        <v>73</v>
      </c>
      <c r="I258" s="142">
        <v>5000000</v>
      </c>
      <c r="J258" s="118"/>
      <c r="K258" s="121"/>
      <c r="L258" s="121"/>
      <c r="M258" s="122">
        <f t="shared" si="3"/>
        <v>5000000</v>
      </c>
      <c r="N258" s="119">
        <v>1143403843</v>
      </c>
      <c r="O258" s="119" t="s">
        <v>1469</v>
      </c>
      <c r="P258" s="116" t="s">
        <v>1602</v>
      </c>
      <c r="Q258" s="124">
        <v>45042</v>
      </c>
      <c r="R258" s="124">
        <v>45042</v>
      </c>
      <c r="S258" s="124">
        <v>45102</v>
      </c>
      <c r="T258" s="125" t="s">
        <v>612</v>
      </c>
      <c r="U258" s="124"/>
      <c r="V258" s="124"/>
      <c r="W258" s="126"/>
      <c r="X258" s="127"/>
      <c r="Y258" s="121">
        <v>5000000</v>
      </c>
      <c r="Z258" s="120">
        <v>0</v>
      </c>
      <c r="AA258" s="139">
        <v>1</v>
      </c>
      <c r="AB258" s="119">
        <v>52389076</v>
      </c>
      <c r="AC258" s="123" t="s">
        <v>864</v>
      </c>
      <c r="AD258" s="116"/>
      <c r="AE258" s="116"/>
      <c r="AF258" s="125"/>
      <c r="AG258" s="140" t="s">
        <v>1603</v>
      </c>
      <c r="AH258" s="119" t="s">
        <v>192</v>
      </c>
      <c r="AI258" s="119" t="s">
        <v>192</v>
      </c>
    </row>
    <row r="259" spans="1:35" s="130" customFormat="1" ht="17.25" customHeight="1" x14ac:dyDescent="0.25">
      <c r="A259" s="114">
        <v>891780111</v>
      </c>
      <c r="B259" s="115" t="s">
        <v>54</v>
      </c>
      <c r="C259" s="116" t="s">
        <v>57</v>
      </c>
      <c r="D259" s="115" t="s">
        <v>60</v>
      </c>
      <c r="E259" s="119" t="s">
        <v>1604</v>
      </c>
      <c r="F259" s="118" t="s">
        <v>61</v>
      </c>
      <c r="G259" s="118" t="s">
        <v>69</v>
      </c>
      <c r="H259" s="118" t="s">
        <v>73</v>
      </c>
      <c r="I259" s="133">
        <v>3000000</v>
      </c>
      <c r="J259" s="118"/>
      <c r="K259" s="121"/>
      <c r="L259" s="121"/>
      <c r="M259" s="122">
        <f t="shared" si="3"/>
        <v>3000000</v>
      </c>
      <c r="N259" s="143">
        <v>1004373899</v>
      </c>
      <c r="O259" s="119" t="s">
        <v>1605</v>
      </c>
      <c r="P259" s="116" t="s">
        <v>1606</v>
      </c>
      <c r="Q259" s="124">
        <v>45063</v>
      </c>
      <c r="R259" s="124">
        <v>45063</v>
      </c>
      <c r="S259" s="124">
        <v>45107</v>
      </c>
      <c r="T259" s="125" t="s">
        <v>612</v>
      </c>
      <c r="U259" s="124"/>
      <c r="V259" s="124"/>
      <c r="W259" s="126"/>
      <c r="X259" s="127"/>
      <c r="Y259" s="121">
        <v>1500000</v>
      </c>
      <c r="Z259" s="120">
        <v>1500000</v>
      </c>
      <c r="AA259" s="139">
        <v>0.5</v>
      </c>
      <c r="AB259" s="119">
        <v>51909946</v>
      </c>
      <c r="AC259" s="123" t="s">
        <v>1607</v>
      </c>
      <c r="AD259" s="116"/>
      <c r="AE259" s="116"/>
      <c r="AF259" s="125"/>
      <c r="AG259" s="129" t="s">
        <v>1608</v>
      </c>
      <c r="AH259" s="119" t="s">
        <v>192</v>
      </c>
      <c r="AI259" s="119" t="s">
        <v>192</v>
      </c>
    </row>
    <row r="260" spans="1:35" s="130" customFormat="1" ht="17.25" customHeight="1" x14ac:dyDescent="0.25">
      <c r="A260" s="114">
        <v>891780111</v>
      </c>
      <c r="B260" s="115" t="s">
        <v>54</v>
      </c>
      <c r="C260" s="116" t="s">
        <v>57</v>
      </c>
      <c r="D260" s="115" t="s">
        <v>60</v>
      </c>
      <c r="E260" s="119" t="s">
        <v>1609</v>
      </c>
      <c r="F260" s="118" t="s">
        <v>61</v>
      </c>
      <c r="G260" s="118" t="s">
        <v>69</v>
      </c>
      <c r="H260" s="118" t="s">
        <v>73</v>
      </c>
      <c r="I260" s="144">
        <v>13750000</v>
      </c>
      <c r="J260" s="118"/>
      <c r="K260" s="121"/>
      <c r="L260" s="121"/>
      <c r="M260" s="122">
        <f t="shared" si="3"/>
        <v>13750000</v>
      </c>
      <c r="N260" s="145" t="s">
        <v>1610</v>
      </c>
      <c r="O260" s="145" t="s">
        <v>1578</v>
      </c>
      <c r="P260" s="116" t="s">
        <v>1611</v>
      </c>
      <c r="Q260" s="124">
        <v>45111</v>
      </c>
      <c r="R260" s="124">
        <v>45111</v>
      </c>
      <c r="S260" s="124">
        <v>45275</v>
      </c>
      <c r="T260" s="125" t="s">
        <v>612</v>
      </c>
      <c r="U260" s="124"/>
      <c r="V260" s="124"/>
      <c r="W260" s="126"/>
      <c r="X260" s="127"/>
      <c r="Y260" s="121">
        <v>2500000</v>
      </c>
      <c r="Z260" s="120">
        <v>11250000</v>
      </c>
      <c r="AA260" s="139">
        <v>0.18181818181818177</v>
      </c>
      <c r="AB260" s="119">
        <v>57461852</v>
      </c>
      <c r="AC260" s="123" t="s">
        <v>1528</v>
      </c>
      <c r="AD260" s="116"/>
      <c r="AE260" s="116"/>
      <c r="AF260" s="125"/>
      <c r="AG260" s="140" t="s">
        <v>1612</v>
      </c>
      <c r="AH260" s="119" t="s">
        <v>192</v>
      </c>
      <c r="AI260" s="119" t="s">
        <v>192</v>
      </c>
    </row>
    <row r="261" spans="1:35" s="130" customFormat="1" ht="17.25" customHeight="1" x14ac:dyDescent="0.25">
      <c r="A261" s="114">
        <v>891780111</v>
      </c>
      <c r="B261" s="115" t="s">
        <v>54</v>
      </c>
      <c r="C261" s="116" t="s">
        <v>57</v>
      </c>
      <c r="D261" s="115" t="s">
        <v>60</v>
      </c>
      <c r="E261" s="119" t="s">
        <v>1613</v>
      </c>
      <c r="F261" s="118" t="s">
        <v>61</v>
      </c>
      <c r="G261" s="118" t="s">
        <v>69</v>
      </c>
      <c r="H261" s="118" t="s">
        <v>73</v>
      </c>
      <c r="I261" s="144">
        <v>10000000</v>
      </c>
      <c r="J261" s="118"/>
      <c r="K261" s="121"/>
      <c r="L261" s="121"/>
      <c r="M261" s="122">
        <f t="shared" si="3"/>
        <v>10000000</v>
      </c>
      <c r="N261" s="145" t="s">
        <v>1586</v>
      </c>
      <c r="O261" s="145" t="s">
        <v>1587</v>
      </c>
      <c r="P261" s="116" t="s">
        <v>1588</v>
      </c>
      <c r="Q261" s="124">
        <v>45113</v>
      </c>
      <c r="R261" s="124">
        <v>45113</v>
      </c>
      <c r="S261" s="124">
        <v>45230</v>
      </c>
      <c r="T261" s="125" t="s">
        <v>612</v>
      </c>
      <c r="U261" s="124"/>
      <c r="V261" s="124"/>
      <c r="W261" s="126"/>
      <c r="X261" s="127"/>
      <c r="Y261" s="121">
        <v>0</v>
      </c>
      <c r="Z261" s="120">
        <v>10000000</v>
      </c>
      <c r="AA261" s="139">
        <v>0</v>
      </c>
      <c r="AB261" s="119">
        <v>85155551</v>
      </c>
      <c r="AC261" s="118" t="s">
        <v>648</v>
      </c>
      <c r="AD261" s="116"/>
      <c r="AE261" s="116"/>
      <c r="AF261" s="125"/>
      <c r="AG261" s="140" t="s">
        <v>1614</v>
      </c>
      <c r="AH261" s="119" t="s">
        <v>192</v>
      </c>
      <c r="AI261" s="119" t="s">
        <v>192</v>
      </c>
    </row>
    <row r="262" spans="1:35" s="130" customFormat="1" ht="17.25" customHeight="1" x14ac:dyDescent="0.25">
      <c r="A262" s="114">
        <v>891780111</v>
      </c>
      <c r="B262" s="115" t="s">
        <v>54</v>
      </c>
      <c r="C262" s="116" t="s">
        <v>57</v>
      </c>
      <c r="D262" s="115" t="s">
        <v>60</v>
      </c>
      <c r="E262" s="119" t="s">
        <v>1615</v>
      </c>
      <c r="F262" s="118" t="s">
        <v>61</v>
      </c>
      <c r="G262" s="118" t="s">
        <v>69</v>
      </c>
      <c r="H262" s="118" t="s">
        <v>73</v>
      </c>
      <c r="I262" s="135">
        <v>10059945</v>
      </c>
      <c r="J262" s="118"/>
      <c r="K262" s="121"/>
      <c r="L262" s="121"/>
      <c r="M262" s="122">
        <f t="shared" ref="M262:M325" si="4">+(I262+K262)-L262</f>
        <v>10059945</v>
      </c>
      <c r="N262" s="143">
        <v>800176618</v>
      </c>
      <c r="O262" s="119" t="s">
        <v>1616</v>
      </c>
      <c r="P262" s="116" t="s">
        <v>1617</v>
      </c>
      <c r="Q262" s="124">
        <v>44970</v>
      </c>
      <c r="R262" s="124">
        <v>44970</v>
      </c>
      <c r="S262" s="124">
        <v>44985</v>
      </c>
      <c r="T262" s="125" t="s">
        <v>612</v>
      </c>
      <c r="U262" s="124"/>
      <c r="V262" s="124"/>
      <c r="W262" s="126"/>
      <c r="X262" s="127"/>
      <c r="Y262" s="121">
        <v>10059945</v>
      </c>
      <c r="Z262" s="120">
        <v>0</v>
      </c>
      <c r="AA262" s="139">
        <v>1</v>
      </c>
      <c r="AB262" s="119">
        <v>84453903</v>
      </c>
      <c r="AC262" s="119" t="s">
        <v>881</v>
      </c>
      <c r="AD262" s="116"/>
      <c r="AE262" s="116"/>
      <c r="AF262" s="125"/>
      <c r="AG262" s="140" t="s">
        <v>1618</v>
      </c>
      <c r="AH262" s="119" t="s">
        <v>192</v>
      </c>
      <c r="AI262" s="116" t="s">
        <v>191</v>
      </c>
    </row>
    <row r="263" spans="1:35" s="130" customFormat="1" ht="17.25" customHeight="1" x14ac:dyDescent="0.25">
      <c r="A263" s="114">
        <v>891780111</v>
      </c>
      <c r="B263" s="115" t="s">
        <v>54</v>
      </c>
      <c r="C263" s="116" t="s">
        <v>57</v>
      </c>
      <c r="D263" s="115" t="s">
        <v>60</v>
      </c>
      <c r="E263" s="119" t="s">
        <v>1619</v>
      </c>
      <c r="F263" s="118" t="s">
        <v>61</v>
      </c>
      <c r="G263" s="118" t="s">
        <v>69</v>
      </c>
      <c r="H263" s="118" t="s">
        <v>73</v>
      </c>
      <c r="I263" s="135">
        <v>17295753</v>
      </c>
      <c r="J263" s="118"/>
      <c r="K263" s="121"/>
      <c r="L263" s="121"/>
      <c r="M263" s="122">
        <f t="shared" si="4"/>
        <v>17295753</v>
      </c>
      <c r="N263" s="119">
        <v>860002464</v>
      </c>
      <c r="O263" s="119" t="s">
        <v>1620</v>
      </c>
      <c r="P263" s="116" t="s">
        <v>1621</v>
      </c>
      <c r="Q263" s="124">
        <v>44994</v>
      </c>
      <c r="R263" s="124">
        <v>45031</v>
      </c>
      <c r="S263" s="124">
        <v>45049</v>
      </c>
      <c r="T263" s="125" t="s">
        <v>612</v>
      </c>
      <c r="U263" s="124"/>
      <c r="V263" s="124"/>
      <c r="W263" s="126"/>
      <c r="X263" s="127"/>
      <c r="Y263" s="121">
        <v>17295753</v>
      </c>
      <c r="Z263" s="120">
        <v>0</v>
      </c>
      <c r="AA263" s="139">
        <v>1</v>
      </c>
      <c r="AB263" s="119">
        <v>85155551</v>
      </c>
      <c r="AC263" s="118" t="s">
        <v>648</v>
      </c>
      <c r="AD263" s="116"/>
      <c r="AE263" s="116"/>
      <c r="AF263" s="125"/>
      <c r="AG263" s="129" t="s">
        <v>1622</v>
      </c>
      <c r="AH263" s="119" t="s">
        <v>192</v>
      </c>
      <c r="AI263" s="116" t="s">
        <v>191</v>
      </c>
    </row>
    <row r="264" spans="1:35" s="130" customFormat="1" ht="17.25" customHeight="1" x14ac:dyDescent="0.25">
      <c r="A264" s="114">
        <v>891780111</v>
      </c>
      <c r="B264" s="115" t="s">
        <v>54</v>
      </c>
      <c r="C264" s="116" t="s">
        <v>57</v>
      </c>
      <c r="D264" s="115" t="s">
        <v>60</v>
      </c>
      <c r="E264" s="119" t="s">
        <v>1623</v>
      </c>
      <c r="F264" s="118" t="s">
        <v>61</v>
      </c>
      <c r="G264" s="118" t="s">
        <v>69</v>
      </c>
      <c r="H264" s="118" t="s">
        <v>73</v>
      </c>
      <c r="I264" s="135">
        <v>14800000</v>
      </c>
      <c r="J264" s="118"/>
      <c r="K264" s="121"/>
      <c r="L264" s="121"/>
      <c r="M264" s="122">
        <f t="shared" si="4"/>
        <v>14800000</v>
      </c>
      <c r="N264" s="119">
        <v>901551953</v>
      </c>
      <c r="O264" s="119" t="s">
        <v>1624</v>
      </c>
      <c r="P264" s="116" t="s">
        <v>1625</v>
      </c>
      <c r="Q264" s="124">
        <v>45006</v>
      </c>
      <c r="R264" s="124">
        <v>45006</v>
      </c>
      <c r="S264" s="124">
        <v>45127</v>
      </c>
      <c r="T264" s="125" t="s">
        <v>612</v>
      </c>
      <c r="U264" s="124"/>
      <c r="V264" s="124"/>
      <c r="W264" s="126"/>
      <c r="X264" s="127"/>
      <c r="Y264" s="121">
        <v>11100000</v>
      </c>
      <c r="Z264" s="120">
        <v>3700000</v>
      </c>
      <c r="AA264" s="139">
        <v>0.75</v>
      </c>
      <c r="AB264" s="119">
        <v>85155551</v>
      </c>
      <c r="AC264" s="118" t="s">
        <v>648</v>
      </c>
      <c r="AD264" s="116"/>
      <c r="AE264" s="116"/>
      <c r="AF264" s="125"/>
      <c r="AG264" s="138" t="s">
        <v>1626</v>
      </c>
      <c r="AH264" s="119" t="s">
        <v>192</v>
      </c>
      <c r="AI264" s="116" t="s">
        <v>191</v>
      </c>
    </row>
    <row r="265" spans="1:35" s="130" customFormat="1" ht="17.25" customHeight="1" x14ac:dyDescent="0.25">
      <c r="A265" s="114">
        <v>891780111</v>
      </c>
      <c r="B265" s="115" t="s">
        <v>54</v>
      </c>
      <c r="C265" s="116" t="s">
        <v>57</v>
      </c>
      <c r="D265" s="115" t="s">
        <v>60</v>
      </c>
      <c r="E265" s="119" t="s">
        <v>1627</v>
      </c>
      <c r="F265" s="118" t="s">
        <v>61</v>
      </c>
      <c r="G265" s="118" t="s">
        <v>69</v>
      </c>
      <c r="H265" s="118" t="s">
        <v>73</v>
      </c>
      <c r="I265" s="135">
        <v>60000000</v>
      </c>
      <c r="J265" s="118"/>
      <c r="K265" s="121"/>
      <c r="L265" s="121"/>
      <c r="M265" s="122">
        <f t="shared" si="4"/>
        <v>60000000</v>
      </c>
      <c r="N265" s="117">
        <v>800176618</v>
      </c>
      <c r="O265" s="119" t="s">
        <v>1628</v>
      </c>
      <c r="P265" s="116" t="s">
        <v>1629</v>
      </c>
      <c r="Q265" s="124">
        <v>45012</v>
      </c>
      <c r="R265" s="124">
        <v>45012</v>
      </c>
      <c r="S265" s="124">
        <v>45289</v>
      </c>
      <c r="T265" s="125" t="s">
        <v>612</v>
      </c>
      <c r="U265" s="124"/>
      <c r="V265" s="124"/>
      <c r="W265" s="126"/>
      <c r="X265" s="127"/>
      <c r="Y265" s="121">
        <v>58272781</v>
      </c>
      <c r="Z265" s="120">
        <v>1727219</v>
      </c>
      <c r="AA265" s="128">
        <v>0.97121301666666671</v>
      </c>
      <c r="AB265" s="119">
        <v>85155551</v>
      </c>
      <c r="AC265" s="118" t="s">
        <v>648</v>
      </c>
      <c r="AD265" s="116"/>
      <c r="AE265" s="116"/>
      <c r="AF265" s="125"/>
      <c r="AG265" s="146" t="s">
        <v>1630</v>
      </c>
      <c r="AH265" s="119" t="s">
        <v>192</v>
      </c>
      <c r="AI265" s="116" t="s">
        <v>191</v>
      </c>
    </row>
    <row r="266" spans="1:35" s="130" customFormat="1" ht="17.25" customHeight="1" x14ac:dyDescent="0.25">
      <c r="A266" s="114">
        <v>891780111</v>
      </c>
      <c r="B266" s="115" t="s">
        <v>54</v>
      </c>
      <c r="C266" s="116" t="s">
        <v>57</v>
      </c>
      <c r="D266" s="115" t="s">
        <v>60</v>
      </c>
      <c r="E266" s="119" t="s">
        <v>1631</v>
      </c>
      <c r="F266" s="118" t="s">
        <v>61</v>
      </c>
      <c r="G266" s="118" t="s">
        <v>69</v>
      </c>
      <c r="H266" s="118" t="s">
        <v>73</v>
      </c>
      <c r="I266" s="135">
        <v>16000000</v>
      </c>
      <c r="J266" s="118"/>
      <c r="K266" s="121"/>
      <c r="L266" s="121"/>
      <c r="M266" s="122">
        <f t="shared" si="4"/>
        <v>16000000</v>
      </c>
      <c r="N266" s="119">
        <v>860074520</v>
      </c>
      <c r="O266" s="119" t="s">
        <v>1632</v>
      </c>
      <c r="P266" s="116" t="s">
        <v>1633</v>
      </c>
      <c r="Q266" s="124">
        <v>45029</v>
      </c>
      <c r="R266" s="124">
        <v>45034</v>
      </c>
      <c r="S266" s="124">
        <v>45048</v>
      </c>
      <c r="T266" s="125" t="s">
        <v>612</v>
      </c>
      <c r="U266" s="124"/>
      <c r="V266" s="124"/>
      <c r="W266" s="126"/>
      <c r="X266" s="127"/>
      <c r="Y266" s="121">
        <v>16000000</v>
      </c>
      <c r="Z266" s="120">
        <v>0</v>
      </c>
      <c r="AA266" s="128">
        <v>1</v>
      </c>
      <c r="AB266" s="119">
        <v>860074520</v>
      </c>
      <c r="AC266" s="119" t="s">
        <v>1632</v>
      </c>
      <c r="AD266" s="116"/>
      <c r="AE266" s="116"/>
      <c r="AF266" s="125"/>
      <c r="AG266" s="129" t="s">
        <v>1634</v>
      </c>
      <c r="AH266" s="119" t="s">
        <v>192</v>
      </c>
      <c r="AI266" s="116" t="s">
        <v>191</v>
      </c>
    </row>
    <row r="267" spans="1:35" s="130" customFormat="1" ht="17.25" customHeight="1" x14ac:dyDescent="0.25">
      <c r="A267" s="114">
        <v>891780111</v>
      </c>
      <c r="B267" s="115" t="s">
        <v>54</v>
      </c>
      <c r="C267" s="116" t="s">
        <v>57</v>
      </c>
      <c r="D267" s="115" t="s">
        <v>60</v>
      </c>
      <c r="E267" s="119" t="s">
        <v>1635</v>
      </c>
      <c r="F267" s="118" t="s">
        <v>61</v>
      </c>
      <c r="G267" s="118" t="s">
        <v>69</v>
      </c>
      <c r="H267" s="118" t="s">
        <v>73</v>
      </c>
      <c r="I267" s="137">
        <v>29501022</v>
      </c>
      <c r="J267" s="118"/>
      <c r="K267" s="121"/>
      <c r="L267" s="121"/>
      <c r="M267" s="122">
        <f t="shared" si="4"/>
        <v>29501022</v>
      </c>
      <c r="N267" s="119">
        <v>901159454</v>
      </c>
      <c r="O267" s="119" t="s">
        <v>1636</v>
      </c>
      <c r="P267" s="116" t="s">
        <v>1637</v>
      </c>
      <c r="Q267" s="124">
        <v>45029</v>
      </c>
      <c r="R267" s="124">
        <v>45029</v>
      </c>
      <c r="S267" s="124">
        <v>45058</v>
      </c>
      <c r="T267" s="125" t="s">
        <v>612</v>
      </c>
      <c r="U267" s="124"/>
      <c r="V267" s="124"/>
      <c r="W267" s="126"/>
      <c r="X267" s="127"/>
      <c r="Y267" s="121">
        <v>0</v>
      </c>
      <c r="Z267" s="120">
        <v>29501022</v>
      </c>
      <c r="AA267" s="128">
        <v>0</v>
      </c>
      <c r="AB267" s="119">
        <v>7633817</v>
      </c>
      <c r="AC267" s="119" t="s">
        <v>1638</v>
      </c>
      <c r="AD267" s="116"/>
      <c r="AE267" s="116"/>
      <c r="AF267" s="125"/>
      <c r="AG267" s="129" t="s">
        <v>1639</v>
      </c>
      <c r="AH267" s="119" t="s">
        <v>192</v>
      </c>
      <c r="AI267" s="116" t="s">
        <v>191</v>
      </c>
    </row>
    <row r="268" spans="1:35" s="130" customFormat="1" ht="17.25" customHeight="1" x14ac:dyDescent="0.25">
      <c r="A268" s="114">
        <v>891780111</v>
      </c>
      <c r="B268" s="115" t="s">
        <v>54</v>
      </c>
      <c r="C268" s="116" t="s">
        <v>57</v>
      </c>
      <c r="D268" s="115" t="s">
        <v>60</v>
      </c>
      <c r="E268" s="119" t="s">
        <v>1640</v>
      </c>
      <c r="F268" s="118" t="s">
        <v>61</v>
      </c>
      <c r="G268" s="118" t="s">
        <v>69</v>
      </c>
      <c r="H268" s="118" t="s">
        <v>73</v>
      </c>
      <c r="I268" s="137">
        <v>4000000</v>
      </c>
      <c r="J268" s="118"/>
      <c r="K268" s="121"/>
      <c r="L268" s="121"/>
      <c r="M268" s="122">
        <f t="shared" si="4"/>
        <v>4000000</v>
      </c>
      <c r="N268" s="143">
        <v>901098030</v>
      </c>
      <c r="O268" s="119" t="s">
        <v>1641</v>
      </c>
      <c r="P268" s="116" t="s">
        <v>1642</v>
      </c>
      <c r="Q268" s="124">
        <v>45121</v>
      </c>
      <c r="R268" s="124">
        <v>45121</v>
      </c>
      <c r="S268" s="124">
        <v>45151</v>
      </c>
      <c r="T268" s="125" t="s">
        <v>612</v>
      </c>
      <c r="U268" s="124"/>
      <c r="V268" s="124"/>
      <c r="W268" s="126"/>
      <c r="X268" s="127"/>
      <c r="Y268" s="121">
        <v>0</v>
      </c>
      <c r="Z268" s="120">
        <v>4000000</v>
      </c>
      <c r="AA268" s="128">
        <v>0</v>
      </c>
      <c r="AB268" s="119">
        <v>79849942</v>
      </c>
      <c r="AC268" s="119" t="s">
        <v>1643</v>
      </c>
      <c r="AD268" s="116"/>
      <c r="AE268" s="116"/>
      <c r="AF268" s="125"/>
      <c r="AG268" s="138" t="s">
        <v>1644</v>
      </c>
      <c r="AH268" s="119" t="s">
        <v>192</v>
      </c>
      <c r="AI268" s="116" t="s">
        <v>191</v>
      </c>
    </row>
    <row r="269" spans="1:35" s="130" customFormat="1" ht="17.25" customHeight="1" x14ac:dyDescent="0.25">
      <c r="A269" s="114">
        <v>891780111</v>
      </c>
      <c r="B269" s="115" t="s">
        <v>54</v>
      </c>
      <c r="C269" s="116" t="s">
        <v>57</v>
      </c>
      <c r="D269" s="115" t="s">
        <v>60</v>
      </c>
      <c r="E269" s="119" t="s">
        <v>1645</v>
      </c>
      <c r="F269" s="118" t="s">
        <v>61</v>
      </c>
      <c r="G269" s="118" t="s">
        <v>69</v>
      </c>
      <c r="H269" s="118" t="s">
        <v>79</v>
      </c>
      <c r="I269" s="135">
        <v>11160000</v>
      </c>
      <c r="J269" s="118"/>
      <c r="K269" s="121"/>
      <c r="L269" s="121"/>
      <c r="M269" s="122">
        <f t="shared" si="4"/>
        <v>11160000</v>
      </c>
      <c r="N269" s="119">
        <v>85469041</v>
      </c>
      <c r="O269" s="119" t="s">
        <v>1646</v>
      </c>
      <c r="P269" s="116" t="s">
        <v>1647</v>
      </c>
      <c r="Q269" s="124">
        <v>44979</v>
      </c>
      <c r="R269" s="124">
        <v>44979</v>
      </c>
      <c r="S269" s="124">
        <v>45343</v>
      </c>
      <c r="T269" s="125" t="s">
        <v>612</v>
      </c>
      <c r="U269" s="124"/>
      <c r="V269" s="124"/>
      <c r="W269" s="126"/>
      <c r="X269" s="127"/>
      <c r="Y269" s="121">
        <v>3720000</v>
      </c>
      <c r="Z269" s="120">
        <v>7440000</v>
      </c>
      <c r="AA269" s="128">
        <v>0.33333333333333337</v>
      </c>
      <c r="AB269" s="119">
        <v>85155551</v>
      </c>
      <c r="AC269" s="123" t="s">
        <v>648</v>
      </c>
      <c r="AD269" s="116"/>
      <c r="AE269" s="116"/>
      <c r="AF269" s="125"/>
      <c r="AG269" s="140" t="s">
        <v>1648</v>
      </c>
      <c r="AH269" s="119" t="s">
        <v>192</v>
      </c>
      <c r="AI269" s="116" t="s">
        <v>191</v>
      </c>
    </row>
    <row r="270" spans="1:35" s="130" customFormat="1" ht="17.25" customHeight="1" x14ac:dyDescent="0.25">
      <c r="A270" s="114">
        <v>891780111</v>
      </c>
      <c r="B270" s="115" t="s">
        <v>54</v>
      </c>
      <c r="C270" s="116" t="s">
        <v>57</v>
      </c>
      <c r="D270" s="115" t="s">
        <v>60</v>
      </c>
      <c r="E270" s="119" t="s">
        <v>1649</v>
      </c>
      <c r="F270" s="118" t="s">
        <v>61</v>
      </c>
      <c r="G270" s="118" t="s">
        <v>69</v>
      </c>
      <c r="H270" s="118" t="s">
        <v>79</v>
      </c>
      <c r="I270" s="135">
        <v>12000000</v>
      </c>
      <c r="J270" s="118"/>
      <c r="K270" s="121"/>
      <c r="L270" s="121"/>
      <c r="M270" s="122">
        <f t="shared" si="4"/>
        <v>12000000</v>
      </c>
      <c r="N270" s="119">
        <v>85469041</v>
      </c>
      <c r="O270" s="119" t="s">
        <v>1646</v>
      </c>
      <c r="P270" s="116" t="s">
        <v>1650</v>
      </c>
      <c r="Q270" s="124">
        <v>45002</v>
      </c>
      <c r="R270" s="124">
        <v>45002</v>
      </c>
      <c r="S270" s="124">
        <v>45376</v>
      </c>
      <c r="T270" s="125" t="s">
        <v>612</v>
      </c>
      <c r="U270" s="124"/>
      <c r="V270" s="124"/>
      <c r="W270" s="126"/>
      <c r="X270" s="127"/>
      <c r="Y270" s="121">
        <v>2123892</v>
      </c>
      <c r="Z270" s="120">
        <v>9876108</v>
      </c>
      <c r="AA270" s="128">
        <v>0.17699100000000001</v>
      </c>
      <c r="AB270" s="119">
        <v>1082903415</v>
      </c>
      <c r="AC270" s="123" t="s">
        <v>643</v>
      </c>
      <c r="AD270" s="116"/>
      <c r="AE270" s="116"/>
      <c r="AF270" s="125"/>
      <c r="AG270" s="140" t="s">
        <v>1651</v>
      </c>
      <c r="AH270" s="119" t="s">
        <v>192</v>
      </c>
      <c r="AI270" s="116" t="s">
        <v>191</v>
      </c>
    </row>
    <row r="271" spans="1:35" s="130" customFormat="1" ht="17.25" customHeight="1" x14ac:dyDescent="0.25">
      <c r="A271" s="114">
        <v>891780111</v>
      </c>
      <c r="B271" s="115" t="s">
        <v>54</v>
      </c>
      <c r="C271" s="116" t="s">
        <v>57</v>
      </c>
      <c r="D271" s="115" t="s">
        <v>60</v>
      </c>
      <c r="E271" s="119" t="s">
        <v>1652</v>
      </c>
      <c r="F271" s="118" t="s">
        <v>61</v>
      </c>
      <c r="G271" s="118" t="s">
        <v>69</v>
      </c>
      <c r="H271" s="118" t="s">
        <v>79</v>
      </c>
      <c r="I271" s="135">
        <v>12000000</v>
      </c>
      <c r="J271" s="118"/>
      <c r="K271" s="121"/>
      <c r="L271" s="121"/>
      <c r="M271" s="122">
        <f t="shared" si="4"/>
        <v>12000000</v>
      </c>
      <c r="N271" s="119">
        <v>85469041</v>
      </c>
      <c r="O271" s="119" t="s">
        <v>1646</v>
      </c>
      <c r="P271" s="116" t="s">
        <v>1653</v>
      </c>
      <c r="Q271" s="124">
        <v>45006</v>
      </c>
      <c r="R271" s="124">
        <v>45006</v>
      </c>
      <c r="S271" s="124">
        <v>45350</v>
      </c>
      <c r="T271" s="125" t="s">
        <v>612</v>
      </c>
      <c r="U271" s="124"/>
      <c r="V271" s="124"/>
      <c r="W271" s="126"/>
      <c r="X271" s="127"/>
      <c r="Y271" s="121">
        <v>2123892</v>
      </c>
      <c r="Z271" s="120">
        <v>9876108</v>
      </c>
      <c r="AA271" s="128">
        <v>0.17699100000000001</v>
      </c>
      <c r="AB271" s="119">
        <v>84452442</v>
      </c>
      <c r="AC271" s="123" t="s">
        <v>1654</v>
      </c>
      <c r="AD271" s="116"/>
      <c r="AE271" s="116"/>
      <c r="AF271" s="125"/>
      <c r="AG271" s="147" t="s">
        <v>1655</v>
      </c>
      <c r="AH271" s="119" t="s">
        <v>192</v>
      </c>
      <c r="AI271" s="116" t="s">
        <v>191</v>
      </c>
    </row>
    <row r="272" spans="1:35" s="130" customFormat="1" ht="17.25" customHeight="1" x14ac:dyDescent="0.25">
      <c r="A272" s="114">
        <v>891780111</v>
      </c>
      <c r="B272" s="115" t="s">
        <v>54</v>
      </c>
      <c r="C272" s="116" t="s">
        <v>57</v>
      </c>
      <c r="D272" s="115" t="s">
        <v>60</v>
      </c>
      <c r="E272" s="119" t="s">
        <v>1656</v>
      </c>
      <c r="F272" s="118" t="s">
        <v>61</v>
      </c>
      <c r="G272" s="118" t="s">
        <v>69</v>
      </c>
      <c r="H272" s="118" t="s">
        <v>79</v>
      </c>
      <c r="I272" s="137">
        <v>6337940</v>
      </c>
      <c r="J272" s="118"/>
      <c r="K272" s="121"/>
      <c r="L272" s="121"/>
      <c r="M272" s="122">
        <f t="shared" si="4"/>
        <v>6337940</v>
      </c>
      <c r="N272" s="119">
        <v>900763287</v>
      </c>
      <c r="O272" s="123" t="s">
        <v>1657</v>
      </c>
      <c r="P272" s="116" t="s">
        <v>1658</v>
      </c>
      <c r="Q272" s="124">
        <v>44998</v>
      </c>
      <c r="R272" s="124">
        <v>44998</v>
      </c>
      <c r="S272" s="124">
        <v>45028</v>
      </c>
      <c r="T272" s="125" t="s">
        <v>612</v>
      </c>
      <c r="U272" s="124"/>
      <c r="V272" s="124"/>
      <c r="W272" s="126"/>
      <c r="X272" s="127"/>
      <c r="Y272" s="121">
        <v>6337940</v>
      </c>
      <c r="Z272" s="120">
        <v>0</v>
      </c>
      <c r="AA272" s="128">
        <v>1</v>
      </c>
      <c r="AB272" s="119">
        <v>39049658</v>
      </c>
      <c r="AC272" s="123" t="s">
        <v>1659</v>
      </c>
      <c r="AD272" s="116"/>
      <c r="AE272" s="116"/>
      <c r="AF272" s="125"/>
      <c r="AG272" s="129" t="s">
        <v>1660</v>
      </c>
      <c r="AH272" s="119" t="s">
        <v>192</v>
      </c>
      <c r="AI272" s="116" t="s">
        <v>191</v>
      </c>
    </row>
    <row r="273" spans="1:35" s="130" customFormat="1" ht="17.25" customHeight="1" x14ac:dyDescent="0.25">
      <c r="A273" s="114">
        <v>891780111</v>
      </c>
      <c r="B273" s="115" t="s">
        <v>54</v>
      </c>
      <c r="C273" s="116" t="s">
        <v>57</v>
      </c>
      <c r="D273" s="115" t="s">
        <v>60</v>
      </c>
      <c r="E273" s="119" t="s">
        <v>1661</v>
      </c>
      <c r="F273" s="118" t="s">
        <v>61</v>
      </c>
      <c r="G273" s="118" t="s">
        <v>69</v>
      </c>
      <c r="H273" s="118" t="s">
        <v>79</v>
      </c>
      <c r="I273" s="137">
        <v>620640</v>
      </c>
      <c r="J273" s="118"/>
      <c r="K273" s="121"/>
      <c r="L273" s="121"/>
      <c r="M273" s="122">
        <f t="shared" si="4"/>
        <v>620640</v>
      </c>
      <c r="N273" s="119">
        <v>819006702</v>
      </c>
      <c r="O273" s="123" t="s">
        <v>1662</v>
      </c>
      <c r="P273" s="116" t="s">
        <v>1663</v>
      </c>
      <c r="Q273" s="124">
        <v>44998</v>
      </c>
      <c r="R273" s="124">
        <v>44999</v>
      </c>
      <c r="S273" s="124">
        <v>44999</v>
      </c>
      <c r="T273" s="125" t="s">
        <v>612</v>
      </c>
      <c r="U273" s="124"/>
      <c r="V273" s="124"/>
      <c r="W273" s="126"/>
      <c r="X273" s="127"/>
      <c r="Y273" s="121">
        <v>620640</v>
      </c>
      <c r="Z273" s="120">
        <v>0</v>
      </c>
      <c r="AA273" s="128">
        <v>1</v>
      </c>
      <c r="AB273" s="119">
        <v>63563343</v>
      </c>
      <c r="AC273" s="123" t="s">
        <v>806</v>
      </c>
      <c r="AD273" s="116"/>
      <c r="AE273" s="116"/>
      <c r="AF273" s="125"/>
      <c r="AG273" s="129" t="s">
        <v>1664</v>
      </c>
      <c r="AH273" s="119" t="s">
        <v>192</v>
      </c>
      <c r="AI273" s="116" t="s">
        <v>191</v>
      </c>
    </row>
    <row r="274" spans="1:35" s="130" customFormat="1" ht="17.25" customHeight="1" x14ac:dyDescent="0.25">
      <c r="A274" s="114">
        <v>891780111</v>
      </c>
      <c r="B274" s="115" t="s">
        <v>54</v>
      </c>
      <c r="C274" s="116" t="s">
        <v>57</v>
      </c>
      <c r="D274" s="115" t="s">
        <v>60</v>
      </c>
      <c r="E274" s="119" t="s">
        <v>1665</v>
      </c>
      <c r="F274" s="118" t="s">
        <v>61</v>
      </c>
      <c r="G274" s="118" t="s">
        <v>69</v>
      </c>
      <c r="H274" s="118" t="s">
        <v>79</v>
      </c>
      <c r="I274" s="135">
        <v>28171465</v>
      </c>
      <c r="J274" s="118"/>
      <c r="K274" s="121"/>
      <c r="L274" s="121"/>
      <c r="M274" s="122">
        <f t="shared" si="4"/>
        <v>28171465</v>
      </c>
      <c r="N274" s="143">
        <v>900763287</v>
      </c>
      <c r="O274" s="119" t="s">
        <v>1666</v>
      </c>
      <c r="P274" s="116" t="s">
        <v>1667</v>
      </c>
      <c r="Q274" s="124">
        <v>44999</v>
      </c>
      <c r="R274" s="124">
        <v>44999</v>
      </c>
      <c r="S274" s="124">
        <v>45029</v>
      </c>
      <c r="T274" s="125" t="s">
        <v>612</v>
      </c>
      <c r="U274" s="124"/>
      <c r="V274" s="124"/>
      <c r="W274" s="126"/>
      <c r="X274" s="127"/>
      <c r="Y274" s="121">
        <v>28171465</v>
      </c>
      <c r="Z274" s="120">
        <v>0</v>
      </c>
      <c r="AA274" s="128">
        <v>1</v>
      </c>
      <c r="AB274" s="119">
        <v>85081920</v>
      </c>
      <c r="AC274" s="119" t="s">
        <v>952</v>
      </c>
      <c r="AD274" s="116"/>
      <c r="AE274" s="116"/>
      <c r="AF274" s="125"/>
      <c r="AG274" s="129" t="s">
        <v>1668</v>
      </c>
      <c r="AH274" s="119" t="s">
        <v>192</v>
      </c>
      <c r="AI274" s="116" t="s">
        <v>191</v>
      </c>
    </row>
    <row r="275" spans="1:35" s="130" customFormat="1" ht="17.25" customHeight="1" x14ac:dyDescent="0.25">
      <c r="A275" s="114">
        <v>891780111</v>
      </c>
      <c r="B275" s="115" t="s">
        <v>54</v>
      </c>
      <c r="C275" s="116" t="s">
        <v>57</v>
      </c>
      <c r="D275" s="115" t="s">
        <v>60</v>
      </c>
      <c r="E275" s="119" t="s">
        <v>1669</v>
      </c>
      <c r="F275" s="118" t="s">
        <v>61</v>
      </c>
      <c r="G275" s="118" t="s">
        <v>69</v>
      </c>
      <c r="H275" s="118" t="s">
        <v>79</v>
      </c>
      <c r="I275" s="135">
        <v>884040</v>
      </c>
      <c r="J275" s="118"/>
      <c r="K275" s="121"/>
      <c r="L275" s="121"/>
      <c r="M275" s="122">
        <f t="shared" si="4"/>
        <v>884040</v>
      </c>
      <c r="N275" s="117">
        <v>819006702</v>
      </c>
      <c r="O275" s="119" t="s">
        <v>1662</v>
      </c>
      <c r="P275" s="116" t="s">
        <v>1670</v>
      </c>
      <c r="Q275" s="124">
        <v>45009</v>
      </c>
      <c r="R275" s="124">
        <v>45010</v>
      </c>
      <c r="S275" s="124">
        <v>45010</v>
      </c>
      <c r="T275" s="125" t="s">
        <v>612</v>
      </c>
      <c r="U275" s="124"/>
      <c r="V275" s="124"/>
      <c r="W275" s="126"/>
      <c r="X275" s="127"/>
      <c r="Y275" s="121">
        <v>884040</v>
      </c>
      <c r="Z275" s="120">
        <v>0</v>
      </c>
      <c r="AA275" s="128">
        <v>1</v>
      </c>
      <c r="AB275" s="119">
        <v>7601659</v>
      </c>
      <c r="AC275" s="119" t="s">
        <v>1131</v>
      </c>
      <c r="AD275" s="116"/>
      <c r="AE275" s="116"/>
      <c r="AF275" s="125"/>
      <c r="AG275" s="138" t="s">
        <v>1671</v>
      </c>
      <c r="AH275" s="119" t="s">
        <v>192</v>
      </c>
      <c r="AI275" s="116" t="s">
        <v>191</v>
      </c>
    </row>
    <row r="276" spans="1:35" s="130" customFormat="1" ht="17.25" customHeight="1" x14ac:dyDescent="0.25">
      <c r="A276" s="114">
        <v>891780111</v>
      </c>
      <c r="B276" s="115" t="s">
        <v>54</v>
      </c>
      <c r="C276" s="116" t="s">
        <v>57</v>
      </c>
      <c r="D276" s="115" t="s">
        <v>60</v>
      </c>
      <c r="E276" s="119" t="s">
        <v>1672</v>
      </c>
      <c r="F276" s="118" t="s">
        <v>61</v>
      </c>
      <c r="G276" s="118" t="s">
        <v>69</v>
      </c>
      <c r="H276" s="118" t="s">
        <v>79</v>
      </c>
      <c r="I276" s="135">
        <v>10083250</v>
      </c>
      <c r="J276" s="118"/>
      <c r="K276" s="121"/>
      <c r="L276" s="121"/>
      <c r="M276" s="122">
        <f t="shared" si="4"/>
        <v>10083250</v>
      </c>
      <c r="N276" s="117">
        <v>901640333</v>
      </c>
      <c r="O276" s="119" t="s">
        <v>1673</v>
      </c>
      <c r="P276" s="116" t="s">
        <v>1674</v>
      </c>
      <c r="Q276" s="124">
        <v>45014</v>
      </c>
      <c r="R276" s="124">
        <v>45014</v>
      </c>
      <c r="S276" s="124">
        <v>45074</v>
      </c>
      <c r="T276" s="125" t="s">
        <v>612</v>
      </c>
      <c r="U276" s="124"/>
      <c r="V276" s="124"/>
      <c r="W276" s="126"/>
      <c r="X276" s="127"/>
      <c r="Y276" s="121">
        <v>0</v>
      </c>
      <c r="Z276" s="120">
        <v>10083250</v>
      </c>
      <c r="AA276" s="128">
        <v>0</v>
      </c>
      <c r="AB276" s="119">
        <v>91156594</v>
      </c>
      <c r="AC276" s="119" t="s">
        <v>1248</v>
      </c>
      <c r="AD276" s="116"/>
      <c r="AE276" s="116"/>
      <c r="AF276" s="125"/>
      <c r="AG276" s="138" t="s">
        <v>1675</v>
      </c>
      <c r="AH276" s="119" t="s">
        <v>192</v>
      </c>
      <c r="AI276" s="116" t="s">
        <v>191</v>
      </c>
    </row>
    <row r="277" spans="1:35" s="130" customFormat="1" ht="17.25" customHeight="1" x14ac:dyDescent="0.25">
      <c r="A277" s="114">
        <v>891780111</v>
      </c>
      <c r="B277" s="115" t="s">
        <v>54</v>
      </c>
      <c r="C277" s="116" t="s">
        <v>57</v>
      </c>
      <c r="D277" s="115" t="s">
        <v>60</v>
      </c>
      <c r="E277" s="119" t="s">
        <v>1676</v>
      </c>
      <c r="F277" s="118" t="s">
        <v>61</v>
      </c>
      <c r="G277" s="118" t="s">
        <v>69</v>
      </c>
      <c r="H277" s="118" t="s">
        <v>79</v>
      </c>
      <c r="I277" s="137">
        <v>514212</v>
      </c>
      <c r="J277" s="118"/>
      <c r="K277" s="121"/>
      <c r="L277" s="121"/>
      <c r="M277" s="122">
        <f t="shared" si="4"/>
        <v>514212</v>
      </c>
      <c r="N277" s="119">
        <v>819005564</v>
      </c>
      <c r="O277" s="123" t="s">
        <v>1677</v>
      </c>
      <c r="P277" s="116" t="s">
        <v>1678</v>
      </c>
      <c r="Q277" s="124">
        <v>45027</v>
      </c>
      <c r="R277" s="124">
        <v>45027</v>
      </c>
      <c r="S277" s="124">
        <v>45056</v>
      </c>
      <c r="T277" s="125" t="s">
        <v>612</v>
      </c>
      <c r="U277" s="124"/>
      <c r="V277" s="124"/>
      <c r="W277" s="126"/>
      <c r="X277" s="127"/>
      <c r="Y277" s="121">
        <v>514212</v>
      </c>
      <c r="Z277" s="120">
        <v>0</v>
      </c>
      <c r="AA277" s="128">
        <v>1</v>
      </c>
      <c r="AB277" s="119">
        <v>12533932</v>
      </c>
      <c r="AC277" s="123" t="s">
        <v>1679</v>
      </c>
      <c r="AD277" s="116"/>
      <c r="AE277" s="116"/>
      <c r="AF277" s="125"/>
      <c r="AG277" s="129" t="s">
        <v>1680</v>
      </c>
      <c r="AH277" s="119" t="s">
        <v>192</v>
      </c>
      <c r="AI277" s="116" t="s">
        <v>191</v>
      </c>
    </row>
    <row r="278" spans="1:35" s="130" customFormat="1" ht="17.25" customHeight="1" x14ac:dyDescent="0.25">
      <c r="A278" s="114">
        <v>891780111</v>
      </c>
      <c r="B278" s="115" t="s">
        <v>54</v>
      </c>
      <c r="C278" s="116" t="s">
        <v>57</v>
      </c>
      <c r="D278" s="115" t="s">
        <v>60</v>
      </c>
      <c r="E278" s="119" t="s">
        <v>1681</v>
      </c>
      <c r="F278" s="118" t="s">
        <v>61</v>
      </c>
      <c r="G278" s="118" t="s">
        <v>69</v>
      </c>
      <c r="H278" s="118" t="s">
        <v>79</v>
      </c>
      <c r="I278" s="137">
        <v>1482600</v>
      </c>
      <c r="J278" s="118"/>
      <c r="K278" s="121"/>
      <c r="L278" s="121"/>
      <c r="M278" s="122">
        <f t="shared" si="4"/>
        <v>1482600</v>
      </c>
      <c r="N278" s="119">
        <v>900763287</v>
      </c>
      <c r="O278" s="123" t="s">
        <v>1657</v>
      </c>
      <c r="P278" s="116" t="s">
        <v>1682</v>
      </c>
      <c r="Q278" s="124">
        <v>45029</v>
      </c>
      <c r="R278" s="124">
        <v>45029</v>
      </c>
      <c r="S278" s="124">
        <v>45035</v>
      </c>
      <c r="T278" s="125" t="s">
        <v>612</v>
      </c>
      <c r="U278" s="124"/>
      <c r="V278" s="124"/>
      <c r="W278" s="126"/>
      <c r="X278" s="127"/>
      <c r="Y278" s="121">
        <v>1482600</v>
      </c>
      <c r="Z278" s="120">
        <v>0</v>
      </c>
      <c r="AA278" s="128">
        <v>1</v>
      </c>
      <c r="AB278" s="119">
        <v>52260094</v>
      </c>
      <c r="AC278" s="123" t="s">
        <v>1683</v>
      </c>
      <c r="AD278" s="116"/>
      <c r="AE278" s="116"/>
      <c r="AF278" s="125"/>
      <c r="AG278" s="129" t="s">
        <v>1684</v>
      </c>
      <c r="AH278" s="119" t="s">
        <v>192</v>
      </c>
      <c r="AI278" s="116" t="s">
        <v>191</v>
      </c>
    </row>
    <row r="279" spans="1:35" s="130" customFormat="1" ht="17.25" customHeight="1" x14ac:dyDescent="0.25">
      <c r="A279" s="114">
        <v>891780111</v>
      </c>
      <c r="B279" s="115" t="s">
        <v>54</v>
      </c>
      <c r="C279" s="116" t="s">
        <v>57</v>
      </c>
      <c r="D279" s="115" t="s">
        <v>60</v>
      </c>
      <c r="E279" s="119" t="s">
        <v>1685</v>
      </c>
      <c r="F279" s="118" t="s">
        <v>61</v>
      </c>
      <c r="G279" s="118" t="s">
        <v>69</v>
      </c>
      <c r="H279" s="118" t="s">
        <v>79</v>
      </c>
      <c r="I279" s="137">
        <v>1970640</v>
      </c>
      <c r="J279" s="118"/>
      <c r="K279" s="121"/>
      <c r="L279" s="121"/>
      <c r="M279" s="122">
        <f t="shared" si="4"/>
        <v>1970640</v>
      </c>
      <c r="N279" s="119">
        <v>900763287</v>
      </c>
      <c r="O279" s="123" t="s">
        <v>1657</v>
      </c>
      <c r="P279" s="116" t="s">
        <v>1686</v>
      </c>
      <c r="Q279" s="124">
        <v>45030</v>
      </c>
      <c r="R279" s="124">
        <v>45030</v>
      </c>
      <c r="S279" s="124">
        <v>45059</v>
      </c>
      <c r="T279" s="125" t="s">
        <v>612</v>
      </c>
      <c r="U279" s="124"/>
      <c r="V279" s="124"/>
      <c r="W279" s="126"/>
      <c r="X279" s="127"/>
      <c r="Y279" s="121">
        <v>0</v>
      </c>
      <c r="Z279" s="120">
        <v>1970640</v>
      </c>
      <c r="AA279" s="128">
        <v>0</v>
      </c>
      <c r="AB279" s="119">
        <v>12533932</v>
      </c>
      <c r="AC279" s="123" t="s">
        <v>1687</v>
      </c>
      <c r="AD279" s="116"/>
      <c r="AE279" s="116"/>
      <c r="AF279" s="125"/>
      <c r="AG279" s="129" t="s">
        <v>1688</v>
      </c>
      <c r="AH279" s="119" t="s">
        <v>192</v>
      </c>
      <c r="AI279" s="116" t="s">
        <v>191</v>
      </c>
    </row>
    <row r="280" spans="1:35" s="130" customFormat="1" ht="17.25" customHeight="1" x14ac:dyDescent="0.25">
      <c r="A280" s="114">
        <v>891780111</v>
      </c>
      <c r="B280" s="115" t="s">
        <v>54</v>
      </c>
      <c r="C280" s="116" t="s">
        <v>57</v>
      </c>
      <c r="D280" s="115" t="s">
        <v>60</v>
      </c>
      <c r="E280" s="119" t="s">
        <v>1689</v>
      </c>
      <c r="F280" s="118" t="s">
        <v>61</v>
      </c>
      <c r="G280" s="118" t="s">
        <v>69</v>
      </c>
      <c r="H280" s="118" t="s">
        <v>79</v>
      </c>
      <c r="I280" s="137">
        <v>1523200</v>
      </c>
      <c r="J280" s="118"/>
      <c r="K280" s="121"/>
      <c r="L280" s="121"/>
      <c r="M280" s="122">
        <f t="shared" si="4"/>
        <v>1523200</v>
      </c>
      <c r="N280" s="119">
        <v>819006702</v>
      </c>
      <c r="O280" s="123" t="s">
        <v>1662</v>
      </c>
      <c r="P280" s="116" t="s">
        <v>1690</v>
      </c>
      <c r="Q280" s="124">
        <v>45030</v>
      </c>
      <c r="R280" s="124">
        <v>45030</v>
      </c>
      <c r="S280" s="124">
        <v>45051</v>
      </c>
      <c r="T280" s="125" t="s">
        <v>612</v>
      </c>
      <c r="U280" s="124"/>
      <c r="V280" s="124"/>
      <c r="W280" s="126"/>
      <c r="X280" s="127"/>
      <c r="Y280" s="121">
        <v>1523200</v>
      </c>
      <c r="Z280" s="120">
        <v>0</v>
      </c>
      <c r="AA280" s="128">
        <v>1</v>
      </c>
      <c r="AB280" s="119">
        <v>22461981</v>
      </c>
      <c r="AC280" s="123" t="s">
        <v>1691</v>
      </c>
      <c r="AD280" s="116"/>
      <c r="AE280" s="116"/>
      <c r="AF280" s="125"/>
      <c r="AG280" s="129" t="s">
        <v>1692</v>
      </c>
      <c r="AH280" s="119" t="s">
        <v>192</v>
      </c>
      <c r="AI280" s="116" t="s">
        <v>191</v>
      </c>
    </row>
    <row r="281" spans="1:35" s="130" customFormat="1" ht="17.25" customHeight="1" x14ac:dyDescent="0.25">
      <c r="A281" s="114">
        <v>891780111</v>
      </c>
      <c r="B281" s="115" t="s">
        <v>54</v>
      </c>
      <c r="C281" s="116" t="s">
        <v>57</v>
      </c>
      <c r="D281" s="115" t="s">
        <v>60</v>
      </c>
      <c r="E281" s="119" t="s">
        <v>1693</v>
      </c>
      <c r="F281" s="118" t="s">
        <v>61</v>
      </c>
      <c r="G281" s="118" t="s">
        <v>69</v>
      </c>
      <c r="H281" s="118" t="s">
        <v>79</v>
      </c>
      <c r="I281" s="137">
        <v>12043987</v>
      </c>
      <c r="J281" s="118"/>
      <c r="K281" s="121"/>
      <c r="L281" s="121"/>
      <c r="M281" s="122">
        <f t="shared" si="4"/>
        <v>12043987</v>
      </c>
      <c r="N281" s="119">
        <v>811021363</v>
      </c>
      <c r="O281" s="123" t="s">
        <v>1694</v>
      </c>
      <c r="P281" s="116" t="s">
        <v>1695</v>
      </c>
      <c r="Q281" s="124">
        <v>45035</v>
      </c>
      <c r="R281" s="124">
        <v>45035</v>
      </c>
      <c r="S281" s="124">
        <v>45064</v>
      </c>
      <c r="T281" s="125" t="s">
        <v>612</v>
      </c>
      <c r="U281" s="124"/>
      <c r="V281" s="124"/>
      <c r="W281" s="126"/>
      <c r="X281" s="127"/>
      <c r="Y281" s="121">
        <v>12043987</v>
      </c>
      <c r="Z281" s="120">
        <v>0</v>
      </c>
      <c r="AA281" s="128">
        <v>1</v>
      </c>
      <c r="AB281" s="119">
        <v>77105457</v>
      </c>
      <c r="AC281" s="123" t="s">
        <v>965</v>
      </c>
      <c r="AD281" s="116"/>
      <c r="AE281" s="116"/>
      <c r="AF281" s="125"/>
      <c r="AG281" s="129" t="s">
        <v>1696</v>
      </c>
      <c r="AH281" s="119" t="s">
        <v>192</v>
      </c>
      <c r="AI281" s="116" t="s">
        <v>191</v>
      </c>
    </row>
    <row r="282" spans="1:35" s="130" customFormat="1" ht="17.25" customHeight="1" x14ac:dyDescent="0.25">
      <c r="A282" s="114">
        <v>891780111</v>
      </c>
      <c r="B282" s="115" t="s">
        <v>54</v>
      </c>
      <c r="C282" s="116" t="s">
        <v>57</v>
      </c>
      <c r="D282" s="115" t="s">
        <v>60</v>
      </c>
      <c r="E282" s="119" t="s">
        <v>1697</v>
      </c>
      <c r="F282" s="118" t="s">
        <v>61</v>
      </c>
      <c r="G282" s="118" t="s">
        <v>69</v>
      </c>
      <c r="H282" s="118" t="s">
        <v>79</v>
      </c>
      <c r="I282" s="137">
        <v>17183600</v>
      </c>
      <c r="J282" s="118"/>
      <c r="K282" s="121"/>
      <c r="L282" s="121"/>
      <c r="M282" s="122">
        <f t="shared" si="4"/>
        <v>17183600</v>
      </c>
      <c r="N282" s="119">
        <v>811021363</v>
      </c>
      <c r="O282" s="123" t="s">
        <v>1694</v>
      </c>
      <c r="P282" s="116" t="s">
        <v>1698</v>
      </c>
      <c r="Q282" s="124">
        <v>45036</v>
      </c>
      <c r="R282" s="124">
        <v>45036</v>
      </c>
      <c r="S282" s="124">
        <v>45065</v>
      </c>
      <c r="T282" s="125" t="s">
        <v>612</v>
      </c>
      <c r="U282" s="124"/>
      <c r="V282" s="124"/>
      <c r="W282" s="126"/>
      <c r="X282" s="127"/>
      <c r="Y282" s="121">
        <v>17183600</v>
      </c>
      <c r="Z282" s="120">
        <v>0</v>
      </c>
      <c r="AA282" s="128">
        <v>1</v>
      </c>
      <c r="AB282" s="119">
        <v>1118816667</v>
      </c>
      <c r="AC282" s="123" t="s">
        <v>1699</v>
      </c>
      <c r="AD282" s="116"/>
      <c r="AE282" s="116"/>
      <c r="AF282" s="125"/>
      <c r="AG282" s="129" t="s">
        <v>1700</v>
      </c>
      <c r="AH282" s="119" t="s">
        <v>192</v>
      </c>
      <c r="AI282" s="116" t="s">
        <v>191</v>
      </c>
    </row>
    <row r="283" spans="1:35" s="130" customFormat="1" ht="17.25" customHeight="1" x14ac:dyDescent="0.25">
      <c r="A283" s="114">
        <v>891780111</v>
      </c>
      <c r="B283" s="115" t="s">
        <v>54</v>
      </c>
      <c r="C283" s="116" t="s">
        <v>57</v>
      </c>
      <c r="D283" s="115" t="s">
        <v>60</v>
      </c>
      <c r="E283" s="119" t="s">
        <v>1701</v>
      </c>
      <c r="F283" s="118" t="s">
        <v>61</v>
      </c>
      <c r="G283" s="118" t="s">
        <v>69</v>
      </c>
      <c r="H283" s="118" t="s">
        <v>79</v>
      </c>
      <c r="I283" s="137">
        <v>9288426</v>
      </c>
      <c r="J283" s="118"/>
      <c r="K283" s="121"/>
      <c r="L283" s="121"/>
      <c r="M283" s="122">
        <f t="shared" si="4"/>
        <v>9288426</v>
      </c>
      <c r="N283" s="119">
        <v>900763287</v>
      </c>
      <c r="O283" s="123" t="s">
        <v>1657</v>
      </c>
      <c r="P283" s="116" t="s">
        <v>1702</v>
      </c>
      <c r="Q283" s="124">
        <v>45036</v>
      </c>
      <c r="R283" s="124">
        <v>45036</v>
      </c>
      <c r="S283" s="124">
        <v>45037</v>
      </c>
      <c r="T283" s="125" t="s">
        <v>612</v>
      </c>
      <c r="U283" s="124"/>
      <c r="V283" s="124"/>
      <c r="W283" s="126"/>
      <c r="X283" s="127"/>
      <c r="Y283" s="121">
        <v>9288426</v>
      </c>
      <c r="Z283" s="120">
        <v>0</v>
      </c>
      <c r="AA283" s="128">
        <v>1</v>
      </c>
      <c r="AB283" s="119">
        <v>52260094</v>
      </c>
      <c r="AC283" s="118" t="s">
        <v>1683</v>
      </c>
      <c r="AD283" s="116"/>
      <c r="AE283" s="116"/>
      <c r="AF283" s="125"/>
      <c r="AG283" s="129" t="s">
        <v>1703</v>
      </c>
      <c r="AH283" s="119" t="s">
        <v>192</v>
      </c>
      <c r="AI283" s="116" t="s">
        <v>191</v>
      </c>
    </row>
    <row r="284" spans="1:35" s="130" customFormat="1" ht="17.25" customHeight="1" x14ac:dyDescent="0.25">
      <c r="A284" s="114">
        <v>891780111</v>
      </c>
      <c r="B284" s="115" t="s">
        <v>54</v>
      </c>
      <c r="C284" s="116" t="s">
        <v>57</v>
      </c>
      <c r="D284" s="115" t="s">
        <v>60</v>
      </c>
      <c r="E284" s="119" t="s">
        <v>1704</v>
      </c>
      <c r="F284" s="118" t="s">
        <v>61</v>
      </c>
      <c r="G284" s="118" t="s">
        <v>69</v>
      </c>
      <c r="H284" s="118" t="s">
        <v>79</v>
      </c>
      <c r="I284" s="120">
        <v>1071000</v>
      </c>
      <c r="J284" s="118"/>
      <c r="K284" s="121"/>
      <c r="L284" s="121"/>
      <c r="M284" s="122">
        <f t="shared" si="4"/>
        <v>1071000</v>
      </c>
      <c r="N284" s="117">
        <v>811021363</v>
      </c>
      <c r="O284" s="136" t="s">
        <v>1694</v>
      </c>
      <c r="P284" s="116" t="s">
        <v>1705</v>
      </c>
      <c r="Q284" s="124">
        <v>45040</v>
      </c>
      <c r="R284" s="124">
        <v>45040</v>
      </c>
      <c r="S284" s="124">
        <v>45069</v>
      </c>
      <c r="T284" s="125" t="s">
        <v>612</v>
      </c>
      <c r="U284" s="124"/>
      <c r="V284" s="124"/>
      <c r="W284" s="126"/>
      <c r="X284" s="127"/>
      <c r="Y284" s="121">
        <v>1071000</v>
      </c>
      <c r="Z284" s="120">
        <v>0</v>
      </c>
      <c r="AA284" s="128">
        <v>1</v>
      </c>
      <c r="AB284" s="119">
        <v>1083464086</v>
      </c>
      <c r="AC284" s="136" t="s">
        <v>1706</v>
      </c>
      <c r="AD284" s="116"/>
      <c r="AE284" s="116"/>
      <c r="AF284" s="125"/>
      <c r="AG284" s="129" t="s">
        <v>1707</v>
      </c>
      <c r="AH284" s="119" t="s">
        <v>192</v>
      </c>
      <c r="AI284" s="116" t="s">
        <v>191</v>
      </c>
    </row>
    <row r="285" spans="1:35" s="130" customFormat="1" ht="17.25" customHeight="1" x14ac:dyDescent="0.25">
      <c r="A285" s="114">
        <v>891780111</v>
      </c>
      <c r="B285" s="115" t="s">
        <v>54</v>
      </c>
      <c r="C285" s="116" t="s">
        <v>57</v>
      </c>
      <c r="D285" s="115" t="s">
        <v>60</v>
      </c>
      <c r="E285" s="119" t="s">
        <v>1708</v>
      </c>
      <c r="F285" s="118" t="s">
        <v>61</v>
      </c>
      <c r="G285" s="118" t="s">
        <v>69</v>
      </c>
      <c r="H285" s="118" t="s">
        <v>79</v>
      </c>
      <c r="I285" s="120">
        <v>540000</v>
      </c>
      <c r="J285" s="118"/>
      <c r="K285" s="121"/>
      <c r="L285" s="121"/>
      <c r="M285" s="122">
        <f t="shared" si="4"/>
        <v>540000</v>
      </c>
      <c r="N285" s="117">
        <v>900687982</v>
      </c>
      <c r="O285" s="136" t="s">
        <v>1709</v>
      </c>
      <c r="P285" s="116" t="s">
        <v>1710</v>
      </c>
      <c r="Q285" s="124">
        <v>45042</v>
      </c>
      <c r="R285" s="124">
        <v>45042</v>
      </c>
      <c r="S285" s="124">
        <v>45042</v>
      </c>
      <c r="T285" s="125" t="s">
        <v>612</v>
      </c>
      <c r="U285" s="124"/>
      <c r="V285" s="124"/>
      <c r="W285" s="126"/>
      <c r="X285" s="127"/>
      <c r="Y285" s="121">
        <v>540000</v>
      </c>
      <c r="Z285" s="120">
        <v>0</v>
      </c>
      <c r="AA285" s="128">
        <v>1</v>
      </c>
      <c r="AB285" s="119">
        <v>63563343</v>
      </c>
      <c r="AC285" s="136" t="s">
        <v>806</v>
      </c>
      <c r="AD285" s="116"/>
      <c r="AE285" s="116"/>
      <c r="AF285" s="125"/>
      <c r="AG285" s="129" t="s">
        <v>1711</v>
      </c>
      <c r="AH285" s="119" t="s">
        <v>192</v>
      </c>
      <c r="AI285" s="116" t="s">
        <v>191</v>
      </c>
    </row>
    <row r="286" spans="1:35" s="130" customFormat="1" ht="17.25" customHeight="1" x14ac:dyDescent="0.25">
      <c r="A286" s="114">
        <v>891780111</v>
      </c>
      <c r="B286" s="115" t="s">
        <v>54</v>
      </c>
      <c r="C286" s="116" t="s">
        <v>57</v>
      </c>
      <c r="D286" s="115" t="s">
        <v>60</v>
      </c>
      <c r="E286" s="119" t="s">
        <v>1712</v>
      </c>
      <c r="F286" s="118" t="s">
        <v>61</v>
      </c>
      <c r="G286" s="118" t="s">
        <v>69</v>
      </c>
      <c r="H286" s="118" t="s">
        <v>79</v>
      </c>
      <c r="I286" s="120">
        <v>6830600</v>
      </c>
      <c r="J286" s="118"/>
      <c r="K286" s="121"/>
      <c r="L286" s="121"/>
      <c r="M286" s="122">
        <f t="shared" si="4"/>
        <v>6830600</v>
      </c>
      <c r="N286" s="117">
        <v>900763287</v>
      </c>
      <c r="O286" s="136" t="s">
        <v>1657</v>
      </c>
      <c r="P286" s="116" t="s">
        <v>1713</v>
      </c>
      <c r="Q286" s="124">
        <v>45042</v>
      </c>
      <c r="R286" s="124">
        <v>45042</v>
      </c>
      <c r="S286" s="124">
        <v>45071</v>
      </c>
      <c r="T286" s="125" t="s">
        <v>612</v>
      </c>
      <c r="U286" s="124"/>
      <c r="V286" s="124"/>
      <c r="W286" s="126"/>
      <c r="X286" s="127"/>
      <c r="Y286" s="121">
        <v>6830600</v>
      </c>
      <c r="Z286" s="120">
        <v>0</v>
      </c>
      <c r="AA286" s="128">
        <v>1</v>
      </c>
      <c r="AB286" s="119">
        <v>85155551</v>
      </c>
      <c r="AC286" s="136" t="s">
        <v>648</v>
      </c>
      <c r="AD286" s="116"/>
      <c r="AE286" s="116"/>
      <c r="AF286" s="125"/>
      <c r="AG286" s="129" t="s">
        <v>1714</v>
      </c>
      <c r="AH286" s="119" t="s">
        <v>192</v>
      </c>
      <c r="AI286" s="116" t="s">
        <v>191</v>
      </c>
    </row>
    <row r="287" spans="1:35" s="130" customFormat="1" ht="17.25" customHeight="1" x14ac:dyDescent="0.25">
      <c r="A287" s="114">
        <v>891780111</v>
      </c>
      <c r="B287" s="115" t="s">
        <v>54</v>
      </c>
      <c r="C287" s="116" t="s">
        <v>57</v>
      </c>
      <c r="D287" s="115" t="s">
        <v>60</v>
      </c>
      <c r="E287" s="119" t="s">
        <v>1715</v>
      </c>
      <c r="F287" s="118" t="s">
        <v>61</v>
      </c>
      <c r="G287" s="118" t="s">
        <v>69</v>
      </c>
      <c r="H287" s="118" t="s">
        <v>79</v>
      </c>
      <c r="I287" s="133">
        <v>4892700</v>
      </c>
      <c r="J287" s="118"/>
      <c r="K287" s="121"/>
      <c r="L287" s="121"/>
      <c r="M287" s="122">
        <f t="shared" si="4"/>
        <v>4892700</v>
      </c>
      <c r="N287" s="119">
        <v>804000673</v>
      </c>
      <c r="O287" s="123" t="s">
        <v>1716</v>
      </c>
      <c r="P287" s="116" t="s">
        <v>1717</v>
      </c>
      <c r="Q287" s="124">
        <v>45050</v>
      </c>
      <c r="R287" s="124">
        <v>45050</v>
      </c>
      <c r="S287" s="124">
        <v>45080</v>
      </c>
      <c r="T287" s="125" t="s">
        <v>612</v>
      </c>
      <c r="U287" s="124"/>
      <c r="V287" s="124"/>
      <c r="W287" s="126"/>
      <c r="X287" s="127"/>
      <c r="Y287" s="121">
        <v>4892700</v>
      </c>
      <c r="Z287" s="120">
        <v>0</v>
      </c>
      <c r="AA287" s="139">
        <v>1</v>
      </c>
      <c r="AB287" s="119">
        <v>36695431</v>
      </c>
      <c r="AC287" s="117" t="s">
        <v>1718</v>
      </c>
      <c r="AD287" s="116"/>
      <c r="AE287" s="116"/>
      <c r="AF287" s="125"/>
      <c r="AG287" s="129" t="s">
        <v>1719</v>
      </c>
      <c r="AH287" s="119" t="s">
        <v>192</v>
      </c>
      <c r="AI287" s="116" t="s">
        <v>191</v>
      </c>
    </row>
    <row r="288" spans="1:35" s="130" customFormat="1" ht="17.25" customHeight="1" x14ac:dyDescent="0.25">
      <c r="A288" s="114">
        <v>891780111</v>
      </c>
      <c r="B288" s="115" t="s">
        <v>54</v>
      </c>
      <c r="C288" s="116" t="s">
        <v>57</v>
      </c>
      <c r="D288" s="115" t="s">
        <v>60</v>
      </c>
      <c r="E288" s="119" t="s">
        <v>1720</v>
      </c>
      <c r="F288" s="118" t="s">
        <v>61</v>
      </c>
      <c r="G288" s="118" t="s">
        <v>69</v>
      </c>
      <c r="H288" s="118" t="s">
        <v>79</v>
      </c>
      <c r="I288" s="133">
        <v>7999894</v>
      </c>
      <c r="J288" s="118"/>
      <c r="K288" s="121"/>
      <c r="L288" s="121"/>
      <c r="M288" s="122">
        <f t="shared" si="4"/>
        <v>7999894</v>
      </c>
      <c r="N288" s="119">
        <v>900763287</v>
      </c>
      <c r="O288" s="123" t="s">
        <v>1657</v>
      </c>
      <c r="P288" s="116" t="s">
        <v>1721</v>
      </c>
      <c r="Q288" s="124">
        <v>45050</v>
      </c>
      <c r="R288" s="124">
        <v>45050</v>
      </c>
      <c r="S288" s="124">
        <v>45080</v>
      </c>
      <c r="T288" s="125" t="s">
        <v>612</v>
      </c>
      <c r="U288" s="124"/>
      <c r="V288" s="124"/>
      <c r="W288" s="126"/>
      <c r="X288" s="127"/>
      <c r="Y288" s="121">
        <v>7999894</v>
      </c>
      <c r="Z288" s="120">
        <v>0</v>
      </c>
      <c r="AA288" s="139">
        <v>1</v>
      </c>
      <c r="AB288" s="119">
        <v>79959996</v>
      </c>
      <c r="AC288" s="119" t="s">
        <v>1722</v>
      </c>
      <c r="AD288" s="116"/>
      <c r="AE288" s="116"/>
      <c r="AF288" s="125"/>
      <c r="AG288" s="129" t="s">
        <v>1723</v>
      </c>
      <c r="AH288" s="119" t="s">
        <v>192</v>
      </c>
      <c r="AI288" s="116" t="s">
        <v>191</v>
      </c>
    </row>
    <row r="289" spans="1:35" s="130" customFormat="1" ht="17.25" customHeight="1" x14ac:dyDescent="0.25">
      <c r="A289" s="114">
        <v>891780111</v>
      </c>
      <c r="B289" s="115" t="s">
        <v>54</v>
      </c>
      <c r="C289" s="116" t="s">
        <v>57</v>
      </c>
      <c r="D289" s="115" t="s">
        <v>60</v>
      </c>
      <c r="E289" s="119" t="s">
        <v>1724</v>
      </c>
      <c r="F289" s="118" t="s">
        <v>61</v>
      </c>
      <c r="G289" s="118" t="s">
        <v>69</v>
      </c>
      <c r="H289" s="118" t="s">
        <v>79</v>
      </c>
      <c r="I289" s="133">
        <v>6777288</v>
      </c>
      <c r="J289" s="118"/>
      <c r="K289" s="121"/>
      <c r="L289" s="121"/>
      <c r="M289" s="122">
        <f t="shared" si="4"/>
        <v>6777288</v>
      </c>
      <c r="N289" s="119">
        <v>900355024</v>
      </c>
      <c r="O289" s="123" t="s">
        <v>1725</v>
      </c>
      <c r="P289" s="116" t="s">
        <v>1726</v>
      </c>
      <c r="Q289" s="124">
        <v>45051</v>
      </c>
      <c r="R289" s="124">
        <v>45051</v>
      </c>
      <c r="S289" s="124">
        <v>45111</v>
      </c>
      <c r="T289" s="125" t="s">
        <v>612</v>
      </c>
      <c r="U289" s="124"/>
      <c r="V289" s="124"/>
      <c r="W289" s="126"/>
      <c r="X289" s="127"/>
      <c r="Y289" s="121">
        <v>6777288</v>
      </c>
      <c r="Z289" s="120">
        <v>0</v>
      </c>
      <c r="AA289" s="139">
        <v>1</v>
      </c>
      <c r="AB289" s="119">
        <v>51909946</v>
      </c>
      <c r="AC289" s="117" t="s">
        <v>1727</v>
      </c>
      <c r="AD289" s="116"/>
      <c r="AE289" s="116"/>
      <c r="AF289" s="125"/>
      <c r="AG289" s="129" t="s">
        <v>1728</v>
      </c>
      <c r="AH289" s="119" t="s">
        <v>192</v>
      </c>
      <c r="AI289" s="116" t="s">
        <v>191</v>
      </c>
    </row>
    <row r="290" spans="1:35" s="130" customFormat="1" ht="17.25" customHeight="1" x14ac:dyDescent="0.25">
      <c r="A290" s="114">
        <v>891780111</v>
      </c>
      <c r="B290" s="115" t="s">
        <v>54</v>
      </c>
      <c r="C290" s="116" t="s">
        <v>57</v>
      </c>
      <c r="D290" s="115" t="s">
        <v>60</v>
      </c>
      <c r="E290" s="119" t="s">
        <v>1729</v>
      </c>
      <c r="F290" s="118" t="s">
        <v>61</v>
      </c>
      <c r="G290" s="118" t="s">
        <v>69</v>
      </c>
      <c r="H290" s="118" t="s">
        <v>79</v>
      </c>
      <c r="I290" s="133">
        <v>1927000</v>
      </c>
      <c r="J290" s="118"/>
      <c r="K290" s="121"/>
      <c r="L290" s="121"/>
      <c r="M290" s="122">
        <f t="shared" si="4"/>
        <v>1927000</v>
      </c>
      <c r="N290" s="119">
        <v>900121223</v>
      </c>
      <c r="O290" s="123" t="s">
        <v>1730</v>
      </c>
      <c r="P290" s="116" t="s">
        <v>1731</v>
      </c>
      <c r="Q290" s="124">
        <v>45054</v>
      </c>
      <c r="R290" s="124">
        <v>45054</v>
      </c>
      <c r="S290" s="124">
        <v>45084</v>
      </c>
      <c r="T290" s="125" t="s">
        <v>612</v>
      </c>
      <c r="U290" s="124"/>
      <c r="V290" s="124"/>
      <c r="W290" s="126"/>
      <c r="X290" s="127"/>
      <c r="Y290" s="121">
        <v>1927000</v>
      </c>
      <c r="Z290" s="120">
        <v>0</v>
      </c>
      <c r="AA290" s="139">
        <v>1</v>
      </c>
      <c r="AB290" s="119">
        <v>79857491</v>
      </c>
      <c r="AC290" s="117" t="s">
        <v>975</v>
      </c>
      <c r="AD290" s="116"/>
      <c r="AE290" s="116"/>
      <c r="AF290" s="125"/>
      <c r="AG290" s="129" t="s">
        <v>1732</v>
      </c>
      <c r="AH290" s="119" t="s">
        <v>192</v>
      </c>
      <c r="AI290" s="116" t="s">
        <v>191</v>
      </c>
    </row>
    <row r="291" spans="1:35" s="130" customFormat="1" ht="17.25" customHeight="1" x14ac:dyDescent="0.25">
      <c r="A291" s="114">
        <v>891780111</v>
      </c>
      <c r="B291" s="115" t="s">
        <v>54</v>
      </c>
      <c r="C291" s="116" t="s">
        <v>57</v>
      </c>
      <c r="D291" s="115" t="s">
        <v>60</v>
      </c>
      <c r="E291" s="119" t="s">
        <v>1733</v>
      </c>
      <c r="F291" s="118" t="s">
        <v>61</v>
      </c>
      <c r="G291" s="118" t="s">
        <v>69</v>
      </c>
      <c r="H291" s="118" t="s">
        <v>79</v>
      </c>
      <c r="I291" s="133">
        <v>6342700</v>
      </c>
      <c r="J291" s="118"/>
      <c r="K291" s="121"/>
      <c r="L291" s="121"/>
      <c r="M291" s="122">
        <f t="shared" si="4"/>
        <v>6342700</v>
      </c>
      <c r="N291" s="119">
        <v>900492151</v>
      </c>
      <c r="O291" s="123" t="s">
        <v>1734</v>
      </c>
      <c r="P291" s="116" t="s">
        <v>1735</v>
      </c>
      <c r="Q291" s="124">
        <v>45054</v>
      </c>
      <c r="R291" s="124">
        <v>45054</v>
      </c>
      <c r="S291" s="124">
        <v>45114</v>
      </c>
      <c r="T291" s="125" t="s">
        <v>612</v>
      </c>
      <c r="U291" s="124"/>
      <c r="V291" s="124"/>
      <c r="W291" s="126"/>
      <c r="X291" s="127"/>
      <c r="Y291" s="121">
        <v>0</v>
      </c>
      <c r="Z291" s="120">
        <v>6342700</v>
      </c>
      <c r="AA291" s="139">
        <v>0</v>
      </c>
      <c r="AB291" s="119">
        <v>51909946</v>
      </c>
      <c r="AC291" s="117" t="s">
        <v>1736</v>
      </c>
      <c r="AD291" s="116"/>
      <c r="AE291" s="116"/>
      <c r="AF291" s="125"/>
      <c r="AG291" s="129" t="s">
        <v>1737</v>
      </c>
      <c r="AH291" s="119" t="s">
        <v>192</v>
      </c>
      <c r="AI291" s="116" t="s">
        <v>191</v>
      </c>
    </row>
    <row r="292" spans="1:35" s="130" customFormat="1" ht="17.25" customHeight="1" x14ac:dyDescent="0.25">
      <c r="A292" s="114">
        <v>891780111</v>
      </c>
      <c r="B292" s="115" t="s">
        <v>54</v>
      </c>
      <c r="C292" s="116" t="s">
        <v>57</v>
      </c>
      <c r="D292" s="115" t="s">
        <v>60</v>
      </c>
      <c r="E292" s="119" t="s">
        <v>1738</v>
      </c>
      <c r="F292" s="118" t="s">
        <v>61</v>
      </c>
      <c r="G292" s="118" t="s">
        <v>69</v>
      </c>
      <c r="H292" s="118" t="s">
        <v>79</v>
      </c>
      <c r="I292" s="133">
        <v>3986000</v>
      </c>
      <c r="J292" s="118"/>
      <c r="K292" s="121"/>
      <c r="L292" s="121"/>
      <c r="M292" s="122">
        <f t="shared" si="4"/>
        <v>3986000</v>
      </c>
      <c r="N292" s="119">
        <v>806015647</v>
      </c>
      <c r="O292" s="123" t="s">
        <v>1739</v>
      </c>
      <c r="P292" s="116" t="s">
        <v>1740</v>
      </c>
      <c r="Q292" s="124">
        <v>45055</v>
      </c>
      <c r="R292" s="124">
        <v>45055</v>
      </c>
      <c r="S292" s="124">
        <v>45085</v>
      </c>
      <c r="T292" s="125" t="s">
        <v>612</v>
      </c>
      <c r="U292" s="124"/>
      <c r="V292" s="124"/>
      <c r="W292" s="126"/>
      <c r="X292" s="127"/>
      <c r="Y292" s="121">
        <v>3986000</v>
      </c>
      <c r="Z292" s="120">
        <v>0</v>
      </c>
      <c r="AA292" s="139">
        <v>1</v>
      </c>
      <c r="AB292" s="119">
        <v>7632967</v>
      </c>
      <c r="AC292" s="117" t="s">
        <v>1741</v>
      </c>
      <c r="AD292" s="116"/>
      <c r="AE292" s="116"/>
      <c r="AF292" s="125"/>
      <c r="AG292" s="129" t="s">
        <v>1742</v>
      </c>
      <c r="AH292" s="119" t="s">
        <v>192</v>
      </c>
      <c r="AI292" s="116" t="s">
        <v>191</v>
      </c>
    </row>
    <row r="293" spans="1:35" s="130" customFormat="1" ht="17.25" customHeight="1" x14ac:dyDescent="0.25">
      <c r="A293" s="114">
        <v>891780111</v>
      </c>
      <c r="B293" s="115" t="s">
        <v>54</v>
      </c>
      <c r="C293" s="116" t="s">
        <v>57</v>
      </c>
      <c r="D293" s="115" t="s">
        <v>60</v>
      </c>
      <c r="E293" s="119" t="s">
        <v>1743</v>
      </c>
      <c r="F293" s="118" t="s">
        <v>61</v>
      </c>
      <c r="G293" s="118" t="s">
        <v>69</v>
      </c>
      <c r="H293" s="118" t="s">
        <v>79</v>
      </c>
      <c r="I293" s="133">
        <v>23372040</v>
      </c>
      <c r="J293" s="118"/>
      <c r="K293" s="121"/>
      <c r="L293" s="121"/>
      <c r="M293" s="122">
        <f t="shared" si="4"/>
        <v>23372040</v>
      </c>
      <c r="N293" s="119">
        <v>800154351</v>
      </c>
      <c r="O293" s="119" t="s">
        <v>1744</v>
      </c>
      <c r="P293" s="116" t="s">
        <v>1745</v>
      </c>
      <c r="Q293" s="124">
        <v>45056</v>
      </c>
      <c r="R293" s="124">
        <v>45056</v>
      </c>
      <c r="S293" s="124">
        <v>45086</v>
      </c>
      <c r="T293" s="125" t="s">
        <v>612</v>
      </c>
      <c r="U293" s="124"/>
      <c r="V293" s="124"/>
      <c r="W293" s="126"/>
      <c r="X293" s="127"/>
      <c r="Y293" s="121">
        <v>23372040</v>
      </c>
      <c r="Z293" s="120">
        <v>0</v>
      </c>
      <c r="AA293" s="139">
        <v>1</v>
      </c>
      <c r="AB293" s="119">
        <v>51913961</v>
      </c>
      <c r="AC293" s="117" t="s">
        <v>1466</v>
      </c>
      <c r="AD293" s="116"/>
      <c r="AE293" s="116"/>
      <c r="AF293" s="125"/>
      <c r="AG293" s="129" t="s">
        <v>1746</v>
      </c>
      <c r="AH293" s="119" t="s">
        <v>192</v>
      </c>
      <c r="AI293" s="116" t="s">
        <v>191</v>
      </c>
    </row>
    <row r="294" spans="1:35" s="130" customFormat="1" ht="17.25" customHeight="1" x14ac:dyDescent="0.25">
      <c r="A294" s="114">
        <v>891780111</v>
      </c>
      <c r="B294" s="115" t="s">
        <v>54</v>
      </c>
      <c r="C294" s="116" t="s">
        <v>57</v>
      </c>
      <c r="D294" s="115" t="s">
        <v>60</v>
      </c>
      <c r="E294" s="119" t="s">
        <v>1747</v>
      </c>
      <c r="F294" s="118" t="s">
        <v>61</v>
      </c>
      <c r="G294" s="118" t="s">
        <v>69</v>
      </c>
      <c r="H294" s="118" t="s">
        <v>79</v>
      </c>
      <c r="I294" s="133">
        <v>18617550</v>
      </c>
      <c r="J294" s="118"/>
      <c r="K294" s="121"/>
      <c r="L294" s="121"/>
      <c r="M294" s="122">
        <f t="shared" si="4"/>
        <v>18617550</v>
      </c>
      <c r="N294" s="119">
        <v>860001911</v>
      </c>
      <c r="O294" s="119" t="s">
        <v>1748</v>
      </c>
      <c r="P294" s="116" t="s">
        <v>1749</v>
      </c>
      <c r="Q294" s="124">
        <v>45057</v>
      </c>
      <c r="R294" s="124">
        <v>45057</v>
      </c>
      <c r="S294" s="124">
        <v>45117</v>
      </c>
      <c r="T294" s="125" t="s">
        <v>612</v>
      </c>
      <c r="U294" s="124"/>
      <c r="V294" s="124"/>
      <c r="W294" s="126"/>
      <c r="X294" s="127"/>
      <c r="Y294" s="121">
        <v>0</v>
      </c>
      <c r="Z294" s="120">
        <v>18617550</v>
      </c>
      <c r="AA294" s="139">
        <v>0</v>
      </c>
      <c r="AB294" s="119">
        <v>77105457</v>
      </c>
      <c r="AC294" s="117" t="s">
        <v>935</v>
      </c>
      <c r="AD294" s="116"/>
      <c r="AE294" s="116"/>
      <c r="AF294" s="125"/>
      <c r="AG294" s="129" t="s">
        <v>1750</v>
      </c>
      <c r="AH294" s="119" t="s">
        <v>192</v>
      </c>
      <c r="AI294" s="116" t="s">
        <v>191</v>
      </c>
    </row>
    <row r="295" spans="1:35" s="130" customFormat="1" ht="17.25" customHeight="1" x14ac:dyDescent="0.25">
      <c r="A295" s="114">
        <v>891780111</v>
      </c>
      <c r="B295" s="115" t="s">
        <v>54</v>
      </c>
      <c r="C295" s="116" t="s">
        <v>57</v>
      </c>
      <c r="D295" s="115" t="s">
        <v>60</v>
      </c>
      <c r="E295" s="119" t="s">
        <v>1751</v>
      </c>
      <c r="F295" s="118" t="s">
        <v>61</v>
      </c>
      <c r="G295" s="118" t="s">
        <v>69</v>
      </c>
      <c r="H295" s="118" t="s">
        <v>79</v>
      </c>
      <c r="I295" s="133">
        <v>5390000</v>
      </c>
      <c r="J295" s="118"/>
      <c r="K295" s="121"/>
      <c r="L295" s="121"/>
      <c r="M295" s="122">
        <f t="shared" si="4"/>
        <v>5390000</v>
      </c>
      <c r="N295" s="143">
        <v>1124010239</v>
      </c>
      <c r="O295" s="119" t="s">
        <v>1752</v>
      </c>
      <c r="P295" s="116" t="s">
        <v>1753</v>
      </c>
      <c r="Q295" s="124">
        <v>45063</v>
      </c>
      <c r="R295" s="124">
        <v>45063</v>
      </c>
      <c r="S295" s="124">
        <v>45093</v>
      </c>
      <c r="T295" s="125" t="s">
        <v>612</v>
      </c>
      <c r="U295" s="124"/>
      <c r="V295" s="124"/>
      <c r="W295" s="126"/>
      <c r="X295" s="127"/>
      <c r="Y295" s="121">
        <v>5390000</v>
      </c>
      <c r="Z295" s="120">
        <v>0</v>
      </c>
      <c r="AA295" s="139">
        <v>1</v>
      </c>
      <c r="AB295" s="119">
        <v>85155067</v>
      </c>
      <c r="AC295" s="117" t="s">
        <v>1754</v>
      </c>
      <c r="AD295" s="116"/>
      <c r="AE295" s="116"/>
      <c r="AF295" s="125"/>
      <c r="AG295" s="129" t="s">
        <v>1755</v>
      </c>
      <c r="AH295" s="119" t="s">
        <v>192</v>
      </c>
      <c r="AI295" s="116" t="s">
        <v>191</v>
      </c>
    </row>
    <row r="296" spans="1:35" s="130" customFormat="1" ht="17.25" customHeight="1" x14ac:dyDescent="0.25">
      <c r="A296" s="114">
        <v>891780111</v>
      </c>
      <c r="B296" s="115" t="s">
        <v>54</v>
      </c>
      <c r="C296" s="116" t="s">
        <v>57</v>
      </c>
      <c r="D296" s="115" t="s">
        <v>60</v>
      </c>
      <c r="E296" s="119" t="s">
        <v>1756</v>
      </c>
      <c r="F296" s="118" t="s">
        <v>61</v>
      </c>
      <c r="G296" s="118" t="s">
        <v>69</v>
      </c>
      <c r="H296" s="118" t="s">
        <v>79</v>
      </c>
      <c r="I296" s="133">
        <v>11999998</v>
      </c>
      <c r="J296" s="118"/>
      <c r="K296" s="121"/>
      <c r="L296" s="121"/>
      <c r="M296" s="122">
        <f t="shared" si="4"/>
        <v>11999998</v>
      </c>
      <c r="N296" s="119">
        <v>900763287</v>
      </c>
      <c r="O296" s="123" t="s">
        <v>1657</v>
      </c>
      <c r="P296" s="116" t="s">
        <v>1757</v>
      </c>
      <c r="Q296" s="124">
        <v>45064</v>
      </c>
      <c r="R296" s="124">
        <v>45064</v>
      </c>
      <c r="S296" s="124">
        <v>45094</v>
      </c>
      <c r="T296" s="125" t="s">
        <v>612</v>
      </c>
      <c r="U296" s="124"/>
      <c r="V296" s="124"/>
      <c r="W296" s="126"/>
      <c r="X296" s="127"/>
      <c r="Y296" s="121">
        <v>11999998</v>
      </c>
      <c r="Z296" s="120">
        <v>0</v>
      </c>
      <c r="AA296" s="139">
        <v>1</v>
      </c>
      <c r="AB296" s="119" t="s">
        <v>1758</v>
      </c>
      <c r="AC296" s="116" t="s">
        <v>1759</v>
      </c>
      <c r="AD296" s="116"/>
      <c r="AE296" s="116"/>
      <c r="AF296" s="125"/>
      <c r="AG296" s="129" t="s">
        <v>1760</v>
      </c>
      <c r="AH296" s="119" t="s">
        <v>192</v>
      </c>
      <c r="AI296" s="116" t="s">
        <v>191</v>
      </c>
    </row>
    <row r="297" spans="1:35" s="130" customFormat="1" ht="17.25" customHeight="1" x14ac:dyDescent="0.25">
      <c r="A297" s="114">
        <v>891780111</v>
      </c>
      <c r="B297" s="115" t="s">
        <v>54</v>
      </c>
      <c r="C297" s="116" t="s">
        <v>57</v>
      </c>
      <c r="D297" s="115" t="s">
        <v>60</v>
      </c>
      <c r="E297" s="119" t="s">
        <v>1761</v>
      </c>
      <c r="F297" s="118" t="s">
        <v>61</v>
      </c>
      <c r="G297" s="118" t="s">
        <v>69</v>
      </c>
      <c r="H297" s="118" t="s">
        <v>79</v>
      </c>
      <c r="I297" s="133">
        <v>5497800</v>
      </c>
      <c r="J297" s="118"/>
      <c r="K297" s="121"/>
      <c r="L297" s="121"/>
      <c r="M297" s="122">
        <f t="shared" si="4"/>
        <v>5497800</v>
      </c>
      <c r="N297" s="119">
        <v>811021363</v>
      </c>
      <c r="O297" s="123" t="s">
        <v>1694</v>
      </c>
      <c r="P297" s="116" t="s">
        <v>1762</v>
      </c>
      <c r="Q297" s="124">
        <v>45065</v>
      </c>
      <c r="R297" s="124">
        <v>45065</v>
      </c>
      <c r="S297" s="124">
        <v>45095</v>
      </c>
      <c r="T297" s="125" t="s">
        <v>612</v>
      </c>
      <c r="U297" s="124"/>
      <c r="V297" s="124"/>
      <c r="W297" s="126"/>
      <c r="X297" s="127"/>
      <c r="Y297" s="121">
        <v>5497800</v>
      </c>
      <c r="Z297" s="120">
        <v>0</v>
      </c>
      <c r="AA297" s="139">
        <v>1</v>
      </c>
      <c r="AB297" s="119">
        <v>77105457</v>
      </c>
      <c r="AC297" s="117" t="s">
        <v>935</v>
      </c>
      <c r="AD297" s="116"/>
      <c r="AE297" s="116"/>
      <c r="AF297" s="125"/>
      <c r="AG297" s="148" t="s">
        <v>1763</v>
      </c>
      <c r="AH297" s="119" t="s">
        <v>192</v>
      </c>
      <c r="AI297" s="116" t="s">
        <v>191</v>
      </c>
    </row>
    <row r="298" spans="1:35" s="130" customFormat="1" ht="17.25" customHeight="1" x14ac:dyDescent="0.25">
      <c r="A298" s="114">
        <v>891780111</v>
      </c>
      <c r="B298" s="115" t="s">
        <v>54</v>
      </c>
      <c r="C298" s="116" t="s">
        <v>57</v>
      </c>
      <c r="D298" s="115" t="s">
        <v>60</v>
      </c>
      <c r="E298" s="119" t="s">
        <v>1764</v>
      </c>
      <c r="F298" s="118" t="s">
        <v>61</v>
      </c>
      <c r="G298" s="118" t="s">
        <v>69</v>
      </c>
      <c r="H298" s="118" t="s">
        <v>79</v>
      </c>
      <c r="I298" s="133">
        <v>2175036</v>
      </c>
      <c r="J298" s="118"/>
      <c r="K298" s="121"/>
      <c r="L298" s="121"/>
      <c r="M298" s="122">
        <f t="shared" si="4"/>
        <v>2175036</v>
      </c>
      <c r="N298" s="119">
        <v>900763287</v>
      </c>
      <c r="O298" s="123" t="s">
        <v>1657</v>
      </c>
      <c r="P298" s="116" t="s">
        <v>1765</v>
      </c>
      <c r="Q298" s="124">
        <v>45065</v>
      </c>
      <c r="R298" s="124">
        <v>45065</v>
      </c>
      <c r="S298" s="124">
        <v>45095</v>
      </c>
      <c r="T298" s="125" t="s">
        <v>612</v>
      </c>
      <c r="U298" s="124"/>
      <c r="V298" s="124"/>
      <c r="W298" s="126"/>
      <c r="X298" s="127"/>
      <c r="Y298" s="121">
        <v>0</v>
      </c>
      <c r="Z298" s="120">
        <v>2175036</v>
      </c>
      <c r="AA298" s="139">
        <v>0</v>
      </c>
      <c r="AB298" s="119">
        <v>79857491</v>
      </c>
      <c r="AC298" s="117" t="s">
        <v>975</v>
      </c>
      <c r="AD298" s="116"/>
      <c r="AE298" s="116"/>
      <c r="AF298" s="125"/>
      <c r="AG298" s="148" t="s">
        <v>1766</v>
      </c>
      <c r="AH298" s="119" t="s">
        <v>192</v>
      </c>
      <c r="AI298" s="116" t="s">
        <v>191</v>
      </c>
    </row>
    <row r="299" spans="1:35" s="130" customFormat="1" ht="17.25" customHeight="1" x14ac:dyDescent="0.25">
      <c r="A299" s="114">
        <v>891780111</v>
      </c>
      <c r="B299" s="115" t="s">
        <v>54</v>
      </c>
      <c r="C299" s="116" t="s">
        <v>57</v>
      </c>
      <c r="D299" s="115" t="s">
        <v>60</v>
      </c>
      <c r="E299" s="119" t="s">
        <v>1767</v>
      </c>
      <c r="F299" s="118" t="s">
        <v>61</v>
      </c>
      <c r="G299" s="118" t="s">
        <v>69</v>
      </c>
      <c r="H299" s="118" t="s">
        <v>79</v>
      </c>
      <c r="I299" s="133">
        <v>2890748</v>
      </c>
      <c r="J299" s="118"/>
      <c r="K299" s="121"/>
      <c r="L299" s="121"/>
      <c r="M299" s="122">
        <f t="shared" si="4"/>
        <v>2890748</v>
      </c>
      <c r="N299" s="119">
        <v>891702681</v>
      </c>
      <c r="O299" s="123" t="s">
        <v>1768</v>
      </c>
      <c r="P299" s="116" t="s">
        <v>1769</v>
      </c>
      <c r="Q299" s="124">
        <v>45071</v>
      </c>
      <c r="R299" s="124">
        <v>45071</v>
      </c>
      <c r="S299" s="124">
        <v>45101</v>
      </c>
      <c r="T299" s="125" t="s">
        <v>612</v>
      </c>
      <c r="U299" s="124"/>
      <c r="V299" s="124"/>
      <c r="W299" s="126"/>
      <c r="X299" s="127"/>
      <c r="Y299" s="121">
        <v>2890748</v>
      </c>
      <c r="Z299" s="120">
        <v>0</v>
      </c>
      <c r="AA299" s="139">
        <v>1</v>
      </c>
      <c r="AB299" s="119">
        <v>51909946</v>
      </c>
      <c r="AC299" s="117" t="s">
        <v>1736</v>
      </c>
      <c r="AD299" s="116"/>
      <c r="AE299" s="116"/>
      <c r="AF299" s="125"/>
      <c r="AG299" s="140" t="s">
        <v>1770</v>
      </c>
      <c r="AH299" s="119" t="s">
        <v>192</v>
      </c>
      <c r="AI299" s="116" t="s">
        <v>191</v>
      </c>
    </row>
    <row r="300" spans="1:35" s="130" customFormat="1" ht="17.25" customHeight="1" x14ac:dyDescent="0.25">
      <c r="A300" s="114">
        <v>891780111</v>
      </c>
      <c r="B300" s="115" t="s">
        <v>54</v>
      </c>
      <c r="C300" s="116" t="s">
        <v>57</v>
      </c>
      <c r="D300" s="115" t="s">
        <v>60</v>
      </c>
      <c r="E300" s="119" t="s">
        <v>1771</v>
      </c>
      <c r="F300" s="118" t="s">
        <v>61</v>
      </c>
      <c r="G300" s="118" t="s">
        <v>69</v>
      </c>
      <c r="H300" s="118" t="s">
        <v>79</v>
      </c>
      <c r="I300" s="133">
        <v>9999808</v>
      </c>
      <c r="J300" s="118"/>
      <c r="K300" s="121"/>
      <c r="L300" s="121"/>
      <c r="M300" s="122">
        <f t="shared" si="4"/>
        <v>9999808</v>
      </c>
      <c r="N300" s="119">
        <v>900921969</v>
      </c>
      <c r="O300" s="123" t="s">
        <v>1772</v>
      </c>
      <c r="P300" s="116" t="s">
        <v>1773</v>
      </c>
      <c r="Q300" s="124">
        <v>45071</v>
      </c>
      <c r="R300" s="124">
        <v>45071</v>
      </c>
      <c r="S300" s="124">
        <v>45101</v>
      </c>
      <c r="T300" s="125" t="s">
        <v>612</v>
      </c>
      <c r="U300" s="124"/>
      <c r="V300" s="124"/>
      <c r="W300" s="126"/>
      <c r="X300" s="127"/>
      <c r="Y300" s="121">
        <v>0</v>
      </c>
      <c r="Z300" s="120">
        <v>9999808</v>
      </c>
      <c r="AA300" s="139">
        <v>0</v>
      </c>
      <c r="AB300" s="119">
        <v>84091773</v>
      </c>
      <c r="AC300" s="117" t="s">
        <v>1262</v>
      </c>
      <c r="AD300" s="116"/>
      <c r="AE300" s="116"/>
      <c r="AF300" s="125"/>
      <c r="AG300" s="140" t="s">
        <v>1774</v>
      </c>
      <c r="AH300" s="119" t="s">
        <v>192</v>
      </c>
      <c r="AI300" s="116" t="s">
        <v>191</v>
      </c>
    </row>
    <row r="301" spans="1:35" s="130" customFormat="1" ht="17.25" customHeight="1" x14ac:dyDescent="0.25">
      <c r="A301" s="114">
        <v>891780111</v>
      </c>
      <c r="B301" s="115" t="s">
        <v>54</v>
      </c>
      <c r="C301" s="116" t="s">
        <v>57</v>
      </c>
      <c r="D301" s="115" t="s">
        <v>60</v>
      </c>
      <c r="E301" s="119" t="s">
        <v>1775</v>
      </c>
      <c r="F301" s="118" t="s">
        <v>61</v>
      </c>
      <c r="G301" s="118" t="s">
        <v>69</v>
      </c>
      <c r="H301" s="118" t="s">
        <v>79</v>
      </c>
      <c r="I301" s="133">
        <v>3114111</v>
      </c>
      <c r="J301" s="118"/>
      <c r="K301" s="121"/>
      <c r="L301" s="121"/>
      <c r="M301" s="122">
        <f t="shared" si="4"/>
        <v>3114111</v>
      </c>
      <c r="N301" s="119">
        <v>900582176</v>
      </c>
      <c r="O301" s="119" t="s">
        <v>1776</v>
      </c>
      <c r="P301" s="116" t="s">
        <v>1777</v>
      </c>
      <c r="Q301" s="124">
        <v>45071</v>
      </c>
      <c r="R301" s="124">
        <v>45071</v>
      </c>
      <c r="S301" s="124">
        <v>45101</v>
      </c>
      <c r="T301" s="125" t="s">
        <v>612</v>
      </c>
      <c r="U301" s="124"/>
      <c r="V301" s="124"/>
      <c r="W301" s="126"/>
      <c r="X301" s="127"/>
      <c r="Y301" s="121">
        <v>3114111</v>
      </c>
      <c r="Z301" s="120">
        <v>0</v>
      </c>
      <c r="AA301" s="139">
        <v>1</v>
      </c>
      <c r="AB301" s="119">
        <v>77105457</v>
      </c>
      <c r="AC301" s="117" t="s">
        <v>935</v>
      </c>
      <c r="AD301" s="116"/>
      <c r="AE301" s="116"/>
      <c r="AF301" s="125"/>
      <c r="AG301" s="140" t="s">
        <v>1778</v>
      </c>
      <c r="AH301" s="119" t="s">
        <v>192</v>
      </c>
      <c r="AI301" s="116" t="s">
        <v>191</v>
      </c>
    </row>
    <row r="302" spans="1:35" s="130" customFormat="1" ht="17.25" customHeight="1" x14ac:dyDescent="0.25">
      <c r="A302" s="114">
        <v>891780111</v>
      </c>
      <c r="B302" s="115" t="s">
        <v>54</v>
      </c>
      <c r="C302" s="116" t="s">
        <v>57</v>
      </c>
      <c r="D302" s="115" t="s">
        <v>60</v>
      </c>
      <c r="E302" s="119" t="s">
        <v>1779</v>
      </c>
      <c r="F302" s="118" t="s">
        <v>61</v>
      </c>
      <c r="G302" s="118" t="s">
        <v>69</v>
      </c>
      <c r="H302" s="118" t="s">
        <v>79</v>
      </c>
      <c r="I302" s="120">
        <v>6500000</v>
      </c>
      <c r="J302" s="118"/>
      <c r="K302" s="121"/>
      <c r="L302" s="121"/>
      <c r="M302" s="122">
        <f t="shared" si="4"/>
        <v>6500000</v>
      </c>
      <c r="N302" s="119">
        <v>804000673</v>
      </c>
      <c r="O302" s="123" t="s">
        <v>1716</v>
      </c>
      <c r="P302" s="116" t="s">
        <v>1780</v>
      </c>
      <c r="Q302" s="124">
        <v>45079</v>
      </c>
      <c r="R302" s="124">
        <v>45079</v>
      </c>
      <c r="S302" s="124">
        <v>45108</v>
      </c>
      <c r="T302" s="125" t="s">
        <v>612</v>
      </c>
      <c r="U302" s="124"/>
      <c r="V302" s="124"/>
      <c r="W302" s="126"/>
      <c r="X302" s="127"/>
      <c r="Y302" s="121">
        <v>6500000</v>
      </c>
      <c r="Z302" s="120">
        <v>0</v>
      </c>
      <c r="AA302" s="139">
        <v>1</v>
      </c>
      <c r="AB302" s="119">
        <v>7632588</v>
      </c>
      <c r="AC302" s="123" t="s">
        <v>1781</v>
      </c>
      <c r="AD302" s="116"/>
      <c r="AE302" s="116"/>
      <c r="AF302" s="125"/>
      <c r="AG302" s="129" t="s">
        <v>1782</v>
      </c>
      <c r="AH302" s="119" t="s">
        <v>192</v>
      </c>
      <c r="AI302" s="116" t="s">
        <v>191</v>
      </c>
    </row>
    <row r="303" spans="1:35" s="130" customFormat="1" ht="17.25" customHeight="1" x14ac:dyDescent="0.25">
      <c r="A303" s="114">
        <v>891780111</v>
      </c>
      <c r="B303" s="115" t="s">
        <v>54</v>
      </c>
      <c r="C303" s="116" t="s">
        <v>57</v>
      </c>
      <c r="D303" s="115" t="s">
        <v>60</v>
      </c>
      <c r="E303" s="119" t="s">
        <v>1783</v>
      </c>
      <c r="F303" s="118" t="s">
        <v>61</v>
      </c>
      <c r="G303" s="118" t="s">
        <v>69</v>
      </c>
      <c r="H303" s="118" t="s">
        <v>79</v>
      </c>
      <c r="I303" s="120">
        <v>6312900</v>
      </c>
      <c r="J303" s="118"/>
      <c r="K303" s="121"/>
      <c r="L303" s="121"/>
      <c r="M303" s="122">
        <f t="shared" si="4"/>
        <v>6312900</v>
      </c>
      <c r="N303" s="119">
        <v>900383358</v>
      </c>
      <c r="O303" s="123" t="s">
        <v>1784</v>
      </c>
      <c r="P303" s="116" t="s">
        <v>1785</v>
      </c>
      <c r="Q303" s="124">
        <v>45079</v>
      </c>
      <c r="R303" s="124">
        <v>45079</v>
      </c>
      <c r="S303" s="124">
        <v>45108</v>
      </c>
      <c r="T303" s="125" t="s">
        <v>612</v>
      </c>
      <c r="U303" s="124"/>
      <c r="V303" s="124"/>
      <c r="W303" s="126"/>
      <c r="X303" s="127"/>
      <c r="Y303" s="121">
        <v>6312880</v>
      </c>
      <c r="Z303" s="120">
        <v>20</v>
      </c>
      <c r="AA303" s="139">
        <v>0.99999683188392019</v>
      </c>
      <c r="AB303" s="119">
        <v>77105457</v>
      </c>
      <c r="AC303" s="123" t="s">
        <v>965</v>
      </c>
      <c r="AD303" s="116"/>
      <c r="AE303" s="116"/>
      <c r="AF303" s="125"/>
      <c r="AG303" s="129" t="s">
        <v>1786</v>
      </c>
      <c r="AH303" s="119" t="s">
        <v>192</v>
      </c>
      <c r="AI303" s="116" t="s">
        <v>191</v>
      </c>
    </row>
    <row r="304" spans="1:35" s="130" customFormat="1" ht="17.25" customHeight="1" x14ac:dyDescent="0.25">
      <c r="A304" s="114">
        <v>891780111</v>
      </c>
      <c r="B304" s="115" t="s">
        <v>54</v>
      </c>
      <c r="C304" s="116" t="s">
        <v>57</v>
      </c>
      <c r="D304" s="115" t="s">
        <v>60</v>
      </c>
      <c r="E304" s="119" t="s">
        <v>1787</v>
      </c>
      <c r="F304" s="118" t="s">
        <v>61</v>
      </c>
      <c r="G304" s="118" t="s">
        <v>69</v>
      </c>
      <c r="H304" s="118" t="s">
        <v>79</v>
      </c>
      <c r="I304" s="120">
        <v>5599188</v>
      </c>
      <c r="J304" s="118"/>
      <c r="K304" s="121"/>
      <c r="L304" s="121"/>
      <c r="M304" s="122">
        <f t="shared" si="4"/>
        <v>5599188</v>
      </c>
      <c r="N304" s="119">
        <v>901682201</v>
      </c>
      <c r="O304" s="123" t="s">
        <v>1788</v>
      </c>
      <c r="P304" s="116" t="s">
        <v>1789</v>
      </c>
      <c r="Q304" s="124">
        <v>45079</v>
      </c>
      <c r="R304" s="124">
        <v>45079</v>
      </c>
      <c r="S304" s="124">
        <v>45108</v>
      </c>
      <c r="T304" s="125" t="s">
        <v>612</v>
      </c>
      <c r="U304" s="124"/>
      <c r="V304" s="124"/>
      <c r="W304" s="126"/>
      <c r="X304" s="127"/>
      <c r="Y304" s="121">
        <v>5599188</v>
      </c>
      <c r="Z304" s="120">
        <v>0</v>
      </c>
      <c r="AA304" s="139">
        <v>1</v>
      </c>
      <c r="AB304" s="119">
        <v>85472020</v>
      </c>
      <c r="AC304" s="123" t="s">
        <v>1536</v>
      </c>
      <c r="AD304" s="116"/>
      <c r="AE304" s="116"/>
      <c r="AF304" s="125"/>
      <c r="AG304" s="129" t="s">
        <v>1790</v>
      </c>
      <c r="AH304" s="119" t="s">
        <v>192</v>
      </c>
      <c r="AI304" s="116" t="s">
        <v>191</v>
      </c>
    </row>
    <row r="305" spans="1:35" s="130" customFormat="1" ht="17.25" customHeight="1" x14ac:dyDescent="0.25">
      <c r="A305" s="114">
        <v>891780111</v>
      </c>
      <c r="B305" s="115" t="s">
        <v>54</v>
      </c>
      <c r="C305" s="116" t="s">
        <v>57</v>
      </c>
      <c r="D305" s="115" t="s">
        <v>60</v>
      </c>
      <c r="E305" s="119" t="s">
        <v>1791</v>
      </c>
      <c r="F305" s="118" t="s">
        <v>61</v>
      </c>
      <c r="G305" s="118" t="s">
        <v>69</v>
      </c>
      <c r="H305" s="118" t="s">
        <v>79</v>
      </c>
      <c r="I305" s="120">
        <v>1737400</v>
      </c>
      <c r="J305" s="118"/>
      <c r="K305" s="121"/>
      <c r="L305" s="121"/>
      <c r="M305" s="122">
        <f t="shared" si="4"/>
        <v>1737400</v>
      </c>
      <c r="N305" s="119">
        <v>900763287</v>
      </c>
      <c r="O305" s="123" t="s">
        <v>1657</v>
      </c>
      <c r="P305" s="116" t="s">
        <v>1792</v>
      </c>
      <c r="Q305" s="124">
        <v>45079</v>
      </c>
      <c r="R305" s="124">
        <v>45079</v>
      </c>
      <c r="S305" s="124">
        <v>45108</v>
      </c>
      <c r="T305" s="125" t="s">
        <v>612</v>
      </c>
      <c r="U305" s="124"/>
      <c r="V305" s="124"/>
      <c r="W305" s="126"/>
      <c r="X305" s="127"/>
      <c r="Y305" s="121">
        <v>0</v>
      </c>
      <c r="Z305" s="120">
        <v>1737400</v>
      </c>
      <c r="AA305" s="139">
        <v>0</v>
      </c>
      <c r="AB305" s="119">
        <v>36694632</v>
      </c>
      <c r="AC305" s="123" t="s">
        <v>1793</v>
      </c>
      <c r="AD305" s="116"/>
      <c r="AE305" s="116"/>
      <c r="AF305" s="125"/>
      <c r="AG305" s="129" t="s">
        <v>1794</v>
      </c>
      <c r="AH305" s="119" t="s">
        <v>192</v>
      </c>
      <c r="AI305" s="116" t="s">
        <v>191</v>
      </c>
    </row>
    <row r="306" spans="1:35" s="130" customFormat="1" ht="17.25" customHeight="1" x14ac:dyDescent="0.25">
      <c r="A306" s="114">
        <v>891780111</v>
      </c>
      <c r="B306" s="115" t="s">
        <v>54</v>
      </c>
      <c r="C306" s="116" t="s">
        <v>57</v>
      </c>
      <c r="D306" s="115" t="s">
        <v>60</v>
      </c>
      <c r="E306" s="119" t="s">
        <v>1795</v>
      </c>
      <c r="F306" s="118" t="s">
        <v>61</v>
      </c>
      <c r="G306" s="118" t="s">
        <v>69</v>
      </c>
      <c r="H306" s="118" t="s">
        <v>79</v>
      </c>
      <c r="I306" s="120">
        <v>19998500</v>
      </c>
      <c r="J306" s="118"/>
      <c r="K306" s="121"/>
      <c r="L306" s="121"/>
      <c r="M306" s="122">
        <f t="shared" si="4"/>
        <v>19998500</v>
      </c>
      <c r="N306" s="119">
        <v>900763287</v>
      </c>
      <c r="O306" s="123" t="s">
        <v>1657</v>
      </c>
      <c r="P306" s="116" t="s">
        <v>1796</v>
      </c>
      <c r="Q306" s="124">
        <v>45079</v>
      </c>
      <c r="R306" s="124">
        <v>45079</v>
      </c>
      <c r="S306" s="124">
        <v>45108</v>
      </c>
      <c r="T306" s="125" t="s">
        <v>612</v>
      </c>
      <c r="U306" s="124"/>
      <c r="V306" s="124"/>
      <c r="W306" s="126"/>
      <c r="X306" s="127"/>
      <c r="Y306" s="121">
        <v>19998500</v>
      </c>
      <c r="Z306" s="120">
        <v>0</v>
      </c>
      <c r="AA306" s="139">
        <v>1</v>
      </c>
      <c r="AB306" s="119">
        <v>51909946</v>
      </c>
      <c r="AC306" s="123" t="s">
        <v>1736</v>
      </c>
      <c r="AD306" s="116"/>
      <c r="AE306" s="116"/>
      <c r="AF306" s="125"/>
      <c r="AG306" s="129" t="s">
        <v>1797</v>
      </c>
      <c r="AH306" s="119" t="s">
        <v>192</v>
      </c>
      <c r="AI306" s="116" t="s">
        <v>191</v>
      </c>
    </row>
    <row r="307" spans="1:35" s="130" customFormat="1" ht="17.25" customHeight="1" x14ac:dyDescent="0.25">
      <c r="A307" s="114">
        <v>891780111</v>
      </c>
      <c r="B307" s="115" t="s">
        <v>54</v>
      </c>
      <c r="C307" s="116" t="s">
        <v>57</v>
      </c>
      <c r="D307" s="115" t="s">
        <v>60</v>
      </c>
      <c r="E307" s="119" t="s">
        <v>1798</v>
      </c>
      <c r="F307" s="118" t="s">
        <v>61</v>
      </c>
      <c r="G307" s="118" t="s">
        <v>69</v>
      </c>
      <c r="H307" s="118" t="s">
        <v>79</v>
      </c>
      <c r="I307" s="135">
        <f>5486376+499800+2171988+5828144+259539</f>
        <v>14245847</v>
      </c>
      <c r="J307" s="118"/>
      <c r="K307" s="121"/>
      <c r="L307" s="121"/>
      <c r="M307" s="122">
        <f t="shared" si="4"/>
        <v>14245847</v>
      </c>
      <c r="N307" s="143">
        <v>900815934</v>
      </c>
      <c r="O307" s="119" t="s">
        <v>1799</v>
      </c>
      <c r="P307" s="116" t="s">
        <v>1800</v>
      </c>
      <c r="Q307" s="124">
        <v>45079</v>
      </c>
      <c r="R307" s="124">
        <v>45079</v>
      </c>
      <c r="S307" s="124">
        <v>45108</v>
      </c>
      <c r="T307" s="125" t="s">
        <v>612</v>
      </c>
      <c r="U307" s="124"/>
      <c r="V307" s="124"/>
      <c r="W307" s="126"/>
      <c r="X307" s="127"/>
      <c r="Y307" s="121">
        <v>0</v>
      </c>
      <c r="Z307" s="120">
        <v>14245847</v>
      </c>
      <c r="AA307" s="139">
        <v>0</v>
      </c>
      <c r="AB307" s="119">
        <v>5056184</v>
      </c>
      <c r="AC307" s="119" t="s">
        <v>1801</v>
      </c>
      <c r="AD307" s="116"/>
      <c r="AE307" s="116"/>
      <c r="AF307" s="125"/>
      <c r="AG307" s="129" t="s">
        <v>1802</v>
      </c>
      <c r="AH307" s="119" t="s">
        <v>192</v>
      </c>
      <c r="AI307" s="116" t="s">
        <v>191</v>
      </c>
    </row>
    <row r="308" spans="1:35" s="130" customFormat="1" ht="17.25" customHeight="1" x14ac:dyDescent="0.25">
      <c r="A308" s="114">
        <v>891780111</v>
      </c>
      <c r="B308" s="115" t="s">
        <v>54</v>
      </c>
      <c r="C308" s="116" t="s">
        <v>57</v>
      </c>
      <c r="D308" s="115" t="s">
        <v>60</v>
      </c>
      <c r="E308" s="119" t="s">
        <v>1803</v>
      </c>
      <c r="F308" s="118" t="s">
        <v>61</v>
      </c>
      <c r="G308" s="118" t="s">
        <v>69</v>
      </c>
      <c r="H308" s="118" t="s">
        <v>79</v>
      </c>
      <c r="I308" s="135">
        <v>2874683</v>
      </c>
      <c r="J308" s="118"/>
      <c r="K308" s="121"/>
      <c r="L308" s="121"/>
      <c r="M308" s="122">
        <f t="shared" si="4"/>
        <v>2874683</v>
      </c>
      <c r="N308" s="119">
        <v>800053310</v>
      </c>
      <c r="O308" s="119" t="s">
        <v>1804</v>
      </c>
      <c r="P308" s="116" t="s">
        <v>1805</v>
      </c>
      <c r="Q308" s="124">
        <v>45082</v>
      </c>
      <c r="R308" s="124">
        <v>45082</v>
      </c>
      <c r="S308" s="124">
        <v>45173</v>
      </c>
      <c r="T308" s="125" t="s">
        <v>612</v>
      </c>
      <c r="U308" s="124"/>
      <c r="V308" s="124"/>
      <c r="W308" s="126"/>
      <c r="X308" s="127"/>
      <c r="Y308" s="121">
        <v>2874683</v>
      </c>
      <c r="Z308" s="120">
        <v>0</v>
      </c>
      <c r="AA308" s="139">
        <v>1</v>
      </c>
      <c r="AB308" s="119">
        <v>52030501</v>
      </c>
      <c r="AC308" s="119" t="s">
        <v>1806</v>
      </c>
      <c r="AD308" s="116"/>
      <c r="AE308" s="116"/>
      <c r="AF308" s="125"/>
      <c r="AG308" s="129" t="s">
        <v>1807</v>
      </c>
      <c r="AH308" s="119" t="s">
        <v>192</v>
      </c>
      <c r="AI308" s="116" t="s">
        <v>191</v>
      </c>
    </row>
    <row r="309" spans="1:35" s="130" customFormat="1" ht="17.25" customHeight="1" x14ac:dyDescent="0.25">
      <c r="A309" s="114">
        <v>891780111</v>
      </c>
      <c r="B309" s="115" t="s">
        <v>54</v>
      </c>
      <c r="C309" s="116" t="s">
        <v>57</v>
      </c>
      <c r="D309" s="115" t="s">
        <v>60</v>
      </c>
      <c r="E309" s="119" t="s">
        <v>1808</v>
      </c>
      <c r="F309" s="118" t="s">
        <v>61</v>
      </c>
      <c r="G309" s="118" t="s">
        <v>69</v>
      </c>
      <c r="H309" s="118" t="s">
        <v>79</v>
      </c>
      <c r="I309" s="135">
        <f>5000000+2500000</f>
        <v>7500000</v>
      </c>
      <c r="J309" s="118"/>
      <c r="K309" s="121"/>
      <c r="L309" s="121"/>
      <c r="M309" s="122">
        <f t="shared" si="4"/>
        <v>7500000</v>
      </c>
      <c r="N309" s="143">
        <v>900383358</v>
      </c>
      <c r="O309" s="119" t="s">
        <v>1784</v>
      </c>
      <c r="P309" s="116" t="s">
        <v>1809</v>
      </c>
      <c r="Q309" s="124">
        <v>45083</v>
      </c>
      <c r="R309" s="124">
        <v>45083</v>
      </c>
      <c r="S309" s="124">
        <v>45112</v>
      </c>
      <c r="T309" s="125" t="s">
        <v>612</v>
      </c>
      <c r="U309" s="124"/>
      <c r="V309" s="124"/>
      <c r="W309" s="126"/>
      <c r="X309" s="127"/>
      <c r="Y309" s="121">
        <v>0</v>
      </c>
      <c r="Z309" s="120">
        <v>7500000</v>
      </c>
      <c r="AA309" s="139">
        <v>0</v>
      </c>
      <c r="AB309" s="119">
        <v>77105457</v>
      </c>
      <c r="AC309" s="119" t="s">
        <v>965</v>
      </c>
      <c r="AD309" s="116"/>
      <c r="AE309" s="116"/>
      <c r="AF309" s="125"/>
      <c r="AG309" s="129" t="s">
        <v>1810</v>
      </c>
      <c r="AH309" s="119" t="s">
        <v>192</v>
      </c>
      <c r="AI309" s="116" t="s">
        <v>191</v>
      </c>
    </row>
    <row r="310" spans="1:35" s="130" customFormat="1" ht="17.25" customHeight="1" x14ac:dyDescent="0.25">
      <c r="A310" s="114">
        <v>891780111</v>
      </c>
      <c r="B310" s="115" t="s">
        <v>54</v>
      </c>
      <c r="C310" s="116" t="s">
        <v>57</v>
      </c>
      <c r="D310" s="115" t="s">
        <v>60</v>
      </c>
      <c r="E310" s="119" t="s">
        <v>1811</v>
      </c>
      <c r="F310" s="118" t="s">
        <v>61</v>
      </c>
      <c r="G310" s="118" t="s">
        <v>69</v>
      </c>
      <c r="H310" s="118" t="s">
        <v>79</v>
      </c>
      <c r="I310" s="135">
        <f>2300000+1698400</f>
        <v>3998400</v>
      </c>
      <c r="J310" s="118"/>
      <c r="K310" s="121"/>
      <c r="L310" s="121"/>
      <c r="M310" s="122">
        <f t="shared" si="4"/>
        <v>3998400</v>
      </c>
      <c r="N310" s="119">
        <v>900763287</v>
      </c>
      <c r="O310" s="123" t="s">
        <v>1657</v>
      </c>
      <c r="P310" s="116" t="s">
        <v>1812</v>
      </c>
      <c r="Q310" s="124">
        <v>45084</v>
      </c>
      <c r="R310" s="124">
        <v>45084</v>
      </c>
      <c r="S310" s="124">
        <v>45113</v>
      </c>
      <c r="T310" s="125" t="s">
        <v>612</v>
      </c>
      <c r="U310" s="124"/>
      <c r="V310" s="124"/>
      <c r="W310" s="126"/>
      <c r="X310" s="127"/>
      <c r="Y310" s="121">
        <v>0</v>
      </c>
      <c r="Z310" s="120">
        <v>3998400</v>
      </c>
      <c r="AA310" s="139">
        <v>0</v>
      </c>
      <c r="AB310" s="119">
        <v>52709126</v>
      </c>
      <c r="AC310" s="119" t="s">
        <v>1813</v>
      </c>
      <c r="AD310" s="116"/>
      <c r="AE310" s="116"/>
      <c r="AF310" s="125"/>
      <c r="AG310" s="129" t="s">
        <v>1814</v>
      </c>
      <c r="AH310" s="119" t="s">
        <v>192</v>
      </c>
      <c r="AI310" s="116" t="s">
        <v>191</v>
      </c>
    </row>
    <row r="311" spans="1:35" s="130" customFormat="1" ht="17.25" customHeight="1" x14ac:dyDescent="0.25">
      <c r="A311" s="114">
        <v>891780111</v>
      </c>
      <c r="B311" s="115" t="s">
        <v>54</v>
      </c>
      <c r="C311" s="116" t="s">
        <v>57</v>
      </c>
      <c r="D311" s="115" t="s">
        <v>60</v>
      </c>
      <c r="E311" s="119" t="s">
        <v>1815</v>
      </c>
      <c r="F311" s="118" t="s">
        <v>61</v>
      </c>
      <c r="G311" s="118" t="s">
        <v>69</v>
      </c>
      <c r="H311" s="118" t="s">
        <v>79</v>
      </c>
      <c r="I311" s="120">
        <v>1970000</v>
      </c>
      <c r="J311" s="118"/>
      <c r="K311" s="121"/>
      <c r="L311" s="121"/>
      <c r="M311" s="122">
        <f t="shared" si="4"/>
        <v>1970000</v>
      </c>
      <c r="N311" s="119">
        <v>900081578</v>
      </c>
      <c r="O311" s="123" t="s">
        <v>1816</v>
      </c>
      <c r="P311" s="116" t="s">
        <v>1817</v>
      </c>
      <c r="Q311" s="124">
        <v>45085</v>
      </c>
      <c r="R311" s="124">
        <v>45085</v>
      </c>
      <c r="S311" s="124">
        <v>45114</v>
      </c>
      <c r="T311" s="125" t="s">
        <v>612</v>
      </c>
      <c r="U311" s="124"/>
      <c r="V311" s="124"/>
      <c r="W311" s="126"/>
      <c r="X311" s="127"/>
      <c r="Y311" s="121">
        <v>0</v>
      </c>
      <c r="Z311" s="120">
        <v>1970000</v>
      </c>
      <c r="AA311" s="139">
        <v>0</v>
      </c>
      <c r="AB311" s="119">
        <v>51909946</v>
      </c>
      <c r="AC311" s="123" t="s">
        <v>1736</v>
      </c>
      <c r="AD311" s="116"/>
      <c r="AE311" s="116"/>
      <c r="AF311" s="125"/>
      <c r="AG311" s="129" t="s">
        <v>1818</v>
      </c>
      <c r="AH311" s="119" t="s">
        <v>192</v>
      </c>
      <c r="AI311" s="116" t="s">
        <v>191</v>
      </c>
    </row>
    <row r="312" spans="1:35" s="130" customFormat="1" ht="17.25" customHeight="1" x14ac:dyDescent="0.25">
      <c r="A312" s="114">
        <v>891780111</v>
      </c>
      <c r="B312" s="115" t="s">
        <v>54</v>
      </c>
      <c r="C312" s="116" t="s">
        <v>57</v>
      </c>
      <c r="D312" s="115" t="s">
        <v>60</v>
      </c>
      <c r="E312" s="119" t="s">
        <v>1819</v>
      </c>
      <c r="F312" s="118" t="s">
        <v>61</v>
      </c>
      <c r="G312" s="118" t="s">
        <v>69</v>
      </c>
      <c r="H312" s="118" t="s">
        <v>79</v>
      </c>
      <c r="I312" s="120">
        <v>1120694</v>
      </c>
      <c r="J312" s="118"/>
      <c r="K312" s="121"/>
      <c r="L312" s="121"/>
      <c r="M312" s="122">
        <f t="shared" si="4"/>
        <v>1120694</v>
      </c>
      <c r="N312" s="119">
        <v>860403097</v>
      </c>
      <c r="O312" s="123" t="s">
        <v>1820</v>
      </c>
      <c r="P312" s="116" t="s">
        <v>1821</v>
      </c>
      <c r="Q312" s="124">
        <v>45085</v>
      </c>
      <c r="R312" s="124">
        <v>45085</v>
      </c>
      <c r="S312" s="124">
        <v>45114</v>
      </c>
      <c r="T312" s="125" t="s">
        <v>612</v>
      </c>
      <c r="U312" s="124"/>
      <c r="V312" s="124"/>
      <c r="W312" s="126"/>
      <c r="X312" s="127"/>
      <c r="Y312" s="121">
        <v>0</v>
      </c>
      <c r="Z312" s="120">
        <v>1120694</v>
      </c>
      <c r="AA312" s="139">
        <v>0</v>
      </c>
      <c r="AB312" s="119">
        <v>57466882</v>
      </c>
      <c r="AC312" s="123" t="s">
        <v>1822</v>
      </c>
      <c r="AD312" s="116"/>
      <c r="AE312" s="116"/>
      <c r="AF312" s="125"/>
      <c r="AG312" s="129" t="s">
        <v>1823</v>
      </c>
      <c r="AH312" s="119" t="s">
        <v>192</v>
      </c>
      <c r="AI312" s="116" t="s">
        <v>191</v>
      </c>
    </row>
    <row r="313" spans="1:35" s="130" customFormat="1" ht="17.25" customHeight="1" x14ac:dyDescent="0.25">
      <c r="A313" s="114">
        <v>891780111</v>
      </c>
      <c r="B313" s="115" t="s">
        <v>54</v>
      </c>
      <c r="C313" s="116" t="s">
        <v>57</v>
      </c>
      <c r="D313" s="115" t="s">
        <v>60</v>
      </c>
      <c r="E313" s="119" t="s">
        <v>1824</v>
      </c>
      <c r="F313" s="118" t="s">
        <v>61</v>
      </c>
      <c r="G313" s="118" t="s">
        <v>69</v>
      </c>
      <c r="H313" s="118" t="s">
        <v>79</v>
      </c>
      <c r="I313" s="120">
        <v>2427600</v>
      </c>
      <c r="J313" s="118"/>
      <c r="K313" s="121"/>
      <c r="L313" s="121"/>
      <c r="M313" s="122">
        <f t="shared" si="4"/>
        <v>2427600</v>
      </c>
      <c r="N313" s="119">
        <v>900763287</v>
      </c>
      <c r="O313" s="123" t="s">
        <v>1657</v>
      </c>
      <c r="P313" s="116" t="s">
        <v>1825</v>
      </c>
      <c r="Q313" s="124">
        <v>45085</v>
      </c>
      <c r="R313" s="124">
        <v>45085</v>
      </c>
      <c r="S313" s="124">
        <v>45114</v>
      </c>
      <c r="T313" s="125" t="s">
        <v>612</v>
      </c>
      <c r="U313" s="124"/>
      <c r="V313" s="124"/>
      <c r="W313" s="126"/>
      <c r="X313" s="127"/>
      <c r="Y313" s="121">
        <v>2427600</v>
      </c>
      <c r="Z313" s="120">
        <v>0</v>
      </c>
      <c r="AA313" s="139">
        <v>1</v>
      </c>
      <c r="AB313" s="119">
        <v>52030501</v>
      </c>
      <c r="AC313" s="123" t="s">
        <v>1806</v>
      </c>
      <c r="AD313" s="116"/>
      <c r="AE313" s="116"/>
      <c r="AF313" s="125"/>
      <c r="AG313" s="129" t="s">
        <v>1826</v>
      </c>
      <c r="AH313" s="119" t="s">
        <v>192</v>
      </c>
      <c r="AI313" s="116" t="s">
        <v>191</v>
      </c>
    </row>
    <row r="314" spans="1:35" s="130" customFormat="1" ht="17.25" customHeight="1" x14ac:dyDescent="0.25">
      <c r="A314" s="114">
        <v>891780111</v>
      </c>
      <c r="B314" s="115" t="s">
        <v>54</v>
      </c>
      <c r="C314" s="116" t="s">
        <v>57</v>
      </c>
      <c r="D314" s="115" t="s">
        <v>60</v>
      </c>
      <c r="E314" s="119" t="s">
        <v>1827</v>
      </c>
      <c r="F314" s="118" t="s">
        <v>61</v>
      </c>
      <c r="G314" s="118" t="s">
        <v>69</v>
      </c>
      <c r="H314" s="118" t="s">
        <v>79</v>
      </c>
      <c r="I314" s="120">
        <v>7840000</v>
      </c>
      <c r="J314" s="118"/>
      <c r="K314" s="121"/>
      <c r="L314" s="121"/>
      <c r="M314" s="122">
        <f t="shared" si="4"/>
        <v>7840000</v>
      </c>
      <c r="N314" s="119">
        <v>804000673</v>
      </c>
      <c r="O314" s="123" t="s">
        <v>1716</v>
      </c>
      <c r="P314" s="116" t="s">
        <v>1828</v>
      </c>
      <c r="Q314" s="124">
        <v>45085</v>
      </c>
      <c r="R314" s="124">
        <v>45085</v>
      </c>
      <c r="S314" s="124">
        <v>45114</v>
      </c>
      <c r="T314" s="125" t="s">
        <v>612</v>
      </c>
      <c r="U314" s="124"/>
      <c r="V314" s="124"/>
      <c r="W314" s="126"/>
      <c r="X314" s="127"/>
      <c r="Y314" s="121">
        <v>0</v>
      </c>
      <c r="Z314" s="120">
        <v>7840000</v>
      </c>
      <c r="AA314" s="139">
        <v>0</v>
      </c>
      <c r="AB314" s="119">
        <v>57460523</v>
      </c>
      <c r="AC314" s="123" t="s">
        <v>1829</v>
      </c>
      <c r="AD314" s="116"/>
      <c r="AE314" s="116"/>
      <c r="AF314" s="125"/>
      <c r="AG314" s="129" t="s">
        <v>1830</v>
      </c>
      <c r="AH314" s="119" t="s">
        <v>192</v>
      </c>
      <c r="AI314" s="116" t="s">
        <v>191</v>
      </c>
    </row>
    <row r="315" spans="1:35" s="130" customFormat="1" ht="17.25" customHeight="1" x14ac:dyDescent="0.25">
      <c r="A315" s="114">
        <v>891780111</v>
      </c>
      <c r="B315" s="115" t="s">
        <v>54</v>
      </c>
      <c r="C315" s="116" t="s">
        <v>57</v>
      </c>
      <c r="D315" s="115" t="s">
        <v>60</v>
      </c>
      <c r="E315" s="119" t="s">
        <v>1831</v>
      </c>
      <c r="F315" s="118" t="s">
        <v>61</v>
      </c>
      <c r="G315" s="118" t="s">
        <v>69</v>
      </c>
      <c r="H315" s="118" t="s">
        <v>79</v>
      </c>
      <c r="I315" s="135">
        <f>768400+450000+3467660+3999828+2780000</f>
        <v>11465888</v>
      </c>
      <c r="J315" s="118"/>
      <c r="K315" s="121"/>
      <c r="L315" s="121"/>
      <c r="M315" s="122">
        <f t="shared" si="4"/>
        <v>11465888</v>
      </c>
      <c r="N315" s="119">
        <v>900763287</v>
      </c>
      <c r="O315" s="123" t="s">
        <v>1657</v>
      </c>
      <c r="P315" s="116" t="s">
        <v>1832</v>
      </c>
      <c r="Q315" s="124">
        <v>45086</v>
      </c>
      <c r="R315" s="124">
        <v>45086</v>
      </c>
      <c r="S315" s="124">
        <v>45115</v>
      </c>
      <c r="T315" s="125" t="s">
        <v>612</v>
      </c>
      <c r="U315" s="124"/>
      <c r="V315" s="124"/>
      <c r="W315" s="126"/>
      <c r="X315" s="127"/>
      <c r="Y315" s="121">
        <v>0</v>
      </c>
      <c r="Z315" s="120">
        <v>11465888</v>
      </c>
      <c r="AA315" s="139">
        <v>0</v>
      </c>
      <c r="AB315" s="119">
        <v>1126243383</v>
      </c>
      <c r="AC315" s="119" t="s">
        <v>1833</v>
      </c>
      <c r="AD315" s="116"/>
      <c r="AE315" s="116"/>
      <c r="AF315" s="125"/>
      <c r="AG315" s="129" t="s">
        <v>1834</v>
      </c>
      <c r="AH315" s="119" t="s">
        <v>192</v>
      </c>
      <c r="AI315" s="116" t="s">
        <v>191</v>
      </c>
    </row>
    <row r="316" spans="1:35" s="130" customFormat="1" ht="17.25" customHeight="1" x14ac:dyDescent="0.25">
      <c r="A316" s="114">
        <v>891780111</v>
      </c>
      <c r="B316" s="115" t="s">
        <v>54</v>
      </c>
      <c r="C316" s="116" t="s">
        <v>57</v>
      </c>
      <c r="D316" s="115" t="s">
        <v>60</v>
      </c>
      <c r="E316" s="119" t="s">
        <v>1835</v>
      </c>
      <c r="F316" s="118" t="s">
        <v>61</v>
      </c>
      <c r="G316" s="118" t="s">
        <v>69</v>
      </c>
      <c r="H316" s="118" t="s">
        <v>79</v>
      </c>
      <c r="I316" s="120">
        <v>8504187</v>
      </c>
      <c r="J316" s="118"/>
      <c r="K316" s="121"/>
      <c r="L316" s="121"/>
      <c r="M316" s="122">
        <f t="shared" si="4"/>
        <v>8504187</v>
      </c>
      <c r="N316" s="119">
        <v>860001911</v>
      </c>
      <c r="O316" s="123" t="s">
        <v>1748</v>
      </c>
      <c r="P316" s="116" t="s">
        <v>1836</v>
      </c>
      <c r="Q316" s="124">
        <v>45090</v>
      </c>
      <c r="R316" s="124">
        <v>45090</v>
      </c>
      <c r="S316" s="124">
        <v>45119</v>
      </c>
      <c r="T316" s="125" t="s">
        <v>612</v>
      </c>
      <c r="U316" s="124"/>
      <c r="V316" s="124"/>
      <c r="W316" s="126"/>
      <c r="X316" s="127"/>
      <c r="Y316" s="121">
        <v>0</v>
      </c>
      <c r="Z316" s="120">
        <v>8504187</v>
      </c>
      <c r="AA316" s="139">
        <v>0</v>
      </c>
      <c r="AB316" s="119">
        <v>51909946</v>
      </c>
      <c r="AC316" s="123" t="s">
        <v>1727</v>
      </c>
      <c r="AD316" s="116"/>
      <c r="AE316" s="116"/>
      <c r="AF316" s="125"/>
      <c r="AG316" s="129" t="s">
        <v>1837</v>
      </c>
      <c r="AH316" s="119" t="s">
        <v>192</v>
      </c>
      <c r="AI316" s="116" t="s">
        <v>191</v>
      </c>
    </row>
    <row r="317" spans="1:35" s="130" customFormat="1" ht="17.25" customHeight="1" x14ac:dyDescent="0.25">
      <c r="A317" s="114">
        <v>891780111</v>
      </c>
      <c r="B317" s="115" t="s">
        <v>54</v>
      </c>
      <c r="C317" s="116" t="s">
        <v>57</v>
      </c>
      <c r="D317" s="115" t="s">
        <v>60</v>
      </c>
      <c r="E317" s="119" t="s">
        <v>1838</v>
      </c>
      <c r="F317" s="118" t="s">
        <v>61</v>
      </c>
      <c r="G317" s="118" t="s">
        <v>69</v>
      </c>
      <c r="H317" s="118" t="s">
        <v>79</v>
      </c>
      <c r="I317" s="120">
        <v>3999999</v>
      </c>
      <c r="J317" s="118"/>
      <c r="K317" s="121"/>
      <c r="L317" s="121"/>
      <c r="M317" s="122">
        <f t="shared" si="4"/>
        <v>3999999</v>
      </c>
      <c r="N317" s="119">
        <v>900763287</v>
      </c>
      <c r="O317" s="123" t="s">
        <v>1657</v>
      </c>
      <c r="P317" s="116" t="s">
        <v>1839</v>
      </c>
      <c r="Q317" s="124">
        <v>45090</v>
      </c>
      <c r="R317" s="124">
        <v>45090</v>
      </c>
      <c r="S317" s="124">
        <v>45119</v>
      </c>
      <c r="T317" s="125" t="s">
        <v>612</v>
      </c>
      <c r="U317" s="124"/>
      <c r="V317" s="124"/>
      <c r="W317" s="126"/>
      <c r="X317" s="127"/>
      <c r="Y317" s="121">
        <v>3999999</v>
      </c>
      <c r="Z317" s="120">
        <v>0</v>
      </c>
      <c r="AA317" s="139">
        <v>1</v>
      </c>
      <c r="AB317" s="119">
        <v>39049675</v>
      </c>
      <c r="AC317" s="123" t="s">
        <v>1840</v>
      </c>
      <c r="AD317" s="116"/>
      <c r="AE317" s="116"/>
      <c r="AF317" s="125"/>
      <c r="AG317" s="129" t="s">
        <v>1841</v>
      </c>
      <c r="AH317" s="119" t="s">
        <v>192</v>
      </c>
      <c r="AI317" s="116" t="s">
        <v>191</v>
      </c>
    </row>
    <row r="318" spans="1:35" s="130" customFormat="1" ht="17.25" customHeight="1" x14ac:dyDescent="0.25">
      <c r="A318" s="114">
        <v>891780111</v>
      </c>
      <c r="B318" s="115" t="s">
        <v>54</v>
      </c>
      <c r="C318" s="116" t="s">
        <v>57</v>
      </c>
      <c r="D318" s="115" t="s">
        <v>60</v>
      </c>
      <c r="E318" s="119" t="s">
        <v>1842</v>
      </c>
      <c r="F318" s="118" t="s">
        <v>61</v>
      </c>
      <c r="G318" s="118" t="s">
        <v>69</v>
      </c>
      <c r="H318" s="118" t="s">
        <v>79</v>
      </c>
      <c r="I318" s="135">
        <f>11912094+1422944+4492169</f>
        <v>17827207</v>
      </c>
      <c r="J318" s="118"/>
      <c r="K318" s="121"/>
      <c r="L318" s="121"/>
      <c r="M318" s="122">
        <f t="shared" si="4"/>
        <v>17827207</v>
      </c>
      <c r="N318" s="119">
        <v>806013970</v>
      </c>
      <c r="O318" s="149" t="s">
        <v>1843</v>
      </c>
      <c r="P318" s="116" t="s">
        <v>1844</v>
      </c>
      <c r="Q318" s="124">
        <v>45090</v>
      </c>
      <c r="R318" s="124">
        <v>45090</v>
      </c>
      <c r="S318" s="124">
        <v>45150</v>
      </c>
      <c r="T318" s="125" t="s">
        <v>612</v>
      </c>
      <c r="U318" s="124"/>
      <c r="V318" s="124"/>
      <c r="W318" s="126"/>
      <c r="X318" s="127"/>
      <c r="Y318" s="121">
        <v>17827207</v>
      </c>
      <c r="Z318" s="120">
        <v>0</v>
      </c>
      <c r="AA318" s="139">
        <v>1</v>
      </c>
      <c r="AB318" s="119">
        <v>7597888</v>
      </c>
      <c r="AC318" s="123" t="s">
        <v>1140</v>
      </c>
      <c r="AD318" s="116"/>
      <c r="AE318" s="116"/>
      <c r="AF318" s="125"/>
      <c r="AG318" s="129" t="s">
        <v>1845</v>
      </c>
      <c r="AH318" s="119" t="s">
        <v>192</v>
      </c>
      <c r="AI318" s="116" t="s">
        <v>191</v>
      </c>
    </row>
    <row r="319" spans="1:35" s="130" customFormat="1" ht="17.25" customHeight="1" x14ac:dyDescent="0.25">
      <c r="A319" s="114">
        <v>891780111</v>
      </c>
      <c r="B319" s="115" t="s">
        <v>54</v>
      </c>
      <c r="C319" s="116" t="s">
        <v>57</v>
      </c>
      <c r="D319" s="115" t="s">
        <v>60</v>
      </c>
      <c r="E319" s="119" t="s">
        <v>1846</v>
      </c>
      <c r="F319" s="118" t="s">
        <v>61</v>
      </c>
      <c r="G319" s="118" t="s">
        <v>69</v>
      </c>
      <c r="H319" s="118" t="s">
        <v>79</v>
      </c>
      <c r="I319" s="135">
        <f>7972000+3738000</f>
        <v>11710000</v>
      </c>
      <c r="J319" s="118"/>
      <c r="K319" s="121"/>
      <c r="L319" s="121"/>
      <c r="M319" s="122">
        <f t="shared" si="4"/>
        <v>11710000</v>
      </c>
      <c r="N319" s="119">
        <v>806015647</v>
      </c>
      <c r="O319" s="123" t="s">
        <v>1739</v>
      </c>
      <c r="P319" s="116" t="s">
        <v>1847</v>
      </c>
      <c r="Q319" s="124">
        <v>45091</v>
      </c>
      <c r="R319" s="124">
        <v>45091</v>
      </c>
      <c r="S319" s="124">
        <v>45151</v>
      </c>
      <c r="T319" s="125" t="s">
        <v>612</v>
      </c>
      <c r="U319" s="124"/>
      <c r="V319" s="124"/>
      <c r="W319" s="126"/>
      <c r="X319" s="127"/>
      <c r="Y319" s="121">
        <v>0</v>
      </c>
      <c r="Z319" s="120">
        <v>11710000</v>
      </c>
      <c r="AA319" s="139">
        <v>0</v>
      </c>
      <c r="AB319" s="119">
        <v>1126243383</v>
      </c>
      <c r="AC319" s="119" t="s">
        <v>1848</v>
      </c>
      <c r="AD319" s="116"/>
      <c r="AE319" s="116"/>
      <c r="AF319" s="125"/>
      <c r="AG319" s="140" t="s">
        <v>1849</v>
      </c>
      <c r="AH319" s="119" t="s">
        <v>192</v>
      </c>
      <c r="AI319" s="116" t="s">
        <v>191</v>
      </c>
    </row>
    <row r="320" spans="1:35" s="130" customFormat="1" ht="17.25" customHeight="1" x14ac:dyDescent="0.25">
      <c r="A320" s="114">
        <v>891780111</v>
      </c>
      <c r="B320" s="115" t="s">
        <v>54</v>
      </c>
      <c r="C320" s="116" t="s">
        <v>57</v>
      </c>
      <c r="D320" s="115" t="s">
        <v>60</v>
      </c>
      <c r="E320" s="119" t="s">
        <v>1850</v>
      </c>
      <c r="F320" s="118" t="s">
        <v>61</v>
      </c>
      <c r="G320" s="118" t="s">
        <v>69</v>
      </c>
      <c r="H320" s="118" t="s">
        <v>79</v>
      </c>
      <c r="I320" s="135">
        <f>2644180+1249500</f>
        <v>3893680</v>
      </c>
      <c r="J320" s="118"/>
      <c r="K320" s="121"/>
      <c r="L320" s="121"/>
      <c r="M320" s="122">
        <f t="shared" si="4"/>
        <v>3893680</v>
      </c>
      <c r="N320" s="119">
        <v>800154351</v>
      </c>
      <c r="O320" s="119" t="s">
        <v>1744</v>
      </c>
      <c r="P320" s="116" t="s">
        <v>1851</v>
      </c>
      <c r="Q320" s="124">
        <v>45092</v>
      </c>
      <c r="R320" s="124">
        <v>45092</v>
      </c>
      <c r="S320" s="124">
        <v>45213</v>
      </c>
      <c r="T320" s="125" t="s">
        <v>612</v>
      </c>
      <c r="U320" s="124"/>
      <c r="V320" s="124"/>
      <c r="W320" s="126"/>
      <c r="X320" s="127"/>
      <c r="Y320" s="121">
        <v>0</v>
      </c>
      <c r="Z320" s="120">
        <v>3893680</v>
      </c>
      <c r="AA320" s="139">
        <v>0</v>
      </c>
      <c r="AB320" s="119">
        <v>7597888</v>
      </c>
      <c r="AC320" s="119" t="s">
        <v>1140</v>
      </c>
      <c r="AD320" s="116"/>
      <c r="AE320" s="116"/>
      <c r="AF320" s="125"/>
      <c r="AG320" s="140" t="s">
        <v>1852</v>
      </c>
      <c r="AH320" s="119" t="s">
        <v>192</v>
      </c>
      <c r="AI320" s="116" t="s">
        <v>191</v>
      </c>
    </row>
    <row r="321" spans="1:35" s="130" customFormat="1" ht="17.25" customHeight="1" x14ac:dyDescent="0.25">
      <c r="A321" s="114">
        <v>891780111</v>
      </c>
      <c r="B321" s="115" t="s">
        <v>54</v>
      </c>
      <c r="C321" s="116" t="s">
        <v>57</v>
      </c>
      <c r="D321" s="115" t="s">
        <v>60</v>
      </c>
      <c r="E321" s="119" t="s">
        <v>1853</v>
      </c>
      <c r="F321" s="118" t="s">
        <v>61</v>
      </c>
      <c r="G321" s="118" t="s">
        <v>69</v>
      </c>
      <c r="H321" s="118" t="s">
        <v>79</v>
      </c>
      <c r="I321" s="135">
        <v>36997100</v>
      </c>
      <c r="J321" s="118"/>
      <c r="K321" s="121"/>
      <c r="L321" s="121"/>
      <c r="M321" s="122">
        <f t="shared" si="4"/>
        <v>36997100</v>
      </c>
      <c r="N321" s="119">
        <v>900763287</v>
      </c>
      <c r="O321" s="123" t="s">
        <v>1657</v>
      </c>
      <c r="P321" s="116" t="s">
        <v>1854</v>
      </c>
      <c r="Q321" s="124">
        <v>45093</v>
      </c>
      <c r="R321" s="124">
        <v>45093</v>
      </c>
      <c r="S321" s="124">
        <v>45153</v>
      </c>
      <c r="T321" s="125" t="s">
        <v>612</v>
      </c>
      <c r="U321" s="124"/>
      <c r="V321" s="124"/>
      <c r="W321" s="126"/>
      <c r="X321" s="127"/>
      <c r="Y321" s="121">
        <v>0</v>
      </c>
      <c r="Z321" s="120">
        <v>36997100</v>
      </c>
      <c r="AA321" s="139">
        <v>0</v>
      </c>
      <c r="AB321" s="119">
        <v>51909946</v>
      </c>
      <c r="AC321" s="119" t="s">
        <v>1855</v>
      </c>
      <c r="AD321" s="116"/>
      <c r="AE321" s="116"/>
      <c r="AF321" s="125"/>
      <c r="AG321" s="140" t="s">
        <v>1856</v>
      </c>
      <c r="AH321" s="119" t="s">
        <v>192</v>
      </c>
      <c r="AI321" s="116" t="s">
        <v>191</v>
      </c>
    </row>
    <row r="322" spans="1:35" s="130" customFormat="1" ht="17.25" customHeight="1" x14ac:dyDescent="0.25">
      <c r="A322" s="114">
        <v>891780111</v>
      </c>
      <c r="B322" s="115" t="s">
        <v>54</v>
      </c>
      <c r="C322" s="116" t="s">
        <v>57</v>
      </c>
      <c r="D322" s="115" t="s">
        <v>60</v>
      </c>
      <c r="E322" s="119" t="s">
        <v>1857</v>
      </c>
      <c r="F322" s="118" t="s">
        <v>61</v>
      </c>
      <c r="G322" s="118" t="s">
        <v>69</v>
      </c>
      <c r="H322" s="118" t="s">
        <v>79</v>
      </c>
      <c r="I322" s="135">
        <v>50997450</v>
      </c>
      <c r="J322" s="118"/>
      <c r="K322" s="121"/>
      <c r="L322" s="121"/>
      <c r="M322" s="122">
        <f t="shared" si="4"/>
        <v>50997450</v>
      </c>
      <c r="N322" s="143">
        <v>900392689</v>
      </c>
      <c r="O322" s="119" t="s">
        <v>1858</v>
      </c>
      <c r="P322" s="116" t="s">
        <v>1859</v>
      </c>
      <c r="Q322" s="124">
        <v>45097</v>
      </c>
      <c r="R322" s="124">
        <v>45097</v>
      </c>
      <c r="S322" s="124">
        <v>45126</v>
      </c>
      <c r="T322" s="125" t="s">
        <v>612</v>
      </c>
      <c r="U322" s="124"/>
      <c r="V322" s="124"/>
      <c r="W322" s="126"/>
      <c r="X322" s="127"/>
      <c r="Y322" s="121">
        <v>50997450</v>
      </c>
      <c r="Z322" s="120">
        <v>0</v>
      </c>
      <c r="AA322" s="139">
        <v>1</v>
      </c>
      <c r="AB322" s="119">
        <v>7630378</v>
      </c>
      <c r="AC322" s="119" t="s">
        <v>1860</v>
      </c>
      <c r="AD322" s="116" t="s">
        <v>192</v>
      </c>
      <c r="AE322" s="116"/>
      <c r="AF322" s="125">
        <v>45097</v>
      </c>
      <c r="AG322" s="140" t="s">
        <v>1861</v>
      </c>
      <c r="AH322" s="119" t="s">
        <v>192</v>
      </c>
      <c r="AI322" s="116" t="s">
        <v>191</v>
      </c>
    </row>
    <row r="323" spans="1:35" s="130" customFormat="1" ht="17.25" customHeight="1" x14ac:dyDescent="0.25">
      <c r="A323" s="114">
        <v>891780111</v>
      </c>
      <c r="B323" s="115" t="s">
        <v>54</v>
      </c>
      <c r="C323" s="116" t="s">
        <v>57</v>
      </c>
      <c r="D323" s="115" t="s">
        <v>60</v>
      </c>
      <c r="E323" s="119" t="s">
        <v>1862</v>
      </c>
      <c r="F323" s="118" t="s">
        <v>61</v>
      </c>
      <c r="G323" s="118" t="s">
        <v>69</v>
      </c>
      <c r="H323" s="118" t="s">
        <v>79</v>
      </c>
      <c r="I323" s="135">
        <f>5060000+98000</f>
        <v>5158000</v>
      </c>
      <c r="J323" s="118"/>
      <c r="K323" s="121"/>
      <c r="L323" s="121"/>
      <c r="M323" s="122">
        <f t="shared" si="4"/>
        <v>5158000</v>
      </c>
      <c r="N323" s="119">
        <v>806015647</v>
      </c>
      <c r="O323" s="119" t="s">
        <v>1739</v>
      </c>
      <c r="P323" s="116" t="s">
        <v>1863</v>
      </c>
      <c r="Q323" s="124">
        <v>45099</v>
      </c>
      <c r="R323" s="124">
        <v>45099</v>
      </c>
      <c r="S323" s="124">
        <v>45128</v>
      </c>
      <c r="T323" s="125" t="s">
        <v>612</v>
      </c>
      <c r="U323" s="124"/>
      <c r="V323" s="124"/>
      <c r="W323" s="126"/>
      <c r="X323" s="127"/>
      <c r="Y323" s="121">
        <v>5158000</v>
      </c>
      <c r="Z323" s="120">
        <v>0</v>
      </c>
      <c r="AA323" s="139">
        <v>1</v>
      </c>
      <c r="AB323" s="119">
        <v>5056184</v>
      </c>
      <c r="AC323" s="119" t="s">
        <v>1801</v>
      </c>
      <c r="AD323" s="116"/>
      <c r="AE323" s="116"/>
      <c r="AF323" s="125"/>
      <c r="AG323" s="140" t="s">
        <v>1864</v>
      </c>
      <c r="AH323" s="119" t="s">
        <v>192</v>
      </c>
      <c r="AI323" s="116" t="s">
        <v>191</v>
      </c>
    </row>
    <row r="324" spans="1:35" s="130" customFormat="1" ht="17.25" customHeight="1" x14ac:dyDescent="0.25">
      <c r="A324" s="114">
        <v>891780111</v>
      </c>
      <c r="B324" s="115" t="s">
        <v>54</v>
      </c>
      <c r="C324" s="116" t="s">
        <v>57</v>
      </c>
      <c r="D324" s="115" t="s">
        <v>60</v>
      </c>
      <c r="E324" s="119" t="s">
        <v>1865</v>
      </c>
      <c r="F324" s="118" t="s">
        <v>61</v>
      </c>
      <c r="G324" s="118" t="s">
        <v>69</v>
      </c>
      <c r="H324" s="118" t="s">
        <v>79</v>
      </c>
      <c r="I324" s="120">
        <v>4633860</v>
      </c>
      <c r="J324" s="118"/>
      <c r="K324" s="121"/>
      <c r="L324" s="121"/>
      <c r="M324" s="122">
        <f t="shared" si="4"/>
        <v>4633860</v>
      </c>
      <c r="N324" s="119">
        <v>811021363</v>
      </c>
      <c r="O324" s="123" t="s">
        <v>1694</v>
      </c>
      <c r="P324" s="116" t="s">
        <v>1866</v>
      </c>
      <c r="Q324" s="124">
        <v>45099</v>
      </c>
      <c r="R324" s="124">
        <v>45099</v>
      </c>
      <c r="S324" s="124">
        <v>45128</v>
      </c>
      <c r="T324" s="125" t="s">
        <v>612</v>
      </c>
      <c r="U324" s="124"/>
      <c r="V324" s="124"/>
      <c r="W324" s="126"/>
      <c r="X324" s="127"/>
      <c r="Y324" s="121">
        <v>0</v>
      </c>
      <c r="Z324" s="120">
        <v>4633860</v>
      </c>
      <c r="AA324" s="139">
        <v>0</v>
      </c>
      <c r="AB324" s="119">
        <v>7456789</v>
      </c>
      <c r="AC324" s="136" t="s">
        <v>1867</v>
      </c>
      <c r="AD324" s="116"/>
      <c r="AE324" s="116"/>
      <c r="AF324" s="125"/>
      <c r="AG324" s="140" t="s">
        <v>1868</v>
      </c>
      <c r="AH324" s="119" t="s">
        <v>192</v>
      </c>
      <c r="AI324" s="116" t="s">
        <v>191</v>
      </c>
    </row>
    <row r="325" spans="1:35" s="130" customFormat="1" ht="17.25" customHeight="1" x14ac:dyDescent="0.25">
      <c r="A325" s="114">
        <v>891780111</v>
      </c>
      <c r="B325" s="115" t="s">
        <v>54</v>
      </c>
      <c r="C325" s="116" t="s">
        <v>57</v>
      </c>
      <c r="D325" s="115" t="s">
        <v>60</v>
      </c>
      <c r="E325" s="119" t="s">
        <v>1869</v>
      </c>
      <c r="F325" s="118" t="s">
        <v>61</v>
      </c>
      <c r="G325" s="118" t="s">
        <v>69</v>
      </c>
      <c r="H325" s="118" t="s">
        <v>79</v>
      </c>
      <c r="I325" s="120">
        <v>1350000</v>
      </c>
      <c r="J325" s="118"/>
      <c r="K325" s="121"/>
      <c r="L325" s="121"/>
      <c r="M325" s="122">
        <f t="shared" si="4"/>
        <v>1350000</v>
      </c>
      <c r="N325" s="119">
        <v>1124010239</v>
      </c>
      <c r="O325" s="123" t="s">
        <v>1752</v>
      </c>
      <c r="P325" s="116" t="s">
        <v>1870</v>
      </c>
      <c r="Q325" s="124">
        <v>45100</v>
      </c>
      <c r="R325" s="124">
        <v>45100</v>
      </c>
      <c r="S325" s="124">
        <v>45160</v>
      </c>
      <c r="T325" s="125" t="s">
        <v>612</v>
      </c>
      <c r="U325" s="124"/>
      <c r="V325" s="124"/>
      <c r="W325" s="126"/>
      <c r="X325" s="127"/>
      <c r="Y325" s="121">
        <v>1350000</v>
      </c>
      <c r="Z325" s="120">
        <v>0</v>
      </c>
      <c r="AA325" s="139">
        <v>1</v>
      </c>
      <c r="AB325" s="119">
        <v>1083464086</v>
      </c>
      <c r="AC325" s="136" t="s">
        <v>1706</v>
      </c>
      <c r="AD325" s="116"/>
      <c r="AE325" s="116"/>
      <c r="AF325" s="125"/>
      <c r="AG325" s="140" t="s">
        <v>1871</v>
      </c>
      <c r="AH325" s="119" t="s">
        <v>192</v>
      </c>
      <c r="AI325" s="116" t="s">
        <v>191</v>
      </c>
    </row>
    <row r="326" spans="1:35" s="130" customFormat="1" ht="17.25" customHeight="1" x14ac:dyDescent="0.25">
      <c r="A326" s="114">
        <v>891780111</v>
      </c>
      <c r="B326" s="115" t="s">
        <v>54</v>
      </c>
      <c r="C326" s="116" t="s">
        <v>57</v>
      </c>
      <c r="D326" s="115" t="s">
        <v>60</v>
      </c>
      <c r="E326" s="119" t="s">
        <v>1872</v>
      </c>
      <c r="F326" s="118" t="s">
        <v>61</v>
      </c>
      <c r="G326" s="118" t="s">
        <v>69</v>
      </c>
      <c r="H326" s="118" t="s">
        <v>79</v>
      </c>
      <c r="I326" s="120">
        <v>31418150</v>
      </c>
      <c r="J326" s="118"/>
      <c r="K326" s="121"/>
      <c r="L326" s="121"/>
      <c r="M326" s="122">
        <f t="shared" ref="M326:M360" si="5">+(I326+K326)-L326</f>
        <v>31418150</v>
      </c>
      <c r="N326" s="119">
        <v>900428481</v>
      </c>
      <c r="O326" s="123" t="s">
        <v>1873</v>
      </c>
      <c r="P326" s="116" t="s">
        <v>1874</v>
      </c>
      <c r="Q326" s="124">
        <v>45100</v>
      </c>
      <c r="R326" s="124">
        <v>45100</v>
      </c>
      <c r="S326" s="124">
        <v>45160</v>
      </c>
      <c r="T326" s="125" t="s">
        <v>612</v>
      </c>
      <c r="U326" s="124"/>
      <c r="V326" s="124"/>
      <c r="W326" s="126"/>
      <c r="X326" s="127"/>
      <c r="Y326" s="121">
        <v>0</v>
      </c>
      <c r="Z326" s="120">
        <v>31418150</v>
      </c>
      <c r="AA326" s="139">
        <v>0</v>
      </c>
      <c r="AB326" s="119">
        <v>52389076</v>
      </c>
      <c r="AC326" s="136" t="s">
        <v>864</v>
      </c>
      <c r="AD326" s="116"/>
      <c r="AE326" s="116"/>
      <c r="AF326" s="125"/>
      <c r="AG326" s="140" t="s">
        <v>1875</v>
      </c>
      <c r="AH326" s="119" t="s">
        <v>192</v>
      </c>
      <c r="AI326" s="116" t="s">
        <v>191</v>
      </c>
    </row>
    <row r="327" spans="1:35" s="130" customFormat="1" ht="17.25" customHeight="1" x14ac:dyDescent="0.25">
      <c r="A327" s="114">
        <v>891780111</v>
      </c>
      <c r="B327" s="115" t="s">
        <v>54</v>
      </c>
      <c r="C327" s="116" t="s">
        <v>57</v>
      </c>
      <c r="D327" s="115" t="s">
        <v>60</v>
      </c>
      <c r="E327" s="119" t="s">
        <v>1876</v>
      </c>
      <c r="F327" s="118" t="s">
        <v>61</v>
      </c>
      <c r="G327" s="118" t="s">
        <v>69</v>
      </c>
      <c r="H327" s="118" t="s">
        <v>79</v>
      </c>
      <c r="I327" s="120">
        <v>4604362</v>
      </c>
      <c r="J327" s="118"/>
      <c r="K327" s="121"/>
      <c r="L327" s="121"/>
      <c r="M327" s="122">
        <f t="shared" si="5"/>
        <v>4604362</v>
      </c>
      <c r="N327" s="119">
        <v>860500862</v>
      </c>
      <c r="O327" s="123" t="s">
        <v>1877</v>
      </c>
      <c r="P327" s="116" t="s">
        <v>1878</v>
      </c>
      <c r="Q327" s="124">
        <v>45100</v>
      </c>
      <c r="R327" s="124">
        <v>45100</v>
      </c>
      <c r="S327" s="124">
        <v>45221</v>
      </c>
      <c r="T327" s="125" t="s">
        <v>612</v>
      </c>
      <c r="U327" s="124"/>
      <c r="V327" s="124"/>
      <c r="W327" s="126"/>
      <c r="X327" s="127"/>
      <c r="Y327" s="121">
        <v>0</v>
      </c>
      <c r="Z327" s="120">
        <v>4604362</v>
      </c>
      <c r="AA327" s="139">
        <v>0</v>
      </c>
      <c r="AB327" s="119">
        <v>52389076</v>
      </c>
      <c r="AC327" s="136" t="s">
        <v>864</v>
      </c>
      <c r="AD327" s="116"/>
      <c r="AE327" s="116"/>
      <c r="AF327" s="125"/>
      <c r="AG327" s="140" t="s">
        <v>1879</v>
      </c>
      <c r="AH327" s="119" t="s">
        <v>192</v>
      </c>
      <c r="AI327" s="116" t="s">
        <v>191</v>
      </c>
    </row>
    <row r="328" spans="1:35" s="130" customFormat="1" ht="17.25" customHeight="1" x14ac:dyDescent="0.25">
      <c r="A328" s="114">
        <v>891780111</v>
      </c>
      <c r="B328" s="115" t="s">
        <v>54</v>
      </c>
      <c r="C328" s="116" t="s">
        <v>57</v>
      </c>
      <c r="D328" s="115" t="s">
        <v>60</v>
      </c>
      <c r="E328" s="119" t="s">
        <v>1880</v>
      </c>
      <c r="F328" s="118" t="s">
        <v>61</v>
      </c>
      <c r="G328" s="118" t="s">
        <v>69</v>
      </c>
      <c r="H328" s="118" t="s">
        <v>79</v>
      </c>
      <c r="I328" s="135">
        <f>2199970+6800000</f>
        <v>8999970</v>
      </c>
      <c r="J328" s="118"/>
      <c r="K328" s="121"/>
      <c r="L328" s="121"/>
      <c r="M328" s="122">
        <f t="shared" si="5"/>
        <v>8999970</v>
      </c>
      <c r="N328" s="119">
        <v>900428481</v>
      </c>
      <c r="O328" s="119" t="s">
        <v>1873</v>
      </c>
      <c r="P328" s="116" t="s">
        <v>1881</v>
      </c>
      <c r="Q328" s="124">
        <v>45100</v>
      </c>
      <c r="R328" s="124">
        <v>45100</v>
      </c>
      <c r="S328" s="124">
        <v>45160</v>
      </c>
      <c r="T328" s="125" t="s">
        <v>612</v>
      </c>
      <c r="U328" s="124"/>
      <c r="V328" s="124"/>
      <c r="W328" s="126"/>
      <c r="X328" s="127"/>
      <c r="Y328" s="121">
        <v>0</v>
      </c>
      <c r="Z328" s="120">
        <v>8999970</v>
      </c>
      <c r="AA328" s="139">
        <v>0</v>
      </c>
      <c r="AB328" s="119">
        <v>26670405</v>
      </c>
      <c r="AC328" s="119" t="s">
        <v>1882</v>
      </c>
      <c r="AD328" s="116"/>
      <c r="AE328" s="116"/>
      <c r="AF328" s="125"/>
      <c r="AG328" s="140" t="s">
        <v>1883</v>
      </c>
      <c r="AH328" s="119" t="s">
        <v>192</v>
      </c>
      <c r="AI328" s="116" t="s">
        <v>191</v>
      </c>
    </row>
    <row r="329" spans="1:35" s="130" customFormat="1" ht="17.25" customHeight="1" x14ac:dyDescent="0.25">
      <c r="A329" s="114">
        <v>891780111</v>
      </c>
      <c r="B329" s="115" t="s">
        <v>54</v>
      </c>
      <c r="C329" s="116" t="s">
        <v>57</v>
      </c>
      <c r="D329" s="115" t="s">
        <v>60</v>
      </c>
      <c r="E329" s="119" t="s">
        <v>1884</v>
      </c>
      <c r="F329" s="118" t="s">
        <v>61</v>
      </c>
      <c r="G329" s="118" t="s">
        <v>69</v>
      </c>
      <c r="H329" s="118" t="s">
        <v>79</v>
      </c>
      <c r="I329" s="135">
        <v>4998000</v>
      </c>
      <c r="J329" s="118"/>
      <c r="K329" s="121"/>
      <c r="L329" s="121"/>
      <c r="M329" s="122">
        <f t="shared" si="5"/>
        <v>4998000</v>
      </c>
      <c r="N329" s="143">
        <v>900763287</v>
      </c>
      <c r="O329" s="119" t="s">
        <v>1657</v>
      </c>
      <c r="P329" s="116" t="s">
        <v>1885</v>
      </c>
      <c r="Q329" s="124">
        <v>45100</v>
      </c>
      <c r="R329" s="124">
        <v>45100</v>
      </c>
      <c r="S329" s="124">
        <v>45129</v>
      </c>
      <c r="T329" s="125" t="s">
        <v>612</v>
      </c>
      <c r="U329" s="124"/>
      <c r="V329" s="124"/>
      <c r="W329" s="126"/>
      <c r="X329" s="127"/>
      <c r="Y329" s="121">
        <v>0</v>
      </c>
      <c r="Z329" s="120">
        <v>4998000</v>
      </c>
      <c r="AA329" s="139">
        <v>0</v>
      </c>
      <c r="AB329" s="119">
        <v>51909946</v>
      </c>
      <c r="AC329" s="119" t="s">
        <v>1855</v>
      </c>
      <c r="AD329" s="116"/>
      <c r="AE329" s="116"/>
      <c r="AF329" s="125"/>
      <c r="AG329" s="129" t="s">
        <v>1886</v>
      </c>
      <c r="AH329" s="119" t="s">
        <v>192</v>
      </c>
      <c r="AI329" s="116" t="s">
        <v>191</v>
      </c>
    </row>
    <row r="330" spans="1:35" s="130" customFormat="1" ht="17.25" customHeight="1" x14ac:dyDescent="0.25">
      <c r="A330" s="114">
        <v>891780111</v>
      </c>
      <c r="B330" s="115" t="s">
        <v>54</v>
      </c>
      <c r="C330" s="116" t="s">
        <v>57</v>
      </c>
      <c r="D330" s="115" t="s">
        <v>60</v>
      </c>
      <c r="E330" s="119" t="s">
        <v>1887</v>
      </c>
      <c r="F330" s="118" t="s">
        <v>61</v>
      </c>
      <c r="G330" s="118" t="s">
        <v>69</v>
      </c>
      <c r="H330" s="118" t="s">
        <v>79</v>
      </c>
      <c r="I330" s="135">
        <v>6825000</v>
      </c>
      <c r="J330" s="118"/>
      <c r="K330" s="121"/>
      <c r="L330" s="121"/>
      <c r="M330" s="122">
        <f t="shared" si="5"/>
        <v>6825000</v>
      </c>
      <c r="N330" s="119">
        <v>1124010239</v>
      </c>
      <c r="O330" s="123" t="s">
        <v>1752</v>
      </c>
      <c r="P330" s="116" t="s">
        <v>1888</v>
      </c>
      <c r="Q330" s="124">
        <v>45100</v>
      </c>
      <c r="R330" s="124">
        <v>45100</v>
      </c>
      <c r="S330" s="124">
        <v>45160</v>
      </c>
      <c r="T330" s="125" t="s">
        <v>612</v>
      </c>
      <c r="U330" s="124"/>
      <c r="V330" s="124"/>
      <c r="W330" s="126"/>
      <c r="X330" s="127"/>
      <c r="Y330" s="121">
        <v>0</v>
      </c>
      <c r="Z330" s="120">
        <v>6825000</v>
      </c>
      <c r="AA330" s="139">
        <v>0</v>
      </c>
      <c r="AB330" s="119">
        <v>51909946</v>
      </c>
      <c r="AC330" s="119" t="s">
        <v>1889</v>
      </c>
      <c r="AD330" s="116"/>
      <c r="AE330" s="116"/>
      <c r="AF330" s="125"/>
      <c r="AG330" s="140" t="s">
        <v>1890</v>
      </c>
      <c r="AH330" s="119" t="s">
        <v>192</v>
      </c>
      <c r="AI330" s="116" t="s">
        <v>191</v>
      </c>
    </row>
    <row r="331" spans="1:35" s="130" customFormat="1" ht="17.25" customHeight="1" x14ac:dyDescent="0.25">
      <c r="A331" s="114">
        <v>891780111</v>
      </c>
      <c r="B331" s="115" t="s">
        <v>54</v>
      </c>
      <c r="C331" s="116" t="s">
        <v>57</v>
      </c>
      <c r="D331" s="115" t="s">
        <v>60</v>
      </c>
      <c r="E331" s="119" t="s">
        <v>1891</v>
      </c>
      <c r="F331" s="118" t="s">
        <v>61</v>
      </c>
      <c r="G331" s="118" t="s">
        <v>69</v>
      </c>
      <c r="H331" s="118" t="s">
        <v>79</v>
      </c>
      <c r="I331" s="142">
        <v>7074550</v>
      </c>
      <c r="J331" s="118"/>
      <c r="K331" s="121"/>
      <c r="L331" s="121"/>
      <c r="M331" s="122">
        <f t="shared" si="5"/>
        <v>7074550</v>
      </c>
      <c r="N331" s="116">
        <v>830145062</v>
      </c>
      <c r="O331" s="119" t="s">
        <v>1892</v>
      </c>
      <c r="P331" s="116" t="s">
        <v>1878</v>
      </c>
      <c r="Q331" s="124">
        <v>45103</v>
      </c>
      <c r="R331" s="124">
        <v>45103</v>
      </c>
      <c r="S331" s="124">
        <v>45132</v>
      </c>
      <c r="T331" s="125" t="s">
        <v>612</v>
      </c>
      <c r="U331" s="124"/>
      <c r="V331" s="124"/>
      <c r="W331" s="126"/>
      <c r="X331" s="127"/>
      <c r="Y331" s="121">
        <v>0</v>
      </c>
      <c r="Z331" s="120">
        <v>7074550</v>
      </c>
      <c r="AA331" s="139">
        <v>0</v>
      </c>
      <c r="AB331" s="119">
        <v>84452442</v>
      </c>
      <c r="AC331" s="119" t="s">
        <v>1055</v>
      </c>
      <c r="AD331" s="116"/>
      <c r="AE331" s="116"/>
      <c r="AF331" s="125"/>
      <c r="AG331" s="140" t="s">
        <v>1893</v>
      </c>
      <c r="AH331" s="119" t="s">
        <v>192</v>
      </c>
      <c r="AI331" s="116" t="s">
        <v>191</v>
      </c>
    </row>
    <row r="332" spans="1:35" s="130" customFormat="1" ht="17.25" customHeight="1" x14ac:dyDescent="0.25">
      <c r="A332" s="114">
        <v>891780111</v>
      </c>
      <c r="B332" s="115" t="s">
        <v>54</v>
      </c>
      <c r="C332" s="116" t="s">
        <v>57</v>
      </c>
      <c r="D332" s="115" t="s">
        <v>60</v>
      </c>
      <c r="E332" s="119" t="s">
        <v>1894</v>
      </c>
      <c r="F332" s="118" t="s">
        <v>61</v>
      </c>
      <c r="G332" s="118" t="s">
        <v>69</v>
      </c>
      <c r="H332" s="118" t="s">
        <v>79</v>
      </c>
      <c r="I332" s="142">
        <v>38853500</v>
      </c>
      <c r="J332" s="118"/>
      <c r="K332" s="121"/>
      <c r="L332" s="121"/>
      <c r="M332" s="122">
        <f t="shared" si="5"/>
        <v>38853500</v>
      </c>
      <c r="N332" s="116">
        <v>900160119</v>
      </c>
      <c r="O332" s="119" t="s">
        <v>1895</v>
      </c>
      <c r="P332" s="116" t="s">
        <v>1896</v>
      </c>
      <c r="Q332" s="124">
        <v>45113</v>
      </c>
      <c r="R332" s="124">
        <v>45113</v>
      </c>
      <c r="S332" s="124">
        <v>45204</v>
      </c>
      <c r="T332" s="125" t="s">
        <v>612</v>
      </c>
      <c r="U332" s="124"/>
      <c r="V332" s="124"/>
      <c r="W332" s="126"/>
      <c r="X332" s="127"/>
      <c r="Y332" s="121">
        <v>0</v>
      </c>
      <c r="Z332" s="120">
        <v>38853500</v>
      </c>
      <c r="AA332" s="139">
        <v>0</v>
      </c>
      <c r="AB332" s="119">
        <v>900160119</v>
      </c>
      <c r="AC332" s="145" t="s">
        <v>1895</v>
      </c>
      <c r="AD332" s="116"/>
      <c r="AE332" s="116"/>
      <c r="AF332" s="125"/>
      <c r="AG332" s="140" t="s">
        <v>1897</v>
      </c>
      <c r="AH332" s="119" t="s">
        <v>192</v>
      </c>
      <c r="AI332" s="116" t="s">
        <v>191</v>
      </c>
    </row>
    <row r="333" spans="1:35" s="130" customFormat="1" ht="17.25" customHeight="1" x14ac:dyDescent="0.25">
      <c r="A333" s="114">
        <v>891780111</v>
      </c>
      <c r="B333" s="115" t="s">
        <v>54</v>
      </c>
      <c r="C333" s="116" t="s">
        <v>57</v>
      </c>
      <c r="D333" s="115" t="s">
        <v>60</v>
      </c>
      <c r="E333" s="119" t="s">
        <v>1898</v>
      </c>
      <c r="F333" s="118" t="s">
        <v>61</v>
      </c>
      <c r="G333" s="118" t="s">
        <v>69</v>
      </c>
      <c r="H333" s="118" t="s">
        <v>79</v>
      </c>
      <c r="I333" s="142">
        <v>13229230</v>
      </c>
      <c r="J333" s="118"/>
      <c r="K333" s="121"/>
      <c r="L333" s="121"/>
      <c r="M333" s="122">
        <f t="shared" si="5"/>
        <v>13229230</v>
      </c>
      <c r="N333" s="116">
        <v>900815934</v>
      </c>
      <c r="O333" s="119" t="s">
        <v>1799</v>
      </c>
      <c r="P333" s="116" t="s">
        <v>1899</v>
      </c>
      <c r="Q333" s="124">
        <v>45114</v>
      </c>
      <c r="R333" s="124">
        <v>45114</v>
      </c>
      <c r="S333" s="124">
        <v>45175</v>
      </c>
      <c r="T333" s="125" t="s">
        <v>612</v>
      </c>
      <c r="U333" s="124"/>
      <c r="V333" s="124"/>
      <c r="W333" s="126"/>
      <c r="X333" s="127"/>
      <c r="Y333" s="121">
        <v>0</v>
      </c>
      <c r="Z333" s="120">
        <v>13229230</v>
      </c>
      <c r="AA333" s="139">
        <v>0</v>
      </c>
      <c r="AB333" s="119">
        <v>900815934</v>
      </c>
      <c r="AC333" s="119" t="s">
        <v>1799</v>
      </c>
      <c r="AD333" s="116"/>
      <c r="AE333" s="116"/>
      <c r="AF333" s="125"/>
      <c r="AG333" s="140" t="s">
        <v>1900</v>
      </c>
      <c r="AH333" s="119" t="s">
        <v>192</v>
      </c>
      <c r="AI333" s="116" t="s">
        <v>191</v>
      </c>
    </row>
    <row r="334" spans="1:35" s="130" customFormat="1" ht="17.25" customHeight="1" x14ac:dyDescent="0.25">
      <c r="A334" s="114">
        <v>891780111</v>
      </c>
      <c r="B334" s="115" t="s">
        <v>54</v>
      </c>
      <c r="C334" s="116" t="s">
        <v>57</v>
      </c>
      <c r="D334" s="115" t="s">
        <v>60</v>
      </c>
      <c r="E334" s="119" t="s">
        <v>1901</v>
      </c>
      <c r="F334" s="118" t="s">
        <v>61</v>
      </c>
      <c r="G334" s="118" t="s">
        <v>69</v>
      </c>
      <c r="H334" s="118" t="s">
        <v>79</v>
      </c>
      <c r="I334" s="142">
        <v>5820000</v>
      </c>
      <c r="J334" s="118"/>
      <c r="K334" s="121"/>
      <c r="L334" s="121"/>
      <c r="M334" s="122">
        <f t="shared" si="5"/>
        <v>5820000</v>
      </c>
      <c r="N334" s="116">
        <v>900081578</v>
      </c>
      <c r="O334" s="119" t="s">
        <v>1816</v>
      </c>
      <c r="P334" s="116" t="s">
        <v>1902</v>
      </c>
      <c r="Q334" s="124">
        <v>45114</v>
      </c>
      <c r="R334" s="124">
        <v>45114</v>
      </c>
      <c r="S334" s="124">
        <v>45144</v>
      </c>
      <c r="T334" s="125" t="s">
        <v>612</v>
      </c>
      <c r="U334" s="124"/>
      <c r="V334" s="124"/>
      <c r="W334" s="126"/>
      <c r="X334" s="127"/>
      <c r="Y334" s="121">
        <v>0</v>
      </c>
      <c r="Z334" s="120">
        <v>5820000</v>
      </c>
      <c r="AA334" s="139">
        <v>0</v>
      </c>
      <c r="AB334" s="119">
        <v>900081578</v>
      </c>
      <c r="AC334" s="119" t="s">
        <v>1816</v>
      </c>
      <c r="AD334" s="116"/>
      <c r="AE334" s="116"/>
      <c r="AF334" s="125"/>
      <c r="AG334" s="140" t="s">
        <v>1903</v>
      </c>
      <c r="AH334" s="119" t="s">
        <v>192</v>
      </c>
      <c r="AI334" s="116" t="s">
        <v>191</v>
      </c>
    </row>
    <row r="335" spans="1:35" s="130" customFormat="1" ht="17.25" customHeight="1" x14ac:dyDescent="0.25">
      <c r="A335" s="114">
        <v>891780111</v>
      </c>
      <c r="B335" s="115" t="s">
        <v>54</v>
      </c>
      <c r="C335" s="116" t="s">
        <v>57</v>
      </c>
      <c r="D335" s="115" t="s">
        <v>60</v>
      </c>
      <c r="E335" s="119" t="s">
        <v>1904</v>
      </c>
      <c r="F335" s="118" t="s">
        <v>61</v>
      </c>
      <c r="G335" s="118" t="s">
        <v>69</v>
      </c>
      <c r="H335" s="118" t="s">
        <v>79</v>
      </c>
      <c r="I335" s="142">
        <v>1487500</v>
      </c>
      <c r="J335" s="118"/>
      <c r="K335" s="121"/>
      <c r="L335" s="121"/>
      <c r="M335" s="122">
        <f t="shared" si="5"/>
        <v>1487500</v>
      </c>
      <c r="N335" s="116">
        <v>900763287</v>
      </c>
      <c r="O335" s="119" t="s">
        <v>1657</v>
      </c>
      <c r="P335" s="116" t="s">
        <v>1905</v>
      </c>
      <c r="Q335" s="124">
        <v>45117</v>
      </c>
      <c r="R335" s="124">
        <v>45117</v>
      </c>
      <c r="S335" s="124">
        <v>45147</v>
      </c>
      <c r="T335" s="125" t="s">
        <v>612</v>
      </c>
      <c r="U335" s="124"/>
      <c r="V335" s="124"/>
      <c r="W335" s="126"/>
      <c r="X335" s="127"/>
      <c r="Y335" s="121">
        <v>0</v>
      </c>
      <c r="Z335" s="120">
        <v>1487500</v>
      </c>
      <c r="AA335" s="139">
        <v>0</v>
      </c>
      <c r="AB335" s="119">
        <v>900763287</v>
      </c>
      <c r="AC335" s="145" t="s">
        <v>1657</v>
      </c>
      <c r="AD335" s="116"/>
      <c r="AE335" s="116"/>
      <c r="AF335" s="125"/>
      <c r="AG335" s="140" t="s">
        <v>1906</v>
      </c>
      <c r="AH335" s="119" t="s">
        <v>192</v>
      </c>
      <c r="AI335" s="116" t="s">
        <v>191</v>
      </c>
    </row>
    <row r="336" spans="1:35" s="130" customFormat="1" ht="17.25" customHeight="1" x14ac:dyDescent="0.25">
      <c r="A336" s="114">
        <v>891780111</v>
      </c>
      <c r="B336" s="115" t="s">
        <v>54</v>
      </c>
      <c r="C336" s="116" t="s">
        <v>57</v>
      </c>
      <c r="D336" s="115" t="s">
        <v>60</v>
      </c>
      <c r="E336" s="119" t="s">
        <v>1907</v>
      </c>
      <c r="F336" s="118" t="s">
        <v>61</v>
      </c>
      <c r="G336" s="118" t="s">
        <v>69</v>
      </c>
      <c r="H336" s="118" t="s">
        <v>79</v>
      </c>
      <c r="I336" s="142">
        <v>1250697</v>
      </c>
      <c r="J336" s="118"/>
      <c r="K336" s="121"/>
      <c r="L336" s="121"/>
      <c r="M336" s="122">
        <f t="shared" si="5"/>
        <v>1250697</v>
      </c>
      <c r="N336" s="116">
        <v>830508200</v>
      </c>
      <c r="O336" s="119" t="s">
        <v>1908</v>
      </c>
      <c r="P336" s="116" t="s">
        <v>1909</v>
      </c>
      <c r="Q336" s="124">
        <v>45118</v>
      </c>
      <c r="R336" s="124">
        <v>45118</v>
      </c>
      <c r="S336" s="124">
        <v>45179</v>
      </c>
      <c r="T336" s="125" t="s">
        <v>612</v>
      </c>
      <c r="U336" s="124"/>
      <c r="V336" s="124"/>
      <c r="W336" s="126"/>
      <c r="X336" s="127"/>
      <c r="Y336" s="121">
        <v>0</v>
      </c>
      <c r="Z336" s="120">
        <v>1250697</v>
      </c>
      <c r="AA336" s="139">
        <v>0</v>
      </c>
      <c r="AB336" s="119">
        <v>830508200</v>
      </c>
      <c r="AC336" s="145" t="s">
        <v>1908</v>
      </c>
      <c r="AD336" s="116"/>
      <c r="AE336" s="116"/>
      <c r="AF336" s="125"/>
      <c r="AG336" s="140" t="s">
        <v>1910</v>
      </c>
      <c r="AH336" s="119" t="s">
        <v>192</v>
      </c>
      <c r="AI336" s="116" t="s">
        <v>191</v>
      </c>
    </row>
    <row r="337" spans="1:35" s="130" customFormat="1" ht="17.25" customHeight="1" x14ac:dyDescent="0.25">
      <c r="A337" s="114">
        <v>891780111</v>
      </c>
      <c r="B337" s="115" t="s">
        <v>54</v>
      </c>
      <c r="C337" s="116" t="s">
        <v>57</v>
      </c>
      <c r="D337" s="115" t="s">
        <v>60</v>
      </c>
      <c r="E337" s="119" t="s">
        <v>1911</v>
      </c>
      <c r="F337" s="118" t="s">
        <v>61</v>
      </c>
      <c r="G337" s="118" t="s">
        <v>69</v>
      </c>
      <c r="H337" s="118" t="s">
        <v>79</v>
      </c>
      <c r="I337" s="142">
        <v>299999</v>
      </c>
      <c r="J337" s="118"/>
      <c r="K337" s="121"/>
      <c r="L337" s="121"/>
      <c r="M337" s="122">
        <f t="shared" si="5"/>
        <v>299999</v>
      </c>
      <c r="N337" s="116">
        <v>900428481</v>
      </c>
      <c r="O337" s="119" t="s">
        <v>1873</v>
      </c>
      <c r="P337" s="116" t="s">
        <v>1912</v>
      </c>
      <c r="Q337" s="124">
        <v>45118</v>
      </c>
      <c r="R337" s="124">
        <v>45118</v>
      </c>
      <c r="S337" s="124">
        <v>45179</v>
      </c>
      <c r="T337" s="125" t="s">
        <v>612</v>
      </c>
      <c r="U337" s="124"/>
      <c r="V337" s="124"/>
      <c r="W337" s="126"/>
      <c r="X337" s="127"/>
      <c r="Y337" s="121">
        <v>0</v>
      </c>
      <c r="Z337" s="120">
        <v>299999</v>
      </c>
      <c r="AA337" s="139">
        <v>0</v>
      </c>
      <c r="AB337" s="119">
        <v>900428481</v>
      </c>
      <c r="AC337" s="145" t="s">
        <v>1873</v>
      </c>
      <c r="AD337" s="116"/>
      <c r="AE337" s="116"/>
      <c r="AF337" s="125"/>
      <c r="AG337" s="140" t="s">
        <v>1913</v>
      </c>
      <c r="AH337" s="119" t="s">
        <v>192</v>
      </c>
      <c r="AI337" s="116" t="s">
        <v>191</v>
      </c>
    </row>
    <row r="338" spans="1:35" s="130" customFormat="1" ht="17.25" customHeight="1" x14ac:dyDescent="0.25">
      <c r="A338" s="114">
        <v>891780111</v>
      </c>
      <c r="B338" s="115" t="s">
        <v>54</v>
      </c>
      <c r="C338" s="116" t="s">
        <v>57</v>
      </c>
      <c r="D338" s="115" t="s">
        <v>60</v>
      </c>
      <c r="E338" s="119" t="s">
        <v>1914</v>
      </c>
      <c r="F338" s="118" t="s">
        <v>61</v>
      </c>
      <c r="G338" s="118" t="s">
        <v>69</v>
      </c>
      <c r="H338" s="118" t="s">
        <v>79</v>
      </c>
      <c r="I338" s="142">
        <v>6997200</v>
      </c>
      <c r="J338" s="118"/>
      <c r="K338" s="121"/>
      <c r="L338" s="121"/>
      <c r="M338" s="122">
        <f t="shared" si="5"/>
        <v>6997200</v>
      </c>
      <c r="N338" s="116">
        <v>900763287</v>
      </c>
      <c r="O338" s="119" t="s">
        <v>1657</v>
      </c>
      <c r="P338" s="116" t="s">
        <v>1915</v>
      </c>
      <c r="Q338" s="124">
        <v>45118</v>
      </c>
      <c r="R338" s="124">
        <v>45118</v>
      </c>
      <c r="S338" s="124">
        <v>45148</v>
      </c>
      <c r="T338" s="125" t="s">
        <v>612</v>
      </c>
      <c r="U338" s="124"/>
      <c r="V338" s="124"/>
      <c r="W338" s="126"/>
      <c r="X338" s="127"/>
      <c r="Y338" s="121">
        <v>0</v>
      </c>
      <c r="Z338" s="120">
        <v>6997200</v>
      </c>
      <c r="AA338" s="139">
        <v>0</v>
      </c>
      <c r="AB338" s="119">
        <v>900763287</v>
      </c>
      <c r="AC338" s="145" t="s">
        <v>1657</v>
      </c>
      <c r="AD338" s="116"/>
      <c r="AE338" s="116"/>
      <c r="AF338" s="125"/>
      <c r="AG338" s="140" t="s">
        <v>1916</v>
      </c>
      <c r="AH338" s="119" t="s">
        <v>192</v>
      </c>
      <c r="AI338" s="116" t="s">
        <v>191</v>
      </c>
    </row>
    <row r="339" spans="1:35" s="130" customFormat="1" ht="17.25" customHeight="1" x14ac:dyDescent="0.25">
      <c r="A339" s="114">
        <v>891780111</v>
      </c>
      <c r="B339" s="115" t="s">
        <v>54</v>
      </c>
      <c r="C339" s="116" t="s">
        <v>57</v>
      </c>
      <c r="D339" s="115" t="s">
        <v>60</v>
      </c>
      <c r="E339" s="119" t="s">
        <v>1917</v>
      </c>
      <c r="F339" s="118" t="s">
        <v>61</v>
      </c>
      <c r="G339" s="118" t="s">
        <v>69</v>
      </c>
      <c r="H339" s="118" t="s">
        <v>79</v>
      </c>
      <c r="I339" s="142">
        <v>2313360</v>
      </c>
      <c r="J339" s="118"/>
      <c r="K339" s="121"/>
      <c r="L339" s="121"/>
      <c r="M339" s="122">
        <f t="shared" si="5"/>
        <v>2313360</v>
      </c>
      <c r="N339" s="116">
        <v>800224833</v>
      </c>
      <c r="O339" s="119" t="s">
        <v>1918</v>
      </c>
      <c r="P339" s="116" t="s">
        <v>1919</v>
      </c>
      <c r="Q339" s="124">
        <v>45118</v>
      </c>
      <c r="R339" s="124">
        <v>45118</v>
      </c>
      <c r="S339" s="124">
        <v>45179</v>
      </c>
      <c r="T339" s="125" t="s">
        <v>612</v>
      </c>
      <c r="U339" s="124"/>
      <c r="V339" s="124"/>
      <c r="W339" s="126"/>
      <c r="X339" s="127"/>
      <c r="Y339" s="121">
        <v>0</v>
      </c>
      <c r="Z339" s="120">
        <v>2313360</v>
      </c>
      <c r="AA339" s="139">
        <v>0</v>
      </c>
      <c r="AB339" s="119">
        <v>800224833</v>
      </c>
      <c r="AC339" s="145" t="s">
        <v>1918</v>
      </c>
      <c r="AD339" s="116"/>
      <c r="AE339" s="116"/>
      <c r="AF339" s="125"/>
      <c r="AG339" s="140" t="s">
        <v>1920</v>
      </c>
      <c r="AH339" s="119" t="s">
        <v>192</v>
      </c>
      <c r="AI339" s="116" t="s">
        <v>191</v>
      </c>
    </row>
    <row r="340" spans="1:35" s="130" customFormat="1" ht="17.25" customHeight="1" x14ac:dyDescent="0.25">
      <c r="A340" s="114">
        <v>891780111</v>
      </c>
      <c r="B340" s="115" t="s">
        <v>54</v>
      </c>
      <c r="C340" s="116" t="s">
        <v>57</v>
      </c>
      <c r="D340" s="115" t="s">
        <v>60</v>
      </c>
      <c r="E340" s="119" t="s">
        <v>1921</v>
      </c>
      <c r="F340" s="118" t="s">
        <v>61</v>
      </c>
      <c r="G340" s="118" t="s">
        <v>69</v>
      </c>
      <c r="H340" s="118" t="s">
        <v>79</v>
      </c>
      <c r="I340" s="142">
        <v>1598051</v>
      </c>
      <c r="J340" s="118"/>
      <c r="K340" s="121"/>
      <c r="L340" s="121"/>
      <c r="M340" s="122">
        <f t="shared" si="5"/>
        <v>1598051</v>
      </c>
      <c r="N340" s="116">
        <v>900034424</v>
      </c>
      <c r="O340" s="119" t="s">
        <v>1922</v>
      </c>
      <c r="P340" s="116" t="s">
        <v>1923</v>
      </c>
      <c r="Q340" s="124">
        <v>45119</v>
      </c>
      <c r="R340" s="124">
        <v>45119</v>
      </c>
      <c r="S340" s="124">
        <v>45180</v>
      </c>
      <c r="T340" s="125" t="s">
        <v>612</v>
      </c>
      <c r="U340" s="124"/>
      <c r="V340" s="124"/>
      <c r="W340" s="126"/>
      <c r="X340" s="127"/>
      <c r="Y340" s="121">
        <v>0</v>
      </c>
      <c r="Z340" s="120">
        <v>1598051</v>
      </c>
      <c r="AA340" s="139">
        <v>0</v>
      </c>
      <c r="AB340" s="119">
        <v>900034424</v>
      </c>
      <c r="AC340" s="145" t="s">
        <v>1922</v>
      </c>
      <c r="AD340" s="116"/>
      <c r="AE340" s="116"/>
      <c r="AF340" s="125"/>
      <c r="AG340" s="140" t="s">
        <v>1924</v>
      </c>
      <c r="AH340" s="119" t="s">
        <v>192</v>
      </c>
      <c r="AI340" s="116" t="s">
        <v>191</v>
      </c>
    </row>
    <row r="341" spans="1:35" s="130" customFormat="1" ht="17.25" customHeight="1" x14ac:dyDescent="0.25">
      <c r="A341" s="114">
        <v>891780111</v>
      </c>
      <c r="B341" s="115" t="s">
        <v>54</v>
      </c>
      <c r="C341" s="116" t="s">
        <v>57</v>
      </c>
      <c r="D341" s="115" t="s">
        <v>60</v>
      </c>
      <c r="E341" s="119" t="s">
        <v>1925</v>
      </c>
      <c r="F341" s="118" t="s">
        <v>61</v>
      </c>
      <c r="G341" s="118" t="s">
        <v>69</v>
      </c>
      <c r="H341" s="118" t="s">
        <v>79</v>
      </c>
      <c r="I341" s="142">
        <v>3467000</v>
      </c>
      <c r="J341" s="118"/>
      <c r="K341" s="121"/>
      <c r="L341" s="121"/>
      <c r="M341" s="122">
        <f t="shared" si="5"/>
        <v>3467000</v>
      </c>
      <c r="N341" s="116">
        <v>811021363</v>
      </c>
      <c r="O341" s="119" t="s">
        <v>1694</v>
      </c>
      <c r="P341" s="116" t="s">
        <v>1926</v>
      </c>
      <c r="Q341" s="124">
        <v>45119</v>
      </c>
      <c r="R341" s="124">
        <v>45119</v>
      </c>
      <c r="S341" s="124">
        <v>45180</v>
      </c>
      <c r="T341" s="125" t="s">
        <v>612</v>
      </c>
      <c r="U341" s="124"/>
      <c r="V341" s="124"/>
      <c r="W341" s="126"/>
      <c r="X341" s="127"/>
      <c r="Y341" s="121">
        <v>0</v>
      </c>
      <c r="Z341" s="120">
        <v>3467000</v>
      </c>
      <c r="AA341" s="139">
        <v>0</v>
      </c>
      <c r="AB341" s="119">
        <v>811021363</v>
      </c>
      <c r="AC341" s="145" t="s">
        <v>1694</v>
      </c>
      <c r="AD341" s="116"/>
      <c r="AE341" s="116"/>
      <c r="AF341" s="125"/>
      <c r="AG341" s="140" t="s">
        <v>1927</v>
      </c>
      <c r="AH341" s="119" t="s">
        <v>192</v>
      </c>
      <c r="AI341" s="116" t="s">
        <v>191</v>
      </c>
    </row>
    <row r="342" spans="1:35" s="130" customFormat="1" ht="17.25" customHeight="1" x14ac:dyDescent="0.25">
      <c r="A342" s="114">
        <v>891780111</v>
      </c>
      <c r="B342" s="115" t="s">
        <v>54</v>
      </c>
      <c r="C342" s="116" t="s">
        <v>57</v>
      </c>
      <c r="D342" s="115" t="s">
        <v>60</v>
      </c>
      <c r="E342" s="119" t="s">
        <v>1928</v>
      </c>
      <c r="F342" s="118" t="s">
        <v>61</v>
      </c>
      <c r="G342" s="118" t="s">
        <v>69</v>
      </c>
      <c r="H342" s="118" t="s">
        <v>79</v>
      </c>
      <c r="I342" s="142">
        <v>8474747</v>
      </c>
      <c r="J342" s="118"/>
      <c r="K342" s="121"/>
      <c r="L342" s="121"/>
      <c r="M342" s="122">
        <f t="shared" si="5"/>
        <v>8474747</v>
      </c>
      <c r="N342" s="116">
        <v>900383358</v>
      </c>
      <c r="O342" s="119" t="s">
        <v>1784</v>
      </c>
      <c r="P342" s="116" t="s">
        <v>1929</v>
      </c>
      <c r="Q342" s="124">
        <v>45120</v>
      </c>
      <c r="R342" s="124">
        <v>45120</v>
      </c>
      <c r="S342" s="124">
        <v>45150</v>
      </c>
      <c r="T342" s="125" t="s">
        <v>612</v>
      </c>
      <c r="U342" s="124"/>
      <c r="V342" s="124"/>
      <c r="W342" s="126"/>
      <c r="X342" s="127"/>
      <c r="Y342" s="121">
        <v>0</v>
      </c>
      <c r="Z342" s="120">
        <v>8474747</v>
      </c>
      <c r="AA342" s="139">
        <v>0</v>
      </c>
      <c r="AB342" s="119">
        <v>900383358</v>
      </c>
      <c r="AC342" s="119" t="s">
        <v>1784</v>
      </c>
      <c r="AD342" s="116"/>
      <c r="AE342" s="116"/>
      <c r="AF342" s="125"/>
      <c r="AG342" s="140" t="s">
        <v>1930</v>
      </c>
      <c r="AH342" s="119" t="s">
        <v>192</v>
      </c>
      <c r="AI342" s="116" t="s">
        <v>191</v>
      </c>
    </row>
    <row r="343" spans="1:35" s="130" customFormat="1" ht="17.25" customHeight="1" x14ac:dyDescent="0.25">
      <c r="A343" s="114">
        <v>891780111</v>
      </c>
      <c r="B343" s="115" t="s">
        <v>54</v>
      </c>
      <c r="C343" s="116" t="s">
        <v>57</v>
      </c>
      <c r="D343" s="115" t="s">
        <v>60</v>
      </c>
      <c r="E343" s="119" t="s">
        <v>1931</v>
      </c>
      <c r="F343" s="118" t="s">
        <v>61</v>
      </c>
      <c r="G343" s="118" t="s">
        <v>69</v>
      </c>
      <c r="H343" s="118" t="s">
        <v>79</v>
      </c>
      <c r="I343" s="142">
        <v>1996768</v>
      </c>
      <c r="J343" s="118"/>
      <c r="K343" s="121"/>
      <c r="L343" s="121"/>
      <c r="M343" s="122">
        <f t="shared" si="5"/>
        <v>1996768</v>
      </c>
      <c r="N343" s="116">
        <v>891702681</v>
      </c>
      <c r="O343" s="119" t="s">
        <v>1768</v>
      </c>
      <c r="P343" s="116" t="s">
        <v>1932</v>
      </c>
      <c r="Q343" s="124">
        <v>45120</v>
      </c>
      <c r="R343" s="124">
        <v>45120</v>
      </c>
      <c r="S343" s="124">
        <v>45150</v>
      </c>
      <c r="T343" s="125" t="s">
        <v>612</v>
      </c>
      <c r="U343" s="124"/>
      <c r="V343" s="124"/>
      <c r="W343" s="126"/>
      <c r="X343" s="127"/>
      <c r="Y343" s="121">
        <v>0</v>
      </c>
      <c r="Z343" s="120">
        <v>1996768</v>
      </c>
      <c r="AA343" s="139">
        <v>0</v>
      </c>
      <c r="AB343" s="119">
        <v>891702681</v>
      </c>
      <c r="AC343" s="145" t="s">
        <v>1768</v>
      </c>
      <c r="AD343" s="116"/>
      <c r="AE343" s="116"/>
      <c r="AF343" s="125"/>
      <c r="AG343" s="140" t="s">
        <v>1933</v>
      </c>
      <c r="AH343" s="119" t="s">
        <v>192</v>
      </c>
      <c r="AI343" s="116" t="s">
        <v>191</v>
      </c>
    </row>
    <row r="344" spans="1:35" s="130" customFormat="1" ht="17.25" customHeight="1" x14ac:dyDescent="0.25">
      <c r="A344" s="114">
        <v>891780111</v>
      </c>
      <c r="B344" s="115" t="s">
        <v>54</v>
      </c>
      <c r="C344" s="116" t="s">
        <v>57</v>
      </c>
      <c r="D344" s="115" t="s">
        <v>60</v>
      </c>
      <c r="E344" s="119" t="s">
        <v>1934</v>
      </c>
      <c r="F344" s="118" t="s">
        <v>61</v>
      </c>
      <c r="G344" s="118" t="s">
        <v>69</v>
      </c>
      <c r="H344" s="118" t="s">
        <v>79</v>
      </c>
      <c r="I344" s="142">
        <v>12667788</v>
      </c>
      <c r="J344" s="118"/>
      <c r="K344" s="121"/>
      <c r="L344" s="121"/>
      <c r="M344" s="122">
        <f t="shared" si="5"/>
        <v>12667788</v>
      </c>
      <c r="N344" s="116">
        <v>900034424</v>
      </c>
      <c r="O344" s="119" t="s">
        <v>1922</v>
      </c>
      <c r="P344" s="116" t="s">
        <v>1935</v>
      </c>
      <c r="Q344" s="124">
        <v>45125</v>
      </c>
      <c r="R344" s="124">
        <v>45125</v>
      </c>
      <c r="S344" s="124">
        <v>45186</v>
      </c>
      <c r="T344" s="125" t="s">
        <v>612</v>
      </c>
      <c r="U344" s="124"/>
      <c r="V344" s="124"/>
      <c r="W344" s="126"/>
      <c r="X344" s="127"/>
      <c r="Y344" s="121">
        <v>0</v>
      </c>
      <c r="Z344" s="120">
        <v>12667788</v>
      </c>
      <c r="AA344" s="139">
        <v>0</v>
      </c>
      <c r="AB344" s="119">
        <v>900034424</v>
      </c>
      <c r="AC344" s="119" t="s">
        <v>1922</v>
      </c>
      <c r="AD344" s="116"/>
      <c r="AE344" s="116"/>
      <c r="AF344" s="125"/>
      <c r="AG344" s="140" t="s">
        <v>1936</v>
      </c>
      <c r="AH344" s="119" t="s">
        <v>192</v>
      </c>
      <c r="AI344" s="116" t="s">
        <v>191</v>
      </c>
    </row>
    <row r="345" spans="1:35" s="130" customFormat="1" ht="17.25" customHeight="1" x14ac:dyDescent="0.25">
      <c r="A345" s="114">
        <v>891780111</v>
      </c>
      <c r="B345" s="115" t="s">
        <v>54</v>
      </c>
      <c r="C345" s="116" t="s">
        <v>57</v>
      </c>
      <c r="D345" s="115" t="s">
        <v>60</v>
      </c>
      <c r="E345" s="119" t="s">
        <v>1937</v>
      </c>
      <c r="F345" s="118" t="s">
        <v>61</v>
      </c>
      <c r="G345" s="118" t="s">
        <v>69</v>
      </c>
      <c r="H345" s="118" t="s">
        <v>79</v>
      </c>
      <c r="I345" s="142">
        <v>1799900</v>
      </c>
      <c r="J345" s="118"/>
      <c r="K345" s="121"/>
      <c r="L345" s="121"/>
      <c r="M345" s="122">
        <f t="shared" si="5"/>
        <v>1799900</v>
      </c>
      <c r="N345" s="116">
        <v>900994026</v>
      </c>
      <c r="O345" s="119" t="s">
        <v>1938</v>
      </c>
      <c r="P345" s="116" t="s">
        <v>1939</v>
      </c>
      <c r="Q345" s="124">
        <v>45125</v>
      </c>
      <c r="R345" s="124">
        <v>45125</v>
      </c>
      <c r="S345" s="124">
        <v>45155</v>
      </c>
      <c r="T345" s="125" t="s">
        <v>612</v>
      </c>
      <c r="U345" s="124"/>
      <c r="V345" s="124"/>
      <c r="W345" s="126"/>
      <c r="X345" s="127"/>
      <c r="Y345" s="121">
        <v>0</v>
      </c>
      <c r="Z345" s="120">
        <v>1799900</v>
      </c>
      <c r="AA345" s="139">
        <v>0</v>
      </c>
      <c r="AB345" s="119">
        <v>900994026</v>
      </c>
      <c r="AC345" s="145" t="s">
        <v>1938</v>
      </c>
      <c r="AD345" s="116"/>
      <c r="AE345" s="116"/>
      <c r="AF345" s="125"/>
      <c r="AG345" s="140" t="s">
        <v>1940</v>
      </c>
      <c r="AH345" s="119" t="s">
        <v>192</v>
      </c>
      <c r="AI345" s="116" t="s">
        <v>191</v>
      </c>
    </row>
    <row r="346" spans="1:35" s="130" customFormat="1" ht="17.25" customHeight="1" x14ac:dyDescent="0.25">
      <c r="A346" s="114">
        <v>891780111</v>
      </c>
      <c r="B346" s="115" t="s">
        <v>54</v>
      </c>
      <c r="C346" s="116" t="s">
        <v>57</v>
      </c>
      <c r="D346" s="115" t="s">
        <v>60</v>
      </c>
      <c r="E346" s="119" t="s">
        <v>1941</v>
      </c>
      <c r="F346" s="118" t="s">
        <v>61</v>
      </c>
      <c r="G346" s="118" t="s">
        <v>69</v>
      </c>
      <c r="H346" s="118" t="s">
        <v>79</v>
      </c>
      <c r="I346" s="142">
        <v>4165000</v>
      </c>
      <c r="J346" s="118"/>
      <c r="K346" s="121"/>
      <c r="L346" s="121"/>
      <c r="M346" s="122">
        <f t="shared" si="5"/>
        <v>4165000</v>
      </c>
      <c r="N346" s="116">
        <v>900918150</v>
      </c>
      <c r="O346" s="119" t="s">
        <v>1942</v>
      </c>
      <c r="P346" s="116" t="s">
        <v>1943</v>
      </c>
      <c r="Q346" s="124">
        <v>45126</v>
      </c>
      <c r="R346" s="124">
        <v>45126</v>
      </c>
      <c r="S346" s="124">
        <v>45187</v>
      </c>
      <c r="T346" s="125" t="s">
        <v>612</v>
      </c>
      <c r="U346" s="124"/>
      <c r="V346" s="124"/>
      <c r="W346" s="126"/>
      <c r="X346" s="127"/>
      <c r="Y346" s="121">
        <v>0</v>
      </c>
      <c r="Z346" s="120">
        <v>4165000</v>
      </c>
      <c r="AA346" s="139">
        <v>0</v>
      </c>
      <c r="AB346" s="119">
        <v>900918150</v>
      </c>
      <c r="AC346" s="145" t="s">
        <v>1942</v>
      </c>
      <c r="AD346" s="116"/>
      <c r="AE346" s="116"/>
      <c r="AF346" s="125"/>
      <c r="AG346" s="140" t="s">
        <v>1944</v>
      </c>
      <c r="AH346" s="119" t="s">
        <v>192</v>
      </c>
      <c r="AI346" s="116" t="s">
        <v>191</v>
      </c>
    </row>
    <row r="347" spans="1:35" s="130" customFormat="1" ht="17.25" customHeight="1" x14ac:dyDescent="0.25">
      <c r="A347" s="114">
        <v>891780111</v>
      </c>
      <c r="B347" s="115" t="s">
        <v>54</v>
      </c>
      <c r="C347" s="116" t="s">
        <v>57</v>
      </c>
      <c r="D347" s="115" t="s">
        <v>60</v>
      </c>
      <c r="E347" s="119" t="s">
        <v>1945</v>
      </c>
      <c r="F347" s="118" t="s">
        <v>61</v>
      </c>
      <c r="G347" s="118" t="s">
        <v>69</v>
      </c>
      <c r="H347" s="118" t="s">
        <v>79</v>
      </c>
      <c r="I347" s="142">
        <v>4616400</v>
      </c>
      <c r="J347" s="118"/>
      <c r="K347" s="121"/>
      <c r="L347" s="121"/>
      <c r="M347" s="122">
        <f t="shared" si="5"/>
        <v>4616400</v>
      </c>
      <c r="N347" s="116">
        <v>900428481</v>
      </c>
      <c r="O347" s="119" t="s">
        <v>1873</v>
      </c>
      <c r="P347" s="116" t="s">
        <v>1946</v>
      </c>
      <c r="Q347" s="124">
        <v>45126</v>
      </c>
      <c r="R347" s="124">
        <v>45126</v>
      </c>
      <c r="S347" s="124">
        <v>45187</v>
      </c>
      <c r="T347" s="125" t="s">
        <v>612</v>
      </c>
      <c r="U347" s="124"/>
      <c r="V347" s="124"/>
      <c r="W347" s="126"/>
      <c r="X347" s="127"/>
      <c r="Y347" s="121">
        <v>0</v>
      </c>
      <c r="Z347" s="120">
        <v>4616400</v>
      </c>
      <c r="AA347" s="139">
        <v>0</v>
      </c>
      <c r="AB347" s="119">
        <v>900428481</v>
      </c>
      <c r="AC347" s="145" t="s">
        <v>1873</v>
      </c>
      <c r="AD347" s="116"/>
      <c r="AE347" s="116"/>
      <c r="AF347" s="125"/>
      <c r="AG347" s="140" t="s">
        <v>1947</v>
      </c>
      <c r="AH347" s="119" t="s">
        <v>192</v>
      </c>
      <c r="AI347" s="116" t="s">
        <v>191</v>
      </c>
    </row>
    <row r="348" spans="1:35" s="130" customFormat="1" ht="17.25" customHeight="1" x14ac:dyDescent="0.25">
      <c r="A348" s="114">
        <v>891780111</v>
      </c>
      <c r="B348" s="115" t="s">
        <v>54</v>
      </c>
      <c r="C348" s="116" t="s">
        <v>57</v>
      </c>
      <c r="D348" s="115" t="s">
        <v>60</v>
      </c>
      <c r="E348" s="119" t="s">
        <v>1948</v>
      </c>
      <c r="F348" s="118" t="s">
        <v>61</v>
      </c>
      <c r="G348" s="118" t="s">
        <v>69</v>
      </c>
      <c r="H348" s="118" t="s">
        <v>79</v>
      </c>
      <c r="I348" s="142">
        <v>7000000</v>
      </c>
      <c r="J348" s="118"/>
      <c r="K348" s="121"/>
      <c r="L348" s="121"/>
      <c r="M348" s="122">
        <f t="shared" si="5"/>
        <v>7000000</v>
      </c>
      <c r="N348" s="116">
        <v>900763287</v>
      </c>
      <c r="O348" s="119" t="s">
        <v>1657</v>
      </c>
      <c r="P348" s="116" t="s">
        <v>1949</v>
      </c>
      <c r="Q348" s="124">
        <v>45126</v>
      </c>
      <c r="R348" s="124">
        <v>45126</v>
      </c>
      <c r="S348" s="124">
        <v>45156</v>
      </c>
      <c r="T348" s="125" t="s">
        <v>612</v>
      </c>
      <c r="U348" s="124"/>
      <c r="V348" s="124"/>
      <c r="W348" s="126"/>
      <c r="X348" s="127"/>
      <c r="Y348" s="121">
        <v>0</v>
      </c>
      <c r="Z348" s="120">
        <v>7000000</v>
      </c>
      <c r="AA348" s="139">
        <v>0</v>
      </c>
      <c r="AB348" s="119">
        <v>900763287</v>
      </c>
      <c r="AC348" s="145" t="s">
        <v>1657</v>
      </c>
      <c r="AD348" s="116"/>
      <c r="AE348" s="116"/>
      <c r="AF348" s="125"/>
      <c r="AG348" s="140" t="s">
        <v>1950</v>
      </c>
      <c r="AH348" s="119" t="s">
        <v>192</v>
      </c>
      <c r="AI348" s="116" t="s">
        <v>191</v>
      </c>
    </row>
    <row r="349" spans="1:35" s="130" customFormat="1" ht="17.25" customHeight="1" x14ac:dyDescent="0.25">
      <c r="A349" s="114">
        <v>891780111</v>
      </c>
      <c r="B349" s="115" t="s">
        <v>54</v>
      </c>
      <c r="C349" s="116" t="s">
        <v>57</v>
      </c>
      <c r="D349" s="115" t="s">
        <v>60</v>
      </c>
      <c r="E349" s="119" t="s">
        <v>1951</v>
      </c>
      <c r="F349" s="118" t="s">
        <v>61</v>
      </c>
      <c r="G349" s="118" t="s">
        <v>69</v>
      </c>
      <c r="H349" s="118" t="s">
        <v>79</v>
      </c>
      <c r="I349" s="142">
        <v>18999466</v>
      </c>
      <c r="J349" s="118"/>
      <c r="K349" s="121"/>
      <c r="L349" s="121"/>
      <c r="M349" s="122">
        <f t="shared" si="5"/>
        <v>18999466</v>
      </c>
      <c r="N349" s="116">
        <v>900763287</v>
      </c>
      <c r="O349" s="119" t="s">
        <v>1657</v>
      </c>
      <c r="P349" s="116" t="s">
        <v>1952</v>
      </c>
      <c r="Q349" s="124">
        <v>45128</v>
      </c>
      <c r="R349" s="124">
        <v>45128</v>
      </c>
      <c r="S349" s="124">
        <v>45189</v>
      </c>
      <c r="T349" s="125" t="s">
        <v>612</v>
      </c>
      <c r="U349" s="124"/>
      <c r="V349" s="124"/>
      <c r="W349" s="126"/>
      <c r="X349" s="127"/>
      <c r="Y349" s="121">
        <v>0</v>
      </c>
      <c r="Z349" s="120">
        <v>18999466</v>
      </c>
      <c r="AA349" s="139">
        <v>0</v>
      </c>
      <c r="AB349" s="119">
        <v>900763287</v>
      </c>
      <c r="AC349" s="145" t="s">
        <v>1657</v>
      </c>
      <c r="AD349" s="116"/>
      <c r="AE349" s="116"/>
      <c r="AF349" s="125"/>
      <c r="AG349" s="140" t="s">
        <v>1953</v>
      </c>
      <c r="AH349" s="119" t="s">
        <v>192</v>
      </c>
      <c r="AI349" s="116" t="s">
        <v>191</v>
      </c>
    </row>
    <row r="350" spans="1:35" s="130" customFormat="1" ht="17.25" customHeight="1" x14ac:dyDescent="0.25">
      <c r="A350" s="114">
        <v>891780111</v>
      </c>
      <c r="B350" s="115" t="s">
        <v>54</v>
      </c>
      <c r="C350" s="116" t="s">
        <v>57</v>
      </c>
      <c r="D350" s="115" t="s">
        <v>60</v>
      </c>
      <c r="E350" s="119" t="s">
        <v>1954</v>
      </c>
      <c r="F350" s="118" t="s">
        <v>61</v>
      </c>
      <c r="G350" s="118" t="s">
        <v>69</v>
      </c>
      <c r="H350" s="118" t="s">
        <v>79</v>
      </c>
      <c r="I350" s="142">
        <v>3986000</v>
      </c>
      <c r="J350" s="118"/>
      <c r="K350" s="121"/>
      <c r="L350" s="121"/>
      <c r="M350" s="122">
        <f t="shared" si="5"/>
        <v>3986000</v>
      </c>
      <c r="N350" s="116">
        <v>806015647</v>
      </c>
      <c r="O350" s="119" t="s">
        <v>1739</v>
      </c>
      <c r="P350" s="116" t="s">
        <v>1955</v>
      </c>
      <c r="Q350" s="124">
        <v>45128</v>
      </c>
      <c r="R350" s="124">
        <v>45128</v>
      </c>
      <c r="S350" s="124">
        <v>45158</v>
      </c>
      <c r="T350" s="125" t="s">
        <v>612</v>
      </c>
      <c r="U350" s="124"/>
      <c r="V350" s="124"/>
      <c r="W350" s="126"/>
      <c r="X350" s="127"/>
      <c r="Y350" s="121">
        <v>0</v>
      </c>
      <c r="Z350" s="120">
        <v>3986000</v>
      </c>
      <c r="AA350" s="139">
        <v>0</v>
      </c>
      <c r="AB350" s="119">
        <v>806015647</v>
      </c>
      <c r="AC350" s="145" t="s">
        <v>1739</v>
      </c>
      <c r="AD350" s="116"/>
      <c r="AE350" s="116"/>
      <c r="AF350" s="125"/>
      <c r="AG350" s="140" t="s">
        <v>1956</v>
      </c>
      <c r="AH350" s="119" t="s">
        <v>192</v>
      </c>
      <c r="AI350" s="116" t="s">
        <v>191</v>
      </c>
    </row>
    <row r="351" spans="1:35" s="130" customFormat="1" ht="17.25" customHeight="1" x14ac:dyDescent="0.25">
      <c r="A351" s="114">
        <v>891780111</v>
      </c>
      <c r="B351" s="115" t="s">
        <v>54</v>
      </c>
      <c r="C351" s="116" t="s">
        <v>57</v>
      </c>
      <c r="D351" s="115" t="s">
        <v>60</v>
      </c>
      <c r="E351" s="119" t="s">
        <v>1957</v>
      </c>
      <c r="F351" s="118" t="s">
        <v>61</v>
      </c>
      <c r="G351" s="118" t="s">
        <v>69</v>
      </c>
      <c r="H351" s="118" t="s">
        <v>79</v>
      </c>
      <c r="I351" s="142">
        <v>3644000</v>
      </c>
      <c r="J351" s="118"/>
      <c r="K351" s="121"/>
      <c r="L351" s="121"/>
      <c r="M351" s="122">
        <f t="shared" si="5"/>
        <v>3644000</v>
      </c>
      <c r="N351" s="116">
        <v>1082848119</v>
      </c>
      <c r="O351" s="119" t="s">
        <v>1958</v>
      </c>
      <c r="P351" s="116" t="s">
        <v>1959</v>
      </c>
      <c r="Q351" s="124">
        <v>45128</v>
      </c>
      <c r="R351" s="124">
        <v>45128</v>
      </c>
      <c r="S351" s="124">
        <v>45158</v>
      </c>
      <c r="T351" s="125" t="s">
        <v>612</v>
      </c>
      <c r="U351" s="124"/>
      <c r="V351" s="124"/>
      <c r="W351" s="126"/>
      <c r="X351" s="127"/>
      <c r="Y351" s="121">
        <v>0</v>
      </c>
      <c r="Z351" s="120">
        <v>3644000</v>
      </c>
      <c r="AA351" s="139">
        <v>0</v>
      </c>
      <c r="AB351" s="119">
        <v>1082848119</v>
      </c>
      <c r="AC351" s="145" t="s">
        <v>1958</v>
      </c>
      <c r="AD351" s="116"/>
      <c r="AE351" s="116"/>
      <c r="AF351" s="125"/>
      <c r="AG351" s="140" t="s">
        <v>1960</v>
      </c>
      <c r="AH351" s="119" t="s">
        <v>192</v>
      </c>
      <c r="AI351" s="116" t="s">
        <v>191</v>
      </c>
    </row>
    <row r="352" spans="1:35" s="130" customFormat="1" ht="17.25" customHeight="1" x14ac:dyDescent="0.25">
      <c r="A352" s="114">
        <v>891780111</v>
      </c>
      <c r="B352" s="115" t="s">
        <v>54</v>
      </c>
      <c r="C352" s="116" t="s">
        <v>57</v>
      </c>
      <c r="D352" s="115" t="s">
        <v>60</v>
      </c>
      <c r="E352" s="119" t="s">
        <v>1961</v>
      </c>
      <c r="F352" s="118" t="s">
        <v>61</v>
      </c>
      <c r="G352" s="118" t="s">
        <v>69</v>
      </c>
      <c r="H352" s="118" t="s">
        <v>79</v>
      </c>
      <c r="I352" s="142">
        <v>822409</v>
      </c>
      <c r="J352" s="118"/>
      <c r="K352" s="121"/>
      <c r="L352" s="121"/>
      <c r="M352" s="122">
        <f t="shared" si="5"/>
        <v>822409</v>
      </c>
      <c r="N352" s="116">
        <v>900428481</v>
      </c>
      <c r="O352" s="119" t="s">
        <v>1873</v>
      </c>
      <c r="P352" s="116" t="s">
        <v>1962</v>
      </c>
      <c r="Q352" s="124">
        <v>45128</v>
      </c>
      <c r="R352" s="124">
        <v>45128</v>
      </c>
      <c r="S352" s="124">
        <v>45189</v>
      </c>
      <c r="T352" s="125" t="s">
        <v>612</v>
      </c>
      <c r="U352" s="124"/>
      <c r="V352" s="124"/>
      <c r="W352" s="126"/>
      <c r="X352" s="127"/>
      <c r="Y352" s="121">
        <v>0</v>
      </c>
      <c r="Z352" s="120">
        <v>822409</v>
      </c>
      <c r="AA352" s="139">
        <v>0</v>
      </c>
      <c r="AB352" s="119">
        <v>900428481</v>
      </c>
      <c r="AC352" s="119" t="s">
        <v>1873</v>
      </c>
      <c r="AD352" s="116"/>
      <c r="AE352" s="116"/>
      <c r="AF352" s="125"/>
      <c r="AG352" s="140" t="s">
        <v>1963</v>
      </c>
      <c r="AH352" s="119" t="s">
        <v>192</v>
      </c>
      <c r="AI352" s="116" t="s">
        <v>191</v>
      </c>
    </row>
    <row r="353" spans="1:35" s="130" customFormat="1" ht="17.25" customHeight="1" x14ac:dyDescent="0.25">
      <c r="A353" s="114">
        <v>891780111</v>
      </c>
      <c r="B353" s="115" t="s">
        <v>54</v>
      </c>
      <c r="C353" s="116" t="s">
        <v>57</v>
      </c>
      <c r="D353" s="115" t="s">
        <v>60</v>
      </c>
      <c r="E353" s="119" t="s">
        <v>1964</v>
      </c>
      <c r="F353" s="118" t="s">
        <v>61</v>
      </c>
      <c r="G353" s="118" t="s">
        <v>69</v>
      </c>
      <c r="H353" s="118" t="s">
        <v>79</v>
      </c>
      <c r="I353" s="142">
        <v>5711286</v>
      </c>
      <c r="J353" s="118"/>
      <c r="K353" s="121"/>
      <c r="L353" s="121"/>
      <c r="M353" s="122">
        <f t="shared" si="5"/>
        <v>5711286</v>
      </c>
      <c r="N353" s="116">
        <v>900763287</v>
      </c>
      <c r="O353" s="119" t="s">
        <v>1657</v>
      </c>
      <c r="P353" s="116" t="s">
        <v>1965</v>
      </c>
      <c r="Q353" s="124">
        <v>45128</v>
      </c>
      <c r="R353" s="124">
        <v>45128</v>
      </c>
      <c r="S353" s="124">
        <v>45219</v>
      </c>
      <c r="T353" s="125" t="s">
        <v>612</v>
      </c>
      <c r="U353" s="124"/>
      <c r="V353" s="124"/>
      <c r="W353" s="126"/>
      <c r="X353" s="127"/>
      <c r="Y353" s="121">
        <v>0</v>
      </c>
      <c r="Z353" s="120">
        <v>5711286</v>
      </c>
      <c r="AA353" s="139">
        <v>0</v>
      </c>
      <c r="AB353" s="119">
        <v>900763287</v>
      </c>
      <c r="AC353" s="145" t="s">
        <v>1657</v>
      </c>
      <c r="AD353" s="116"/>
      <c r="AE353" s="116"/>
      <c r="AF353" s="125"/>
      <c r="AG353" s="140" t="s">
        <v>1966</v>
      </c>
      <c r="AH353" s="119" t="s">
        <v>192</v>
      </c>
      <c r="AI353" s="116" t="s">
        <v>191</v>
      </c>
    </row>
    <row r="354" spans="1:35" s="130" customFormat="1" ht="17.25" customHeight="1" x14ac:dyDescent="0.25">
      <c r="A354" s="114">
        <v>891780111</v>
      </c>
      <c r="B354" s="115" t="s">
        <v>54</v>
      </c>
      <c r="C354" s="116" t="s">
        <v>57</v>
      </c>
      <c r="D354" s="115" t="s">
        <v>60</v>
      </c>
      <c r="E354" s="119" t="s">
        <v>1967</v>
      </c>
      <c r="F354" s="118" t="s">
        <v>61</v>
      </c>
      <c r="G354" s="118" t="s">
        <v>69</v>
      </c>
      <c r="H354" s="118" t="s">
        <v>79</v>
      </c>
      <c r="I354" s="142">
        <v>3324265</v>
      </c>
      <c r="J354" s="118"/>
      <c r="K354" s="121"/>
      <c r="L354" s="121"/>
      <c r="M354" s="122">
        <f t="shared" si="5"/>
        <v>3324265</v>
      </c>
      <c r="N354" s="116">
        <v>900448748</v>
      </c>
      <c r="O354" s="119" t="s">
        <v>1968</v>
      </c>
      <c r="P354" s="116" t="s">
        <v>1969</v>
      </c>
      <c r="Q354" s="124">
        <v>45131</v>
      </c>
      <c r="R354" s="124">
        <v>45131</v>
      </c>
      <c r="S354" s="124">
        <v>45161</v>
      </c>
      <c r="T354" s="125" t="s">
        <v>612</v>
      </c>
      <c r="U354" s="124"/>
      <c r="V354" s="124"/>
      <c r="W354" s="126"/>
      <c r="X354" s="127"/>
      <c r="Y354" s="121">
        <v>0</v>
      </c>
      <c r="Z354" s="120">
        <v>3324265</v>
      </c>
      <c r="AA354" s="139">
        <v>0</v>
      </c>
      <c r="AB354" s="119">
        <v>900448748</v>
      </c>
      <c r="AC354" s="145" t="s">
        <v>1968</v>
      </c>
      <c r="AD354" s="116"/>
      <c r="AE354" s="116"/>
      <c r="AF354" s="125"/>
      <c r="AG354" s="140" t="s">
        <v>1970</v>
      </c>
      <c r="AH354" s="119" t="s">
        <v>192</v>
      </c>
      <c r="AI354" s="116" t="s">
        <v>191</v>
      </c>
    </row>
    <row r="355" spans="1:35" s="130" customFormat="1" ht="17.25" customHeight="1" x14ac:dyDescent="0.25">
      <c r="A355" s="114">
        <v>891780111</v>
      </c>
      <c r="B355" s="115" t="s">
        <v>54</v>
      </c>
      <c r="C355" s="116" t="s">
        <v>57</v>
      </c>
      <c r="D355" s="115" t="s">
        <v>60</v>
      </c>
      <c r="E355" s="119" t="s">
        <v>1971</v>
      </c>
      <c r="F355" s="118" t="s">
        <v>61</v>
      </c>
      <c r="G355" s="118" t="s">
        <v>69</v>
      </c>
      <c r="H355" s="118" t="s">
        <v>72</v>
      </c>
      <c r="I355" s="137">
        <v>50000000</v>
      </c>
      <c r="J355" s="118"/>
      <c r="K355" s="121"/>
      <c r="L355" s="121"/>
      <c r="M355" s="122">
        <f t="shared" si="5"/>
        <v>50000000</v>
      </c>
      <c r="N355" s="119">
        <v>819006702</v>
      </c>
      <c r="O355" s="119" t="s">
        <v>1662</v>
      </c>
      <c r="P355" s="150" t="s">
        <v>1972</v>
      </c>
      <c r="Q355" s="124">
        <v>44986</v>
      </c>
      <c r="R355" s="124">
        <v>44986</v>
      </c>
      <c r="S355" s="124">
        <v>45291</v>
      </c>
      <c r="T355" s="125" t="s">
        <v>612</v>
      </c>
      <c r="U355" s="124"/>
      <c r="V355" s="124"/>
      <c r="W355" s="126"/>
      <c r="X355" s="127"/>
      <c r="Y355" s="121">
        <v>28147328</v>
      </c>
      <c r="Z355" s="120">
        <v>21852672</v>
      </c>
      <c r="AA355" s="128">
        <v>0.56294655999999998</v>
      </c>
      <c r="AB355" s="119">
        <v>1082884010</v>
      </c>
      <c r="AC355" s="119" t="s">
        <v>1973</v>
      </c>
      <c r="AD355" s="116"/>
      <c r="AE355" s="116"/>
      <c r="AF355" s="125"/>
      <c r="AG355" s="129" t="s">
        <v>1974</v>
      </c>
      <c r="AH355" s="119" t="s">
        <v>192</v>
      </c>
      <c r="AI355" s="116" t="s">
        <v>191</v>
      </c>
    </row>
    <row r="356" spans="1:35" s="130" customFormat="1" ht="17.25" customHeight="1" x14ac:dyDescent="0.25">
      <c r="A356" s="114">
        <v>891780111</v>
      </c>
      <c r="B356" s="115" t="s">
        <v>54</v>
      </c>
      <c r="C356" s="116" t="s">
        <v>57</v>
      </c>
      <c r="D356" s="115" t="s">
        <v>60</v>
      </c>
      <c r="E356" s="119" t="s">
        <v>1975</v>
      </c>
      <c r="F356" s="118" t="s">
        <v>61</v>
      </c>
      <c r="G356" s="118" t="s">
        <v>69</v>
      </c>
      <c r="H356" s="118" t="s">
        <v>72</v>
      </c>
      <c r="I356" s="137">
        <v>80000000</v>
      </c>
      <c r="J356" s="118"/>
      <c r="K356" s="121"/>
      <c r="L356" s="121"/>
      <c r="M356" s="122">
        <f t="shared" si="5"/>
        <v>80000000</v>
      </c>
      <c r="N356" s="119">
        <v>800164453</v>
      </c>
      <c r="O356" s="119" t="s">
        <v>1976</v>
      </c>
      <c r="P356" s="150" t="s">
        <v>1977</v>
      </c>
      <c r="Q356" s="124">
        <v>44995</v>
      </c>
      <c r="R356" s="124">
        <v>44995</v>
      </c>
      <c r="S356" s="124">
        <v>45289</v>
      </c>
      <c r="T356" s="125" t="s">
        <v>612</v>
      </c>
      <c r="U356" s="124"/>
      <c r="V356" s="124"/>
      <c r="W356" s="126"/>
      <c r="X356" s="127"/>
      <c r="Y356" s="121">
        <v>17919200</v>
      </c>
      <c r="Z356" s="120">
        <v>62080800</v>
      </c>
      <c r="AA356" s="128">
        <v>0.22399000000000002</v>
      </c>
      <c r="AB356" s="119">
        <v>1082884010</v>
      </c>
      <c r="AC356" s="119" t="s">
        <v>1177</v>
      </c>
      <c r="AD356" s="116"/>
      <c r="AE356" s="116"/>
      <c r="AF356" s="125"/>
      <c r="AG356" s="129" t="s">
        <v>1978</v>
      </c>
      <c r="AH356" s="119" t="s">
        <v>192</v>
      </c>
      <c r="AI356" s="116" t="s">
        <v>191</v>
      </c>
    </row>
    <row r="357" spans="1:35" s="130" customFormat="1" ht="17.25" customHeight="1" x14ac:dyDescent="0.25">
      <c r="A357" s="114">
        <v>891780111</v>
      </c>
      <c r="B357" s="115" t="s">
        <v>54</v>
      </c>
      <c r="C357" s="116" t="s">
        <v>57</v>
      </c>
      <c r="D357" s="115" t="s">
        <v>60</v>
      </c>
      <c r="E357" s="119" t="s">
        <v>1979</v>
      </c>
      <c r="F357" s="118" t="s">
        <v>61</v>
      </c>
      <c r="G357" s="118" t="s">
        <v>69</v>
      </c>
      <c r="H357" s="118" t="s">
        <v>72</v>
      </c>
      <c r="I357" s="135">
        <v>30000000</v>
      </c>
      <c r="J357" s="118"/>
      <c r="K357" s="121"/>
      <c r="L357" s="121"/>
      <c r="M357" s="122">
        <f t="shared" si="5"/>
        <v>30000000</v>
      </c>
      <c r="N357" s="143">
        <v>1082954422</v>
      </c>
      <c r="O357" s="119" t="s">
        <v>1980</v>
      </c>
      <c r="P357" s="150" t="s">
        <v>1981</v>
      </c>
      <c r="Q357" s="124">
        <v>45030</v>
      </c>
      <c r="R357" s="124">
        <v>45030</v>
      </c>
      <c r="S357" s="124">
        <v>45289</v>
      </c>
      <c r="T357" s="125" t="s">
        <v>612</v>
      </c>
      <c r="U357" s="124"/>
      <c r="V357" s="124"/>
      <c r="W357" s="126"/>
      <c r="X357" s="127"/>
      <c r="Y357" s="121">
        <v>2353000</v>
      </c>
      <c r="Z357" s="120">
        <v>27647000</v>
      </c>
      <c r="AA357" s="128">
        <v>7.8433333333333355E-2</v>
      </c>
      <c r="AB357" s="143">
        <v>1082954422</v>
      </c>
      <c r="AC357" s="119" t="s">
        <v>1980</v>
      </c>
      <c r="AD357" s="116"/>
      <c r="AE357" s="116"/>
      <c r="AF357" s="125"/>
      <c r="AG357" s="129" t="s">
        <v>1982</v>
      </c>
      <c r="AH357" s="119" t="s">
        <v>192</v>
      </c>
      <c r="AI357" s="116" t="s">
        <v>191</v>
      </c>
    </row>
    <row r="358" spans="1:35" s="130" customFormat="1" ht="17.25" customHeight="1" x14ac:dyDescent="0.25">
      <c r="A358" s="114">
        <v>891780111</v>
      </c>
      <c r="B358" s="115" t="s">
        <v>54</v>
      </c>
      <c r="C358" s="116" t="s">
        <v>57</v>
      </c>
      <c r="D358" s="115" t="s">
        <v>60</v>
      </c>
      <c r="E358" s="119" t="s">
        <v>1983</v>
      </c>
      <c r="F358" s="118" t="s">
        <v>61</v>
      </c>
      <c r="G358" s="118" t="s">
        <v>69</v>
      </c>
      <c r="H358" s="118" t="s">
        <v>72</v>
      </c>
      <c r="I358" s="142">
        <v>20000000</v>
      </c>
      <c r="J358" s="118"/>
      <c r="K358" s="121"/>
      <c r="L358" s="121"/>
      <c r="M358" s="122">
        <f t="shared" si="5"/>
        <v>20000000</v>
      </c>
      <c r="N358" s="119">
        <v>1082994721</v>
      </c>
      <c r="O358" s="119" t="s">
        <v>1984</v>
      </c>
      <c r="P358" s="150" t="s">
        <v>1985</v>
      </c>
      <c r="Q358" s="124">
        <v>45034</v>
      </c>
      <c r="R358" s="124">
        <v>45034</v>
      </c>
      <c r="S358" s="124">
        <v>45277</v>
      </c>
      <c r="T358" s="125" t="s">
        <v>612</v>
      </c>
      <c r="U358" s="124"/>
      <c r="V358" s="124"/>
      <c r="W358" s="126"/>
      <c r="X358" s="127"/>
      <c r="Y358" s="121">
        <v>0</v>
      </c>
      <c r="Z358" s="120">
        <v>20000000</v>
      </c>
      <c r="AA358" s="128">
        <v>0</v>
      </c>
      <c r="AB358" s="119">
        <v>1082994721</v>
      </c>
      <c r="AC358" s="119" t="s">
        <v>1984</v>
      </c>
      <c r="AD358" s="116"/>
      <c r="AE358" s="116"/>
      <c r="AF358" s="125"/>
      <c r="AG358" s="129" t="s">
        <v>1986</v>
      </c>
      <c r="AH358" s="119" t="s">
        <v>192</v>
      </c>
      <c r="AI358" s="116" t="s">
        <v>191</v>
      </c>
    </row>
    <row r="359" spans="1:35" s="130" customFormat="1" ht="17.25" customHeight="1" x14ac:dyDescent="0.25">
      <c r="A359" s="114">
        <v>891780111</v>
      </c>
      <c r="B359" s="115" t="s">
        <v>54</v>
      </c>
      <c r="C359" s="116" t="s">
        <v>57</v>
      </c>
      <c r="D359" s="115" t="s">
        <v>60</v>
      </c>
      <c r="E359" s="119" t="s">
        <v>1987</v>
      </c>
      <c r="F359" s="118" t="s">
        <v>61</v>
      </c>
      <c r="G359" s="118" t="s">
        <v>69</v>
      </c>
      <c r="H359" s="118" t="s">
        <v>72</v>
      </c>
      <c r="I359" s="135">
        <v>4998000</v>
      </c>
      <c r="J359" s="118"/>
      <c r="K359" s="121"/>
      <c r="L359" s="121"/>
      <c r="M359" s="122">
        <f t="shared" si="5"/>
        <v>4998000</v>
      </c>
      <c r="N359" s="151">
        <v>819004970</v>
      </c>
      <c r="O359" s="119" t="s">
        <v>1988</v>
      </c>
      <c r="P359" s="150" t="s">
        <v>1989</v>
      </c>
      <c r="Q359" s="124">
        <v>45131</v>
      </c>
      <c r="R359" s="124">
        <v>45131</v>
      </c>
      <c r="S359" s="124">
        <v>45253</v>
      </c>
      <c r="T359" s="125" t="s">
        <v>612</v>
      </c>
      <c r="U359" s="124"/>
      <c r="V359" s="124"/>
      <c r="W359" s="126"/>
      <c r="X359" s="127"/>
      <c r="Y359" s="121">
        <v>0</v>
      </c>
      <c r="Z359" s="152">
        <v>4998000</v>
      </c>
      <c r="AA359" s="128">
        <v>0</v>
      </c>
      <c r="AB359" s="153">
        <v>28548913</v>
      </c>
      <c r="AC359" s="123" t="s">
        <v>1990</v>
      </c>
      <c r="AD359" s="116"/>
      <c r="AE359" s="116"/>
      <c r="AF359" s="125"/>
      <c r="AG359" s="154" t="s">
        <v>1991</v>
      </c>
      <c r="AH359" s="119" t="s">
        <v>192</v>
      </c>
      <c r="AI359" s="116" t="s">
        <v>191</v>
      </c>
    </row>
    <row r="360" spans="1:35" s="161" customFormat="1" x14ac:dyDescent="0.25">
      <c r="A360" s="155"/>
      <c r="B360" s="156"/>
      <c r="C360" s="157" t="s">
        <v>311</v>
      </c>
      <c r="D360" s="158"/>
      <c r="E360" s="160">
        <f>COUNTA(E5:E359)</f>
        <v>355</v>
      </c>
      <c r="F360" s="156"/>
      <c r="G360" s="156"/>
      <c r="H360" s="158"/>
      <c r="I360" s="159">
        <f>SUM(I5:I359)</f>
        <v>4897655708</v>
      </c>
      <c r="J360" s="160">
        <f>COUNTA(J5:J359)</f>
        <v>14</v>
      </c>
      <c r="K360" s="159">
        <f>SUM(K5:K359)</f>
        <v>33641250</v>
      </c>
      <c r="L360" s="159">
        <f>SUM(L5:L359)</f>
        <v>51100000</v>
      </c>
      <c r="M360" s="159">
        <f t="shared" si="5"/>
        <v>4880196958</v>
      </c>
      <c r="N360" s="160"/>
      <c r="O360" s="160"/>
      <c r="P360" s="155"/>
      <c r="Q360" s="160"/>
      <c r="R360" s="160"/>
      <c r="S360" s="160"/>
      <c r="T360" s="160"/>
      <c r="U360" s="160"/>
      <c r="V360" s="160"/>
      <c r="W360" s="160"/>
      <c r="X360" s="156">
        <f>SUM(X5:X358)</f>
        <v>16</v>
      </c>
      <c r="Y360" s="159">
        <f>SUM(Y5:Y359)</f>
        <v>2337685463</v>
      </c>
      <c r="Z360" s="159">
        <f>SUM(Z5:Z359)</f>
        <v>2542511495</v>
      </c>
      <c r="AA360" s="156"/>
      <c r="AB360" s="156"/>
      <c r="AC360" s="156"/>
      <c r="AD360" s="156"/>
      <c r="AE360" s="156"/>
      <c r="AF360" s="156"/>
      <c r="AG360" s="156"/>
      <c r="AH360" s="160"/>
      <c r="AI360" s="160"/>
    </row>
    <row r="363" spans="1:35" x14ac:dyDescent="0.25">
      <c r="L363" s="163"/>
      <c r="S363" s="234"/>
    </row>
    <row r="364" spans="1:35" x14ac:dyDescent="0.25">
      <c r="S364" s="234"/>
    </row>
    <row r="365" spans="1:35" x14ac:dyDescent="0.25">
      <c r="S365" s="234"/>
    </row>
    <row r="366" spans="1:35" x14ac:dyDescent="0.25">
      <c r="L366" s="163"/>
    </row>
  </sheetData>
  <mergeCells count="7">
    <mergeCell ref="AG3:AI3"/>
    <mergeCell ref="A1:D1"/>
    <mergeCell ref="G1:H1"/>
    <mergeCell ref="A2:C2"/>
    <mergeCell ref="D2:F2"/>
    <mergeCell ref="G2:H3"/>
    <mergeCell ref="K2:P3"/>
  </mergeCells>
  <conditionalFormatting sqref="D2">
    <cfRule type="containsText" dxfId="3" priority="4" operator="containsText" text="Seleccione Ordenador">
      <formula>NOT(ISERROR(SEARCH("Seleccione Ordenador",D2)))</formula>
    </cfRule>
  </conditionalFormatting>
  <conditionalFormatting sqref="E1">
    <cfRule type="containsText" dxfId="2" priority="3" operator="containsText" text="Seleccione Periodo">
      <formula>NOT(ISERROR(SEARCH("Seleccione Periodo",E1)))</formula>
    </cfRule>
  </conditionalFormatting>
  <conditionalFormatting sqref="S5:S13 U5:V13">
    <cfRule type="expression" dxfId="1" priority="2">
      <formula>"$U$3&lt;=HOY()"</formula>
    </cfRule>
  </conditionalFormatting>
  <conditionalFormatting sqref="S15 U15:V15">
    <cfRule type="expression" dxfId="0" priority="1">
      <formula>"$U$3&lt;=HOY()"</formula>
    </cfRule>
  </conditionalFormatting>
  <dataValidations count="9">
    <dataValidation type="list" allowBlank="1" showInputMessage="1" showErrorMessage="1" sqref="T5:T359" xr:uid="{65669948-CF26-44C8-BDA5-17305B9F1F9A}">
      <formula1>"SI,N/A"</formula1>
    </dataValidation>
    <dataValidation type="list" allowBlank="1" showInputMessage="1" showErrorMessage="1" sqref="AD5:AE359" xr:uid="{C76A413E-6B44-492A-A27C-E061D3B68D07}">
      <formula1>"SI,NO"</formula1>
    </dataValidation>
    <dataValidation type="list" allowBlank="1" showInputMessage="1" showErrorMessage="1" sqref="AI5:AI359" xr:uid="{F947B267-E2E6-4715-BF04-0415DEA1C223}">
      <formula1>"SI,NA por TIPO Contrato"</formula1>
    </dataValidation>
    <dataValidation type="list" allowBlank="1" showInputMessage="1" showErrorMessage="1" sqref="AH5:AH359" xr:uid="{A9D4FE9C-9688-4231-944B-FAF60C10276E}">
      <formula1>"SI,NO HA INICIADO"</formula1>
    </dataValidation>
    <dataValidation type="list" allowBlank="1" showInputMessage="1" showErrorMessage="1" sqref="H5:H359" xr:uid="{E1652CAD-E684-439F-8110-23695ED6744F}">
      <formula1>tipologia</formula1>
    </dataValidation>
    <dataValidation type="list" allowBlank="1" showInputMessage="1" showErrorMessage="1" sqref="G5:G359" xr:uid="{CE89B8AA-0018-407D-BE31-6162141FD41E}">
      <formula1>modalidad</formula1>
    </dataValidation>
    <dataValidation type="list" allowBlank="1" showInputMessage="1" showErrorMessage="1" sqref="C5:C359" xr:uid="{D32E7DAB-B00B-4819-94C9-B5FFDA32C975}">
      <formula1>rubro</formula1>
    </dataValidation>
    <dataValidation type="list" allowBlank="1" showInputMessage="1" showErrorMessage="1" sqref="E1" xr:uid="{53D0E62D-7D99-4050-83D5-102A841B24E8}">
      <formula1>cortea</formula1>
    </dataValidation>
    <dataValidation type="list" allowBlank="1" showInputMessage="1" showErrorMessage="1" sqref="D2" xr:uid="{AA4FB91D-8493-4C1E-8865-3098AE64C470}">
      <formula1>Delegatarios</formula1>
    </dataValidation>
  </dataValidations>
  <hyperlinks>
    <hyperlink ref="AG30" r:id="rId1" xr:uid="{EA87A3A1-BA2C-4C94-80E6-7E7F487D4883}"/>
    <hyperlink ref="AG125" r:id="rId2" xr:uid="{2F7AEE76-D919-49C1-BB96-D2C2CFAD312B}"/>
    <hyperlink ref="AG124" r:id="rId3" xr:uid="{8806686E-51D5-40DC-A816-E5EAC64000E3}"/>
    <hyperlink ref="AG123" r:id="rId4" xr:uid="{617E6E3D-C02B-4AB1-B6A4-37A0D16470BA}"/>
    <hyperlink ref="AG122" r:id="rId5" xr:uid="{D2EAA337-F327-4C1F-8BFB-19373B0AE38E}"/>
    <hyperlink ref="AG121" r:id="rId6" xr:uid="{966ED710-3C4E-42BE-98B9-7CFC9B30408D}"/>
    <hyperlink ref="AG120" r:id="rId7" xr:uid="{6FD0679C-98AD-4AA4-A4B5-C0FC85AC9549}"/>
    <hyperlink ref="AG119" r:id="rId8" xr:uid="{93777723-AD25-4730-B886-48C7B7FE2BCD}"/>
    <hyperlink ref="AG118" r:id="rId9" xr:uid="{27F3AE7B-B5D5-4CB6-A3F9-EF6C360B2C75}"/>
    <hyperlink ref="AG117" r:id="rId10" xr:uid="{FC5F41FB-D7E3-40CA-82AF-DBDB8DCA33F9}"/>
    <hyperlink ref="AG126" r:id="rId11" xr:uid="{F60BC1F8-46B0-4940-BC5E-1450D793E943}"/>
    <hyperlink ref="AG127" r:id="rId12" xr:uid="{CCEDFAE6-DC13-4B5F-8EAE-EEC853CAB9E1}"/>
    <hyperlink ref="AG128" r:id="rId13" xr:uid="{4ED64851-8018-431E-883D-1B761FAC1234}"/>
    <hyperlink ref="AG129" r:id="rId14" xr:uid="{30CA3854-CC1A-4F74-AD8E-00EDE7A9BE9F}"/>
    <hyperlink ref="AG264" r:id="rId15" xr:uid="{E3BADC03-B4E7-473A-ABFC-8D9AA881111F}"/>
    <hyperlink ref="AG265" r:id="rId16" xr:uid="{E4B194B5-1BE2-4B28-AE55-3182DECAF3CD}"/>
    <hyperlink ref="AG271" r:id="rId17" xr:uid="{304CB991-DCC8-4733-9006-6F4FDBEC1211}"/>
    <hyperlink ref="AG275" r:id="rId18" xr:uid="{7A195038-5D09-481D-A6F5-F90F53449D24}"/>
    <hyperlink ref="AG276" r:id="rId19" xr:uid="{9AFDFEE7-CA9F-4E65-9203-3765A301603F}"/>
    <hyperlink ref="AG297" r:id="rId20" xr:uid="{149687FF-3962-43BE-92DD-ACFC32CF7B87}"/>
    <hyperlink ref="AG298" r:id="rId21" xr:uid="{40616A74-BBDD-45AD-9144-A27939EA4CB3}"/>
    <hyperlink ref="AG268" r:id="rId22" xr:uid="{B7E51360-B254-4BC4-9B9F-AC75836BFAD6}"/>
    <hyperlink ref="AG359" r:id="rId23" xr:uid="{29BCA091-C1D0-4AE1-A056-FCA2167422AE}"/>
  </hyperlinks>
  <pageMargins left="0" right="0" top="0" bottom="0" header="0.3" footer="0.3"/>
  <pageSetup paperSize="5" scale="38" orientation="landscape" r:id="rId24"/>
  <drawing r:id="rId2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topLeftCell="A34" workbookViewId="0">
      <selection activeCell="C51" sqref="C51"/>
    </sheetView>
  </sheetViews>
  <sheetFormatPr baseColWidth="10" defaultRowHeight="15" x14ac:dyDescent="0.25"/>
  <cols>
    <col min="1" max="1" width="26.85546875" customWidth="1"/>
    <col min="2" max="2" width="51" customWidth="1"/>
    <col min="3" max="3" width="22" customWidth="1"/>
  </cols>
  <sheetData>
    <row r="1" spans="1:6" s="17" customFormat="1" x14ac:dyDescent="0.25">
      <c r="A1" s="17" t="s">
        <v>22</v>
      </c>
      <c r="B1" s="17" t="s">
        <v>23</v>
      </c>
      <c r="C1" s="17" t="s">
        <v>39</v>
      </c>
      <c r="D1" s="17" t="s">
        <v>55</v>
      </c>
      <c r="E1" s="17" t="s">
        <v>62</v>
      </c>
      <c r="F1" s="17" t="s">
        <v>70</v>
      </c>
    </row>
    <row r="2" spans="1:6" x14ac:dyDescent="0.25">
      <c r="A2" t="s">
        <v>101</v>
      </c>
      <c r="B2" t="s">
        <v>100</v>
      </c>
      <c r="C2" t="s">
        <v>101</v>
      </c>
      <c r="D2" t="s">
        <v>56</v>
      </c>
      <c r="E2" t="s">
        <v>63</v>
      </c>
      <c r="F2" t="s">
        <v>71</v>
      </c>
    </row>
    <row r="3" spans="1:6" x14ac:dyDescent="0.25">
      <c r="A3" t="s">
        <v>95</v>
      </c>
      <c r="B3" s="6" t="s">
        <v>24</v>
      </c>
      <c r="C3" t="s">
        <v>40</v>
      </c>
      <c r="D3" t="s">
        <v>57</v>
      </c>
      <c r="E3" t="s">
        <v>64</v>
      </c>
      <c r="F3" t="s">
        <v>72</v>
      </c>
    </row>
    <row r="4" spans="1:6" x14ac:dyDescent="0.25">
      <c r="A4" t="s">
        <v>96</v>
      </c>
      <c r="B4" s="6" t="s">
        <v>25</v>
      </c>
      <c r="C4" t="s">
        <v>41</v>
      </c>
      <c r="D4" t="s">
        <v>58</v>
      </c>
      <c r="E4" t="s">
        <v>61</v>
      </c>
      <c r="F4" t="s">
        <v>73</v>
      </c>
    </row>
    <row r="5" spans="1:6" x14ac:dyDescent="0.25">
      <c r="A5" t="s">
        <v>97</v>
      </c>
      <c r="B5" s="6" t="s">
        <v>26</v>
      </c>
      <c r="C5" t="s">
        <v>42</v>
      </c>
      <c r="D5" t="s">
        <v>86</v>
      </c>
      <c r="E5" t="s">
        <v>65</v>
      </c>
      <c r="F5" t="s">
        <v>74</v>
      </c>
    </row>
    <row r="6" spans="1:6" x14ac:dyDescent="0.25">
      <c r="A6" t="s">
        <v>98</v>
      </c>
      <c r="B6" s="6" t="s">
        <v>27</v>
      </c>
      <c r="C6" t="s">
        <v>43</v>
      </c>
      <c r="D6" t="s">
        <v>59</v>
      </c>
      <c r="E6" t="s">
        <v>66</v>
      </c>
      <c r="F6" t="s">
        <v>75</v>
      </c>
    </row>
    <row r="7" spans="1:6" x14ac:dyDescent="0.25">
      <c r="B7" s="6" t="s">
        <v>28</v>
      </c>
      <c r="C7" t="s">
        <v>44</v>
      </c>
      <c r="E7" t="s">
        <v>67</v>
      </c>
      <c r="F7" t="s">
        <v>76</v>
      </c>
    </row>
    <row r="8" spans="1:6" x14ac:dyDescent="0.25">
      <c r="B8" s="6" t="s">
        <v>29</v>
      </c>
      <c r="C8" t="s">
        <v>45</v>
      </c>
      <c r="E8" t="s">
        <v>68</v>
      </c>
      <c r="F8" t="s">
        <v>77</v>
      </c>
    </row>
    <row r="9" spans="1:6" x14ac:dyDescent="0.25">
      <c r="B9" s="6" t="s">
        <v>30</v>
      </c>
      <c r="C9" t="s">
        <v>46</v>
      </c>
      <c r="E9" t="s">
        <v>69</v>
      </c>
      <c r="F9" t="s">
        <v>78</v>
      </c>
    </row>
    <row r="10" spans="1:6" x14ac:dyDescent="0.25">
      <c r="B10" s="6" t="s">
        <v>31</v>
      </c>
      <c r="C10" t="s">
        <v>47</v>
      </c>
      <c r="F10" t="s">
        <v>79</v>
      </c>
    </row>
    <row r="11" spans="1:6" x14ac:dyDescent="0.25">
      <c r="B11" s="6" t="s">
        <v>32</v>
      </c>
      <c r="C11" t="s">
        <v>48</v>
      </c>
    </row>
    <row r="12" spans="1:6" x14ac:dyDescent="0.25">
      <c r="B12" s="6" t="s">
        <v>33</v>
      </c>
      <c r="C12" t="s">
        <v>49</v>
      </c>
    </row>
    <row r="13" spans="1:6" x14ac:dyDescent="0.25">
      <c r="B13" s="6" t="s">
        <v>34</v>
      </c>
      <c r="C13" t="s">
        <v>50</v>
      </c>
    </row>
    <row r="14" spans="1:6" x14ac:dyDescent="0.25">
      <c r="B14" s="6" t="s">
        <v>35</v>
      </c>
      <c r="C14" t="s">
        <v>51</v>
      </c>
    </row>
    <row r="15" spans="1:6" x14ac:dyDescent="0.25">
      <c r="B15" s="6" t="s">
        <v>36</v>
      </c>
    </row>
    <row r="16" spans="1:6" x14ac:dyDescent="0.25">
      <c r="B16" s="6" t="s">
        <v>37</v>
      </c>
    </row>
    <row r="17" spans="2:4" x14ac:dyDescent="0.25">
      <c r="B17" s="6" t="s">
        <v>38</v>
      </c>
    </row>
    <row r="19" spans="2:4" x14ac:dyDescent="0.25">
      <c r="B19" s="19" t="s">
        <v>90</v>
      </c>
      <c r="C19" s="20" t="s">
        <v>85</v>
      </c>
      <c r="D19" s="20" t="s">
        <v>91</v>
      </c>
    </row>
    <row r="20" spans="2:4" x14ac:dyDescent="0.25">
      <c r="B20" s="6" t="s">
        <v>31</v>
      </c>
      <c r="C20" s="18">
        <v>42</v>
      </c>
      <c r="D20" s="18" t="s">
        <v>88</v>
      </c>
    </row>
    <row r="21" spans="2:4" x14ac:dyDescent="0.25">
      <c r="B21" s="6" t="s">
        <v>33</v>
      </c>
      <c r="C21" s="18">
        <v>42</v>
      </c>
      <c r="D21" s="18" t="s">
        <v>88</v>
      </c>
    </row>
    <row r="22" spans="2:4" x14ac:dyDescent="0.25">
      <c r="B22" s="6" t="s">
        <v>36</v>
      </c>
      <c r="C22" s="18">
        <v>42</v>
      </c>
      <c r="D22" s="18" t="s">
        <v>88</v>
      </c>
    </row>
    <row r="23" spans="2:4" x14ac:dyDescent="0.25">
      <c r="B23" s="6" t="s">
        <v>35</v>
      </c>
      <c r="C23" s="18">
        <v>42</v>
      </c>
      <c r="D23" s="18" t="s">
        <v>88</v>
      </c>
    </row>
    <row r="24" spans="2:4" x14ac:dyDescent="0.25">
      <c r="B24" s="6" t="s">
        <v>34</v>
      </c>
      <c r="C24" s="18">
        <v>42</v>
      </c>
      <c r="D24" s="18" t="s">
        <v>88</v>
      </c>
    </row>
    <row r="25" spans="2:4" x14ac:dyDescent="0.25">
      <c r="B25" s="6" t="s">
        <v>32</v>
      </c>
      <c r="C25" s="18">
        <v>42</v>
      </c>
      <c r="D25" s="18" t="s">
        <v>88</v>
      </c>
    </row>
    <row r="26" spans="2:4" x14ac:dyDescent="0.25">
      <c r="B26" s="6" t="s">
        <v>37</v>
      </c>
      <c r="C26" s="18">
        <v>250</v>
      </c>
      <c r="D26" s="18" t="s">
        <v>87</v>
      </c>
    </row>
    <row r="27" spans="2:4" x14ac:dyDescent="0.25">
      <c r="B27" s="6" t="s">
        <v>29</v>
      </c>
      <c r="C27" s="18">
        <v>42</v>
      </c>
      <c r="D27" s="18" t="s">
        <v>88</v>
      </c>
    </row>
    <row r="28" spans="2:4" x14ac:dyDescent="0.25">
      <c r="B28" s="6" t="s">
        <v>28</v>
      </c>
      <c r="C28" s="18">
        <v>250</v>
      </c>
      <c r="D28" s="18" t="s">
        <v>88</v>
      </c>
    </row>
    <row r="29" spans="2:4" x14ac:dyDescent="0.25">
      <c r="B29" s="6" t="s">
        <v>30</v>
      </c>
      <c r="C29" s="18">
        <v>42</v>
      </c>
      <c r="D29" s="18" t="s">
        <v>88</v>
      </c>
    </row>
    <row r="30" spans="2:4" x14ac:dyDescent="0.25">
      <c r="B30" s="6" t="s">
        <v>38</v>
      </c>
      <c r="C30" s="18">
        <v>42</v>
      </c>
      <c r="D30" s="18" t="s">
        <v>89</v>
      </c>
    </row>
    <row r="31" spans="2:4" x14ac:dyDescent="0.25">
      <c r="B31" s="6" t="s">
        <v>100</v>
      </c>
      <c r="C31" s="18">
        <v>0</v>
      </c>
      <c r="D31" s="18" t="s">
        <v>92</v>
      </c>
    </row>
    <row r="32" spans="2:4" x14ac:dyDescent="0.25">
      <c r="B32" s="6" t="s">
        <v>25</v>
      </c>
      <c r="C32" s="18">
        <v>250</v>
      </c>
      <c r="D32" s="18" t="s">
        <v>88</v>
      </c>
    </row>
    <row r="33" spans="2:4" x14ac:dyDescent="0.25">
      <c r="B33" s="6" t="s">
        <v>24</v>
      </c>
      <c r="C33" s="18">
        <v>3000</v>
      </c>
      <c r="D33" s="18" t="s">
        <v>87</v>
      </c>
    </row>
    <row r="34" spans="2:4" x14ac:dyDescent="0.25">
      <c r="B34" s="6" t="s">
        <v>27</v>
      </c>
      <c r="C34" s="18">
        <v>1000</v>
      </c>
      <c r="D34" s="18" t="s">
        <v>88</v>
      </c>
    </row>
    <row r="35" spans="2:4" x14ac:dyDescent="0.25">
      <c r="B35" s="6" t="s">
        <v>26</v>
      </c>
      <c r="C35" s="18">
        <v>1000</v>
      </c>
      <c r="D35" s="18" t="s">
        <v>88</v>
      </c>
    </row>
    <row r="37" spans="2:4" x14ac:dyDescent="0.25">
      <c r="B37" s="19" t="s">
        <v>106</v>
      </c>
      <c r="C37" s="19" t="s">
        <v>107</v>
      </c>
    </row>
    <row r="38" spans="2:4" x14ac:dyDescent="0.25">
      <c r="B38" t="s">
        <v>43</v>
      </c>
      <c r="C38" t="s">
        <v>105</v>
      </c>
    </row>
    <row r="39" spans="2:4" x14ac:dyDescent="0.25">
      <c r="B39" t="s">
        <v>47</v>
      </c>
      <c r="C39" t="s">
        <v>105</v>
      </c>
    </row>
    <row r="40" spans="2:4" x14ac:dyDescent="0.25">
      <c r="B40" t="s">
        <v>51</v>
      </c>
      <c r="C40" t="s">
        <v>98</v>
      </c>
    </row>
    <row r="41" spans="2:4" x14ac:dyDescent="0.25">
      <c r="B41" t="s">
        <v>40</v>
      </c>
      <c r="C41" t="s">
        <v>105</v>
      </c>
    </row>
    <row r="42" spans="2:4" x14ac:dyDescent="0.25">
      <c r="B42" t="s">
        <v>41</v>
      </c>
      <c r="C42" t="s">
        <v>105</v>
      </c>
    </row>
    <row r="43" spans="2:4" x14ac:dyDescent="0.25">
      <c r="B43" t="s">
        <v>46</v>
      </c>
      <c r="C43" t="s">
        <v>105</v>
      </c>
    </row>
    <row r="44" spans="2:4" x14ac:dyDescent="0.25">
      <c r="B44" t="s">
        <v>45</v>
      </c>
      <c r="C44" t="s">
        <v>96</v>
      </c>
    </row>
    <row r="45" spans="2:4" x14ac:dyDescent="0.25">
      <c r="B45" t="s">
        <v>42</v>
      </c>
      <c r="C45" t="s">
        <v>109</v>
      </c>
    </row>
    <row r="46" spans="2:4" x14ac:dyDescent="0.25">
      <c r="B46" t="s">
        <v>44</v>
      </c>
      <c r="C46" t="s">
        <v>105</v>
      </c>
    </row>
    <row r="47" spans="2:4" x14ac:dyDescent="0.25">
      <c r="B47" t="s">
        <v>50</v>
      </c>
      <c r="C47" t="s">
        <v>105</v>
      </c>
    </row>
    <row r="48" spans="2:4" x14ac:dyDescent="0.25">
      <c r="B48" t="s">
        <v>49</v>
      </c>
      <c r="C48" t="s">
        <v>105</v>
      </c>
    </row>
    <row r="49" spans="2:3" x14ac:dyDescent="0.25">
      <c r="B49" t="s">
        <v>101</v>
      </c>
      <c r="C49" t="s">
        <v>108</v>
      </c>
    </row>
    <row r="50" spans="2:3" x14ac:dyDescent="0.25">
      <c r="B50" t="s">
        <v>48</v>
      </c>
      <c r="C50" t="s">
        <v>110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E508-6C1A-4D87-8DD0-B81195B3A1A8}">
  <sheetPr>
    <tabColor theme="8" tint="0.59999389629810485"/>
  </sheetPr>
  <dimension ref="A1:AH78"/>
  <sheetViews>
    <sheetView zoomScaleNormal="100" zoomScaleSheetLayoutView="100" workbookViewId="0">
      <selection activeCell="E6" sqref="E6"/>
    </sheetView>
  </sheetViews>
  <sheetFormatPr baseColWidth="10" defaultRowHeight="15" x14ac:dyDescent="0.25"/>
  <cols>
    <col min="1" max="1" width="7.28515625" customWidth="1"/>
    <col min="2" max="2" width="10.5703125" customWidth="1"/>
    <col min="3" max="3" width="20.5703125" customWidth="1"/>
    <col min="4" max="4" width="9" customWidth="1"/>
    <col min="5" max="5" width="23.7109375" customWidth="1"/>
    <col min="6" max="6" width="7.5703125" customWidth="1"/>
    <col min="7" max="7" width="14.7109375" customWidth="1"/>
    <col min="8" max="8" width="23.28515625" customWidth="1"/>
    <col min="9" max="9" width="23.42578125" style="8" customWidth="1"/>
    <col min="10" max="10" width="16.140625" customWidth="1"/>
    <col min="11" max="11" width="15.5703125" customWidth="1"/>
    <col min="12" max="12" width="12.28515625" customWidth="1"/>
    <col min="13" max="13" width="16" customWidth="1"/>
    <col min="14" max="14" width="11.5703125" customWidth="1"/>
    <col min="15" max="15" width="35.42578125" customWidth="1"/>
    <col min="16" max="16" width="43.28515625" customWidth="1"/>
    <col min="17" max="17" width="15.5703125" customWidth="1"/>
    <col min="18" max="18" width="14.42578125" customWidth="1"/>
    <col min="19" max="22" width="12.5703125" customWidth="1"/>
    <col min="23" max="23" width="20.5703125" customWidth="1"/>
    <col min="24" max="24" width="18.85546875" customWidth="1"/>
    <col min="25" max="25" width="16.7109375" customWidth="1"/>
    <col min="26" max="26" width="11.5703125" style="32" customWidth="1"/>
    <col min="27" max="27" width="14.42578125" customWidth="1"/>
    <col min="28" max="28" width="43" customWidth="1"/>
    <col min="29" max="30" width="11.5703125" customWidth="1"/>
    <col min="31" max="31" width="14.85546875" customWidth="1"/>
    <col min="32" max="32" width="12.28515625" customWidth="1"/>
    <col min="33" max="34" width="8.42578125" customWidth="1"/>
  </cols>
  <sheetData>
    <row r="1" spans="1:34" x14ac:dyDescent="0.25">
      <c r="A1" s="333" t="s">
        <v>84</v>
      </c>
      <c r="B1" s="333"/>
      <c r="C1" s="333"/>
      <c r="D1" s="333"/>
      <c r="E1" s="81" t="s">
        <v>46</v>
      </c>
      <c r="G1" s="334" t="s">
        <v>111</v>
      </c>
      <c r="H1" s="334"/>
      <c r="I1" s="29">
        <v>1160000</v>
      </c>
    </row>
    <row r="2" spans="1:34" ht="15" customHeight="1" x14ac:dyDescent="0.25">
      <c r="A2" s="335" t="s">
        <v>21</v>
      </c>
      <c r="B2" s="335"/>
      <c r="C2" s="335"/>
      <c r="D2" s="341" t="s">
        <v>28</v>
      </c>
      <c r="E2" s="341"/>
      <c r="F2" s="341"/>
      <c r="G2" s="337" t="s">
        <v>99</v>
      </c>
      <c r="H2" s="337"/>
      <c r="I2" s="21">
        <v>250</v>
      </c>
      <c r="J2" s="22" t="s">
        <v>85</v>
      </c>
      <c r="K2" s="339" t="s">
        <v>88</v>
      </c>
      <c r="L2" s="339"/>
      <c r="M2" s="339"/>
      <c r="N2" s="339"/>
      <c r="O2" s="339"/>
      <c r="P2" s="339"/>
    </row>
    <row r="3" spans="1:34" ht="15.75" customHeight="1" x14ac:dyDescent="0.25">
      <c r="G3" s="338"/>
      <c r="H3" s="338"/>
      <c r="I3" s="21">
        <f>I2*I1</f>
        <v>290000000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ht="17.25" customHeight="1" x14ac:dyDescent="0.25">
      <c r="A5" s="38">
        <v>891780111</v>
      </c>
      <c r="B5" s="38" t="s">
        <v>54</v>
      </c>
      <c r="C5" s="58" t="s">
        <v>56</v>
      </c>
      <c r="D5" s="38" t="s">
        <v>60</v>
      </c>
      <c r="E5" s="82" t="s">
        <v>338</v>
      </c>
      <c r="F5" s="38" t="s">
        <v>61</v>
      </c>
      <c r="G5" s="39" t="s">
        <v>69</v>
      </c>
      <c r="H5" s="39" t="s">
        <v>73</v>
      </c>
      <c r="I5" s="70">
        <v>16600000</v>
      </c>
      <c r="J5" s="39"/>
      <c r="K5" s="61"/>
      <c r="L5" s="61"/>
      <c r="M5" s="233">
        <f>+I5+K5-L5</f>
        <v>16600000</v>
      </c>
      <c r="N5" s="83">
        <v>1082879378</v>
      </c>
      <c r="O5" s="84" t="s">
        <v>339</v>
      </c>
      <c r="P5" s="85" t="s">
        <v>340</v>
      </c>
      <c r="Q5" s="74">
        <v>44952</v>
      </c>
      <c r="R5" s="74">
        <v>44952</v>
      </c>
      <c r="S5" s="74">
        <v>45107</v>
      </c>
      <c r="T5" s="41"/>
      <c r="U5" s="41"/>
      <c r="V5" s="41"/>
      <c r="W5" s="41"/>
      <c r="X5" s="70">
        <v>16600000</v>
      </c>
      <c r="Y5" s="70">
        <v>0</v>
      </c>
      <c r="Z5" s="37">
        <v>1</v>
      </c>
      <c r="AA5" s="86">
        <v>36564357</v>
      </c>
      <c r="AB5" s="87" t="s">
        <v>341</v>
      </c>
      <c r="AC5" s="39" t="s">
        <v>196</v>
      </c>
      <c r="AD5" s="39" t="s">
        <v>196</v>
      </c>
      <c r="AE5" s="41"/>
      <c r="AF5" s="88" t="s">
        <v>342</v>
      </c>
      <c r="AG5" s="42" t="s">
        <v>192</v>
      </c>
      <c r="AH5" s="42" t="s">
        <v>192</v>
      </c>
    </row>
    <row r="6" spans="1:34" s="43" customFormat="1" ht="17.25" customHeight="1" x14ac:dyDescent="0.25">
      <c r="A6" s="38">
        <v>891780111</v>
      </c>
      <c r="B6" s="38" t="s">
        <v>54</v>
      </c>
      <c r="C6" s="58" t="s">
        <v>56</v>
      </c>
      <c r="D6" s="38" t="s">
        <v>60</v>
      </c>
      <c r="E6" s="82" t="s">
        <v>343</v>
      </c>
      <c r="F6" s="38" t="s">
        <v>61</v>
      </c>
      <c r="G6" s="39" t="s">
        <v>69</v>
      </c>
      <c r="H6" s="39" t="s">
        <v>73</v>
      </c>
      <c r="I6" s="70">
        <v>11000000</v>
      </c>
      <c r="J6" s="39"/>
      <c r="K6" s="61"/>
      <c r="L6" s="61"/>
      <c r="M6" s="233">
        <f t="shared" ref="M6:M69" si="0">+I6+K6-L6</f>
        <v>11000000</v>
      </c>
      <c r="N6" s="83">
        <v>1004374583</v>
      </c>
      <c r="O6" s="84" t="s">
        <v>344</v>
      </c>
      <c r="P6" s="85" t="s">
        <v>345</v>
      </c>
      <c r="Q6" s="74">
        <v>44952</v>
      </c>
      <c r="R6" s="74">
        <v>44952</v>
      </c>
      <c r="S6" s="74">
        <v>45107</v>
      </c>
      <c r="T6" s="41"/>
      <c r="U6" s="41"/>
      <c r="V6" s="41"/>
      <c r="W6" s="41"/>
      <c r="X6" s="70">
        <v>11000000</v>
      </c>
      <c r="Y6" s="70">
        <v>0</v>
      </c>
      <c r="Z6" s="37">
        <v>1</v>
      </c>
      <c r="AA6" s="89">
        <v>36669977</v>
      </c>
      <c r="AB6" s="90" t="s">
        <v>346</v>
      </c>
      <c r="AC6" s="39" t="s">
        <v>196</v>
      </c>
      <c r="AD6" s="39" t="s">
        <v>196</v>
      </c>
      <c r="AE6" s="41"/>
      <c r="AF6" s="88" t="s">
        <v>347</v>
      </c>
      <c r="AG6" s="42" t="s">
        <v>192</v>
      </c>
      <c r="AH6" s="42" t="s">
        <v>192</v>
      </c>
    </row>
    <row r="7" spans="1:34" s="43" customFormat="1" ht="17.25" customHeight="1" x14ac:dyDescent="0.25">
      <c r="A7" s="38">
        <v>891780111</v>
      </c>
      <c r="B7" s="38" t="s">
        <v>54</v>
      </c>
      <c r="C7" s="58" t="s">
        <v>56</v>
      </c>
      <c r="D7" s="38" t="s">
        <v>60</v>
      </c>
      <c r="E7" s="82" t="s">
        <v>348</v>
      </c>
      <c r="F7" s="38" t="s">
        <v>61</v>
      </c>
      <c r="G7" s="39" t="s">
        <v>69</v>
      </c>
      <c r="H7" s="39" t="s">
        <v>73</v>
      </c>
      <c r="I7" s="70">
        <v>12600000</v>
      </c>
      <c r="J7" s="39"/>
      <c r="K7" s="61"/>
      <c r="L7" s="61"/>
      <c r="M7" s="233">
        <f t="shared" si="0"/>
        <v>12600000</v>
      </c>
      <c r="N7" s="83">
        <v>39047317</v>
      </c>
      <c r="O7" s="84" t="s">
        <v>349</v>
      </c>
      <c r="P7" s="85" t="s">
        <v>350</v>
      </c>
      <c r="Q7" s="74">
        <v>44952</v>
      </c>
      <c r="R7" s="74">
        <v>44952</v>
      </c>
      <c r="S7" s="74">
        <v>45107</v>
      </c>
      <c r="T7" s="41"/>
      <c r="U7" s="41"/>
      <c r="V7" s="41"/>
      <c r="W7" s="41"/>
      <c r="X7" s="70">
        <v>12600000</v>
      </c>
      <c r="Y7" s="70">
        <v>0</v>
      </c>
      <c r="Z7" s="37">
        <v>1</v>
      </c>
      <c r="AA7" s="89">
        <v>7634903</v>
      </c>
      <c r="AB7" s="90" t="s">
        <v>351</v>
      </c>
      <c r="AC7" s="39" t="s">
        <v>196</v>
      </c>
      <c r="AD7" s="39" t="s">
        <v>196</v>
      </c>
      <c r="AE7" s="41"/>
      <c r="AF7" s="88" t="s">
        <v>352</v>
      </c>
      <c r="AG7" s="42" t="s">
        <v>192</v>
      </c>
      <c r="AH7" s="42" t="s">
        <v>192</v>
      </c>
    </row>
    <row r="8" spans="1:34" s="43" customFormat="1" ht="17.25" customHeight="1" x14ac:dyDescent="0.25">
      <c r="A8" s="38">
        <v>891780111</v>
      </c>
      <c r="B8" s="38" t="s">
        <v>54</v>
      </c>
      <c r="C8" s="58" t="s">
        <v>56</v>
      </c>
      <c r="D8" s="38" t="s">
        <v>60</v>
      </c>
      <c r="E8" s="82" t="s">
        <v>353</v>
      </c>
      <c r="F8" s="38" t="s">
        <v>61</v>
      </c>
      <c r="G8" s="39" t="s">
        <v>69</v>
      </c>
      <c r="H8" s="39" t="s">
        <v>73</v>
      </c>
      <c r="I8" s="70">
        <v>17200000</v>
      </c>
      <c r="J8" s="39"/>
      <c r="K8" s="61"/>
      <c r="L8" s="61"/>
      <c r="M8" s="233">
        <f t="shared" si="0"/>
        <v>17200000</v>
      </c>
      <c r="N8" s="83">
        <v>85153904</v>
      </c>
      <c r="O8" s="84" t="s">
        <v>354</v>
      </c>
      <c r="P8" s="85" t="s">
        <v>355</v>
      </c>
      <c r="Q8" s="74">
        <v>44952</v>
      </c>
      <c r="R8" s="74">
        <v>44952</v>
      </c>
      <c r="S8" s="74">
        <v>45107</v>
      </c>
      <c r="T8" s="41"/>
      <c r="U8" s="41"/>
      <c r="V8" s="41"/>
      <c r="W8" s="41"/>
      <c r="X8" s="70">
        <v>17200000</v>
      </c>
      <c r="Y8" s="70">
        <v>0</v>
      </c>
      <c r="Z8" s="37">
        <v>1</v>
      </c>
      <c r="AA8" s="91">
        <v>36669725</v>
      </c>
      <c r="AB8" s="90" t="s">
        <v>356</v>
      </c>
      <c r="AC8" s="39" t="s">
        <v>196</v>
      </c>
      <c r="AD8" s="39" t="s">
        <v>196</v>
      </c>
      <c r="AE8" s="41"/>
      <c r="AF8" s="88" t="s">
        <v>357</v>
      </c>
      <c r="AG8" s="42" t="s">
        <v>192</v>
      </c>
      <c r="AH8" s="42" t="s">
        <v>192</v>
      </c>
    </row>
    <row r="9" spans="1:34" s="43" customFormat="1" ht="17.25" customHeight="1" x14ac:dyDescent="0.25">
      <c r="A9" s="38">
        <v>891780111</v>
      </c>
      <c r="B9" s="38" t="s">
        <v>54</v>
      </c>
      <c r="C9" s="58" t="s">
        <v>56</v>
      </c>
      <c r="D9" s="38" t="s">
        <v>60</v>
      </c>
      <c r="E9" s="82" t="s">
        <v>358</v>
      </c>
      <c r="F9" s="38" t="s">
        <v>61</v>
      </c>
      <c r="G9" s="39" t="s">
        <v>69</v>
      </c>
      <c r="H9" s="39" t="s">
        <v>73</v>
      </c>
      <c r="I9" s="70">
        <v>12600000</v>
      </c>
      <c r="J9" s="39"/>
      <c r="K9" s="61"/>
      <c r="L9" s="61"/>
      <c r="M9" s="233">
        <f t="shared" si="0"/>
        <v>12600000</v>
      </c>
      <c r="N9" s="83">
        <v>1082858774</v>
      </c>
      <c r="O9" s="84" t="s">
        <v>359</v>
      </c>
      <c r="P9" s="85" t="s">
        <v>360</v>
      </c>
      <c r="Q9" s="74">
        <v>44952</v>
      </c>
      <c r="R9" s="74">
        <v>44952</v>
      </c>
      <c r="S9" s="74">
        <v>45107</v>
      </c>
      <c r="T9" s="41"/>
      <c r="U9" s="41"/>
      <c r="V9" s="41"/>
      <c r="W9" s="41"/>
      <c r="X9" s="70">
        <v>12600000</v>
      </c>
      <c r="Y9" s="70">
        <v>0</v>
      </c>
      <c r="Z9" s="37">
        <v>1</v>
      </c>
      <c r="AA9" s="86">
        <v>36564357</v>
      </c>
      <c r="AB9" s="87" t="s">
        <v>341</v>
      </c>
      <c r="AC9" s="39" t="s">
        <v>196</v>
      </c>
      <c r="AD9" s="39" t="s">
        <v>196</v>
      </c>
      <c r="AE9" s="41"/>
      <c r="AF9" s="88" t="s">
        <v>361</v>
      </c>
      <c r="AG9" s="42" t="s">
        <v>192</v>
      </c>
      <c r="AH9" s="42" t="s">
        <v>192</v>
      </c>
    </row>
    <row r="10" spans="1:34" s="43" customFormat="1" ht="17.25" customHeight="1" x14ac:dyDescent="0.25">
      <c r="A10" s="38">
        <v>891780111</v>
      </c>
      <c r="B10" s="38" t="s">
        <v>54</v>
      </c>
      <c r="C10" s="58" t="s">
        <v>56</v>
      </c>
      <c r="D10" s="38" t="s">
        <v>60</v>
      </c>
      <c r="E10" s="82" t="s">
        <v>362</v>
      </c>
      <c r="F10" s="38" t="s">
        <v>61</v>
      </c>
      <c r="G10" s="39" t="s">
        <v>69</v>
      </c>
      <c r="H10" s="39" t="s">
        <v>73</v>
      </c>
      <c r="I10" s="70">
        <v>10450000</v>
      </c>
      <c r="J10" s="39"/>
      <c r="K10" s="61"/>
      <c r="L10" s="61"/>
      <c r="M10" s="233">
        <f t="shared" si="0"/>
        <v>10450000</v>
      </c>
      <c r="N10" s="83">
        <v>1221971911</v>
      </c>
      <c r="O10" s="84" t="s">
        <v>363</v>
      </c>
      <c r="P10" s="85" t="s">
        <v>364</v>
      </c>
      <c r="Q10" s="74">
        <v>44952</v>
      </c>
      <c r="R10" s="74">
        <v>44952</v>
      </c>
      <c r="S10" s="74">
        <v>45107</v>
      </c>
      <c r="T10" s="41"/>
      <c r="U10" s="41"/>
      <c r="V10" s="41"/>
      <c r="W10" s="41"/>
      <c r="X10" s="70">
        <v>10450000</v>
      </c>
      <c r="Y10" s="70">
        <v>0</v>
      </c>
      <c r="Z10" s="37">
        <v>1</v>
      </c>
      <c r="AA10" s="89">
        <v>1098669877</v>
      </c>
      <c r="AB10" s="90" t="s">
        <v>365</v>
      </c>
      <c r="AC10" s="39" t="s">
        <v>196</v>
      </c>
      <c r="AD10" s="39" t="s">
        <v>196</v>
      </c>
      <c r="AE10" s="41"/>
      <c r="AF10" s="88" t="s">
        <v>366</v>
      </c>
      <c r="AG10" s="42" t="s">
        <v>192</v>
      </c>
      <c r="AH10" s="42" t="s">
        <v>192</v>
      </c>
    </row>
    <row r="11" spans="1:34" s="43" customFormat="1" ht="17.25" customHeight="1" x14ac:dyDescent="0.25">
      <c r="A11" s="38">
        <v>891780111</v>
      </c>
      <c r="B11" s="38" t="s">
        <v>54</v>
      </c>
      <c r="C11" s="58" t="s">
        <v>56</v>
      </c>
      <c r="D11" s="38" t="s">
        <v>60</v>
      </c>
      <c r="E11" s="82" t="s">
        <v>367</v>
      </c>
      <c r="F11" s="38" t="s">
        <v>61</v>
      </c>
      <c r="G11" s="39" t="s">
        <v>69</v>
      </c>
      <c r="H11" s="39" t="s">
        <v>73</v>
      </c>
      <c r="I11" s="70">
        <v>15450000</v>
      </c>
      <c r="J11" s="39"/>
      <c r="K11" s="61"/>
      <c r="L11" s="61"/>
      <c r="M11" s="233">
        <f t="shared" si="0"/>
        <v>15450000</v>
      </c>
      <c r="N11" s="83">
        <v>36669670</v>
      </c>
      <c r="O11" s="84" t="s">
        <v>368</v>
      </c>
      <c r="P11" s="85" t="s">
        <v>369</v>
      </c>
      <c r="Q11" s="74">
        <v>44952</v>
      </c>
      <c r="R11" s="74">
        <v>44952</v>
      </c>
      <c r="S11" s="74">
        <v>45107</v>
      </c>
      <c r="T11" s="41"/>
      <c r="U11" s="41"/>
      <c r="V11" s="41"/>
      <c r="W11" s="41"/>
      <c r="X11" s="70">
        <v>15450000</v>
      </c>
      <c r="Y11" s="70">
        <v>0</v>
      </c>
      <c r="Z11" s="37">
        <v>1</v>
      </c>
      <c r="AA11" s="89">
        <v>36669977</v>
      </c>
      <c r="AB11" s="90" t="s">
        <v>346</v>
      </c>
      <c r="AC11" s="39" t="s">
        <v>196</v>
      </c>
      <c r="AD11" s="39" t="s">
        <v>196</v>
      </c>
      <c r="AE11" s="41"/>
      <c r="AF11" s="88" t="s">
        <v>370</v>
      </c>
      <c r="AG11" s="42" t="s">
        <v>192</v>
      </c>
      <c r="AH11" s="42" t="s">
        <v>192</v>
      </c>
    </row>
    <row r="12" spans="1:34" s="43" customFormat="1" ht="17.25" customHeight="1" x14ac:dyDescent="0.25">
      <c r="A12" s="38">
        <v>891780111</v>
      </c>
      <c r="B12" s="38" t="s">
        <v>54</v>
      </c>
      <c r="C12" s="58" t="s">
        <v>56</v>
      </c>
      <c r="D12" s="38" t="s">
        <v>60</v>
      </c>
      <c r="E12" s="82" t="s">
        <v>371</v>
      </c>
      <c r="F12" s="38" t="s">
        <v>61</v>
      </c>
      <c r="G12" s="39" t="s">
        <v>69</v>
      </c>
      <c r="H12" s="39" t="s">
        <v>73</v>
      </c>
      <c r="I12" s="70">
        <v>3800000</v>
      </c>
      <c r="J12" s="39"/>
      <c r="K12" s="61"/>
      <c r="L12" s="61"/>
      <c r="M12" s="233">
        <f t="shared" si="0"/>
        <v>3800000</v>
      </c>
      <c r="N12" s="83">
        <v>1082946321</v>
      </c>
      <c r="O12" s="84" t="s">
        <v>372</v>
      </c>
      <c r="P12" s="85" t="s">
        <v>373</v>
      </c>
      <c r="Q12" s="74">
        <v>44952</v>
      </c>
      <c r="R12" s="74">
        <v>44952</v>
      </c>
      <c r="S12" s="74">
        <v>45000</v>
      </c>
      <c r="T12" s="41"/>
      <c r="U12" s="41"/>
      <c r="V12" s="41"/>
      <c r="W12" s="41"/>
      <c r="X12" s="70">
        <v>3800000</v>
      </c>
      <c r="Y12" s="70">
        <v>0</v>
      </c>
      <c r="Z12" s="37">
        <v>1</v>
      </c>
      <c r="AA12" s="89">
        <v>1082943891</v>
      </c>
      <c r="AB12" s="90" t="s">
        <v>374</v>
      </c>
      <c r="AC12" s="39" t="s">
        <v>196</v>
      </c>
      <c r="AD12" s="39" t="s">
        <v>196</v>
      </c>
      <c r="AE12" s="41"/>
      <c r="AF12" s="88" t="s">
        <v>375</v>
      </c>
      <c r="AG12" s="42" t="s">
        <v>192</v>
      </c>
      <c r="AH12" s="42" t="s">
        <v>192</v>
      </c>
    </row>
    <row r="13" spans="1:34" s="43" customFormat="1" ht="17.25" customHeight="1" x14ac:dyDescent="0.25">
      <c r="A13" s="38">
        <v>891780111</v>
      </c>
      <c r="B13" s="38" t="s">
        <v>54</v>
      </c>
      <c r="C13" s="58" t="s">
        <v>56</v>
      </c>
      <c r="D13" s="38" t="s">
        <v>60</v>
      </c>
      <c r="E13" s="82" t="s">
        <v>376</v>
      </c>
      <c r="F13" s="38" t="s">
        <v>61</v>
      </c>
      <c r="G13" s="39" t="s">
        <v>69</v>
      </c>
      <c r="H13" s="39" t="s">
        <v>73</v>
      </c>
      <c r="I13" s="70">
        <v>16000000</v>
      </c>
      <c r="J13" s="39"/>
      <c r="K13" s="61"/>
      <c r="L13" s="61"/>
      <c r="M13" s="233">
        <f t="shared" si="0"/>
        <v>16000000</v>
      </c>
      <c r="N13" s="83">
        <v>1082903530</v>
      </c>
      <c r="O13" s="84" t="s">
        <v>377</v>
      </c>
      <c r="P13" s="85" t="s">
        <v>378</v>
      </c>
      <c r="Q13" s="74">
        <v>44952</v>
      </c>
      <c r="R13" s="74">
        <v>44952</v>
      </c>
      <c r="S13" s="74">
        <v>45107</v>
      </c>
      <c r="T13" s="41"/>
      <c r="U13" s="41"/>
      <c r="V13" s="41"/>
      <c r="W13" s="41"/>
      <c r="X13" s="70">
        <v>16000000</v>
      </c>
      <c r="Y13" s="70">
        <v>0</v>
      </c>
      <c r="Z13" s="37">
        <v>1</v>
      </c>
      <c r="AA13" s="86">
        <v>36564357</v>
      </c>
      <c r="AB13" s="87" t="s">
        <v>341</v>
      </c>
      <c r="AC13" s="39" t="s">
        <v>196</v>
      </c>
      <c r="AD13" s="39" t="s">
        <v>196</v>
      </c>
      <c r="AE13" s="41"/>
      <c r="AF13" s="88" t="s">
        <v>379</v>
      </c>
      <c r="AG13" s="42" t="s">
        <v>192</v>
      </c>
      <c r="AH13" s="42" t="s">
        <v>192</v>
      </c>
    </row>
    <row r="14" spans="1:34" s="43" customFormat="1" ht="17.25" customHeight="1" x14ac:dyDescent="0.25">
      <c r="A14" s="38">
        <v>891780111</v>
      </c>
      <c r="B14" s="38" t="s">
        <v>54</v>
      </c>
      <c r="C14" s="58" t="s">
        <v>56</v>
      </c>
      <c r="D14" s="38" t="s">
        <v>60</v>
      </c>
      <c r="E14" s="82" t="s">
        <v>380</v>
      </c>
      <c r="F14" s="38" t="s">
        <v>61</v>
      </c>
      <c r="G14" s="39" t="s">
        <v>69</v>
      </c>
      <c r="H14" s="39" t="s">
        <v>73</v>
      </c>
      <c r="I14" s="70">
        <v>14300000</v>
      </c>
      <c r="J14" s="39"/>
      <c r="K14" s="61"/>
      <c r="L14" s="61"/>
      <c r="M14" s="233">
        <f t="shared" si="0"/>
        <v>14300000</v>
      </c>
      <c r="N14" s="83">
        <v>1082916730</v>
      </c>
      <c r="O14" s="84" t="s">
        <v>381</v>
      </c>
      <c r="P14" s="85" t="s">
        <v>382</v>
      </c>
      <c r="Q14" s="74">
        <v>44952</v>
      </c>
      <c r="R14" s="74">
        <v>44952</v>
      </c>
      <c r="S14" s="74">
        <v>45107</v>
      </c>
      <c r="T14" s="41"/>
      <c r="U14" s="41"/>
      <c r="V14" s="41"/>
      <c r="W14" s="41"/>
      <c r="X14" s="70">
        <v>14300000</v>
      </c>
      <c r="Y14" s="70">
        <v>0</v>
      </c>
      <c r="Z14" s="37">
        <v>1</v>
      </c>
      <c r="AA14" s="89">
        <v>1082900194</v>
      </c>
      <c r="AB14" s="90" t="s">
        <v>383</v>
      </c>
      <c r="AC14" s="39" t="s">
        <v>196</v>
      </c>
      <c r="AD14" s="39" t="s">
        <v>196</v>
      </c>
      <c r="AE14" s="41"/>
      <c r="AF14" s="88" t="s">
        <v>384</v>
      </c>
      <c r="AG14" s="42" t="s">
        <v>192</v>
      </c>
      <c r="AH14" s="42" t="s">
        <v>192</v>
      </c>
    </row>
    <row r="15" spans="1:34" s="43" customFormat="1" ht="17.25" customHeight="1" x14ac:dyDescent="0.25">
      <c r="A15" s="38">
        <v>891780111</v>
      </c>
      <c r="B15" s="38" t="s">
        <v>54</v>
      </c>
      <c r="C15" s="58" t="s">
        <v>56</v>
      </c>
      <c r="D15" s="38" t="s">
        <v>60</v>
      </c>
      <c r="E15" s="82" t="s">
        <v>385</v>
      </c>
      <c r="F15" s="38" t="s">
        <v>61</v>
      </c>
      <c r="G15" s="39" t="s">
        <v>69</v>
      </c>
      <c r="H15" s="39" t="s">
        <v>73</v>
      </c>
      <c r="I15" s="70">
        <v>10450000</v>
      </c>
      <c r="J15" s="39"/>
      <c r="K15" s="61"/>
      <c r="L15" s="61"/>
      <c r="M15" s="233">
        <f t="shared" si="0"/>
        <v>10450000</v>
      </c>
      <c r="N15" s="83">
        <v>1082956756</v>
      </c>
      <c r="O15" s="84" t="s">
        <v>386</v>
      </c>
      <c r="P15" s="85" t="s">
        <v>387</v>
      </c>
      <c r="Q15" s="74">
        <v>44952</v>
      </c>
      <c r="R15" s="74">
        <v>44952</v>
      </c>
      <c r="S15" s="74">
        <v>45107</v>
      </c>
      <c r="T15" s="41"/>
      <c r="U15" s="41"/>
      <c r="V15" s="41"/>
      <c r="W15" s="41"/>
      <c r="X15" s="70">
        <v>10450000</v>
      </c>
      <c r="Y15" s="70">
        <v>0</v>
      </c>
      <c r="Z15" s="37">
        <v>1</v>
      </c>
      <c r="AA15" s="89">
        <v>1082900194</v>
      </c>
      <c r="AB15" s="90" t="s">
        <v>383</v>
      </c>
      <c r="AC15" s="39" t="s">
        <v>196</v>
      </c>
      <c r="AD15" s="39" t="s">
        <v>196</v>
      </c>
      <c r="AE15" s="41"/>
      <c r="AF15" s="88" t="s">
        <v>388</v>
      </c>
      <c r="AG15" s="42" t="s">
        <v>192</v>
      </c>
      <c r="AH15" s="42" t="s">
        <v>192</v>
      </c>
    </row>
    <row r="16" spans="1:34" s="43" customFormat="1" ht="17.25" customHeight="1" x14ac:dyDescent="0.25">
      <c r="A16" s="38">
        <v>891780111</v>
      </c>
      <c r="B16" s="38" t="s">
        <v>54</v>
      </c>
      <c r="C16" s="58" t="s">
        <v>56</v>
      </c>
      <c r="D16" s="38" t="s">
        <v>60</v>
      </c>
      <c r="E16" s="82" t="s">
        <v>389</v>
      </c>
      <c r="F16" s="38" t="s">
        <v>61</v>
      </c>
      <c r="G16" s="39" t="s">
        <v>69</v>
      </c>
      <c r="H16" s="39" t="s">
        <v>73</v>
      </c>
      <c r="I16" s="70">
        <v>10450000</v>
      </c>
      <c r="J16" s="39"/>
      <c r="K16" s="61"/>
      <c r="L16" s="61"/>
      <c r="M16" s="233">
        <f t="shared" si="0"/>
        <v>10450000</v>
      </c>
      <c r="N16" s="83">
        <v>1083040456</v>
      </c>
      <c r="O16" s="84" t="s">
        <v>390</v>
      </c>
      <c r="P16" s="85" t="s">
        <v>391</v>
      </c>
      <c r="Q16" s="74">
        <v>44952</v>
      </c>
      <c r="R16" s="74">
        <v>44952</v>
      </c>
      <c r="S16" s="74">
        <v>45107</v>
      </c>
      <c r="T16" s="41"/>
      <c r="U16" s="41"/>
      <c r="V16" s="41"/>
      <c r="W16" s="41"/>
      <c r="X16" s="70">
        <v>10450000</v>
      </c>
      <c r="Y16" s="70">
        <v>0</v>
      </c>
      <c r="Z16" s="37">
        <v>1</v>
      </c>
      <c r="AA16" s="89">
        <v>12561250</v>
      </c>
      <c r="AB16" s="90" t="s">
        <v>392</v>
      </c>
      <c r="AC16" s="39" t="s">
        <v>196</v>
      </c>
      <c r="AD16" s="39" t="s">
        <v>196</v>
      </c>
      <c r="AE16" s="41"/>
      <c r="AF16" s="88" t="s">
        <v>393</v>
      </c>
      <c r="AG16" s="42" t="s">
        <v>192</v>
      </c>
      <c r="AH16" s="42" t="s">
        <v>192</v>
      </c>
    </row>
    <row r="17" spans="1:34" s="43" customFormat="1" ht="17.25" customHeight="1" x14ac:dyDescent="0.25">
      <c r="A17" s="38">
        <v>891780111</v>
      </c>
      <c r="B17" s="38" t="s">
        <v>54</v>
      </c>
      <c r="C17" s="58" t="s">
        <v>56</v>
      </c>
      <c r="D17" s="38" t="s">
        <v>60</v>
      </c>
      <c r="E17" s="82" t="s">
        <v>394</v>
      </c>
      <c r="F17" s="38" t="s">
        <v>61</v>
      </c>
      <c r="G17" s="39" t="s">
        <v>69</v>
      </c>
      <c r="H17" s="39" t="s">
        <v>73</v>
      </c>
      <c r="I17" s="70">
        <v>13750000</v>
      </c>
      <c r="J17" s="39"/>
      <c r="K17" s="61"/>
      <c r="L17" s="61"/>
      <c r="M17" s="233">
        <f t="shared" si="0"/>
        <v>13750000</v>
      </c>
      <c r="N17" s="83">
        <v>26767399</v>
      </c>
      <c r="O17" s="84" t="s">
        <v>395</v>
      </c>
      <c r="P17" s="85" t="s">
        <v>396</v>
      </c>
      <c r="Q17" s="74">
        <v>44952</v>
      </c>
      <c r="R17" s="74">
        <v>44952</v>
      </c>
      <c r="S17" s="74">
        <v>45107</v>
      </c>
      <c r="T17" s="41"/>
      <c r="U17" s="41"/>
      <c r="V17" s="41"/>
      <c r="W17" s="41"/>
      <c r="X17" s="70">
        <v>13750000</v>
      </c>
      <c r="Y17" s="70">
        <v>0</v>
      </c>
      <c r="Z17" s="37">
        <v>1</v>
      </c>
      <c r="AA17" s="89">
        <v>1082943891</v>
      </c>
      <c r="AB17" s="90" t="s">
        <v>374</v>
      </c>
      <c r="AC17" s="39" t="s">
        <v>196</v>
      </c>
      <c r="AD17" s="39" t="s">
        <v>196</v>
      </c>
      <c r="AE17" s="41"/>
      <c r="AF17" s="88" t="s">
        <v>397</v>
      </c>
      <c r="AG17" s="42" t="s">
        <v>192</v>
      </c>
      <c r="AH17" s="42" t="s">
        <v>192</v>
      </c>
    </row>
    <row r="18" spans="1:34" s="43" customFormat="1" ht="17.25" customHeight="1" x14ac:dyDescent="0.25">
      <c r="A18" s="38">
        <v>891780111</v>
      </c>
      <c r="B18" s="38" t="s">
        <v>54</v>
      </c>
      <c r="C18" s="58" t="s">
        <v>56</v>
      </c>
      <c r="D18" s="38" t="s">
        <v>60</v>
      </c>
      <c r="E18" s="92" t="s">
        <v>398</v>
      </c>
      <c r="F18" s="38" t="s">
        <v>61</v>
      </c>
      <c r="G18" s="39" t="s">
        <v>69</v>
      </c>
      <c r="H18" s="39" t="s">
        <v>73</v>
      </c>
      <c r="I18" s="70">
        <v>12100000</v>
      </c>
      <c r="J18" s="39"/>
      <c r="K18" s="61"/>
      <c r="L18" s="61"/>
      <c r="M18" s="233">
        <f t="shared" si="0"/>
        <v>12100000</v>
      </c>
      <c r="N18" s="83">
        <v>1082891717</v>
      </c>
      <c r="O18" s="84" t="s">
        <v>399</v>
      </c>
      <c r="P18" s="85" t="s">
        <v>400</v>
      </c>
      <c r="Q18" s="74">
        <v>44952</v>
      </c>
      <c r="R18" s="74">
        <v>44952</v>
      </c>
      <c r="S18" s="74">
        <v>45107</v>
      </c>
      <c r="T18" s="41"/>
      <c r="U18" s="41"/>
      <c r="V18" s="41"/>
      <c r="W18" s="41"/>
      <c r="X18" s="70">
        <v>12100000</v>
      </c>
      <c r="Y18" s="70">
        <v>0</v>
      </c>
      <c r="Z18" s="37">
        <v>1</v>
      </c>
      <c r="AA18" s="89">
        <v>1098669877</v>
      </c>
      <c r="AB18" s="90" t="s">
        <v>365</v>
      </c>
      <c r="AC18" s="39" t="s">
        <v>196</v>
      </c>
      <c r="AD18" s="39" t="s">
        <v>196</v>
      </c>
      <c r="AE18" s="41"/>
      <c r="AF18" s="88" t="s">
        <v>401</v>
      </c>
      <c r="AG18" s="42" t="s">
        <v>192</v>
      </c>
      <c r="AH18" s="42" t="s">
        <v>192</v>
      </c>
    </row>
    <row r="19" spans="1:34" s="43" customFormat="1" ht="17.25" customHeight="1" x14ac:dyDescent="0.25">
      <c r="A19" s="38">
        <v>891780111</v>
      </c>
      <c r="B19" s="38" t="s">
        <v>54</v>
      </c>
      <c r="C19" s="58" t="s">
        <v>56</v>
      </c>
      <c r="D19" s="38" t="s">
        <v>60</v>
      </c>
      <c r="E19" s="82" t="s">
        <v>402</v>
      </c>
      <c r="F19" s="38" t="s">
        <v>61</v>
      </c>
      <c r="G19" s="39" t="s">
        <v>69</v>
      </c>
      <c r="H19" s="39" t="s">
        <v>73</v>
      </c>
      <c r="I19" s="70">
        <v>14300000</v>
      </c>
      <c r="J19" s="39"/>
      <c r="K19" s="61"/>
      <c r="L19" s="61"/>
      <c r="M19" s="233">
        <f t="shared" si="0"/>
        <v>14300000</v>
      </c>
      <c r="N19" s="83">
        <v>1082886783</v>
      </c>
      <c r="O19" s="84" t="s">
        <v>403</v>
      </c>
      <c r="P19" s="85" t="s">
        <v>404</v>
      </c>
      <c r="Q19" s="74">
        <v>44952</v>
      </c>
      <c r="R19" s="74">
        <v>44952</v>
      </c>
      <c r="S19" s="74">
        <v>45107</v>
      </c>
      <c r="T19" s="41"/>
      <c r="U19" s="41"/>
      <c r="V19" s="41"/>
      <c r="W19" s="41"/>
      <c r="X19" s="70">
        <v>14300000</v>
      </c>
      <c r="Y19" s="70">
        <v>0</v>
      </c>
      <c r="Z19" s="37">
        <v>1</v>
      </c>
      <c r="AA19" s="89">
        <v>7634903</v>
      </c>
      <c r="AB19" s="90" t="s">
        <v>351</v>
      </c>
      <c r="AC19" s="39" t="s">
        <v>196</v>
      </c>
      <c r="AD19" s="39" t="s">
        <v>196</v>
      </c>
      <c r="AE19" s="41"/>
      <c r="AF19" s="88" t="s">
        <v>405</v>
      </c>
      <c r="AG19" s="42" t="s">
        <v>192</v>
      </c>
      <c r="AH19" s="42" t="s">
        <v>192</v>
      </c>
    </row>
    <row r="20" spans="1:34" s="43" customFormat="1" ht="17.25" customHeight="1" x14ac:dyDescent="0.25">
      <c r="A20" s="38">
        <v>891780111</v>
      </c>
      <c r="B20" s="38" t="s">
        <v>54</v>
      </c>
      <c r="C20" s="58" t="s">
        <v>56</v>
      </c>
      <c r="D20" s="38" t="s">
        <v>60</v>
      </c>
      <c r="E20" s="82" t="s">
        <v>406</v>
      </c>
      <c r="F20" s="38" t="s">
        <v>61</v>
      </c>
      <c r="G20" s="39" t="s">
        <v>69</v>
      </c>
      <c r="H20" s="39" t="s">
        <v>73</v>
      </c>
      <c r="I20" s="70">
        <v>12600000</v>
      </c>
      <c r="J20" s="39"/>
      <c r="K20" s="61"/>
      <c r="L20" s="61"/>
      <c r="M20" s="233">
        <f t="shared" si="0"/>
        <v>12600000</v>
      </c>
      <c r="N20" s="83">
        <v>1082981040</v>
      </c>
      <c r="O20" s="84" t="s">
        <v>407</v>
      </c>
      <c r="P20" s="85" t="s">
        <v>408</v>
      </c>
      <c r="Q20" s="74">
        <v>44952</v>
      </c>
      <c r="R20" s="74">
        <v>44952</v>
      </c>
      <c r="S20" s="74">
        <v>45107</v>
      </c>
      <c r="T20" s="93" t="s">
        <v>192</v>
      </c>
      <c r="U20" s="41">
        <v>45039</v>
      </c>
      <c r="V20" s="41">
        <v>45165</v>
      </c>
      <c r="W20" s="41">
        <v>45111</v>
      </c>
      <c r="X20" s="70">
        <v>7913000</v>
      </c>
      <c r="Y20" s="70">
        <v>4687000</v>
      </c>
      <c r="Z20" s="37">
        <v>0.62801587301587303</v>
      </c>
      <c r="AA20" s="86">
        <v>36564357</v>
      </c>
      <c r="AB20" s="87" t="s">
        <v>341</v>
      </c>
      <c r="AC20" s="39" t="s">
        <v>196</v>
      </c>
      <c r="AD20" s="39" t="s">
        <v>196</v>
      </c>
      <c r="AE20" s="41"/>
      <c r="AF20" s="88" t="s">
        <v>409</v>
      </c>
      <c r="AG20" s="42" t="s">
        <v>192</v>
      </c>
      <c r="AH20" s="42" t="s">
        <v>192</v>
      </c>
    </row>
    <row r="21" spans="1:34" s="43" customFormat="1" ht="17.25" customHeight="1" x14ac:dyDescent="0.25">
      <c r="A21" s="38">
        <v>891780111</v>
      </c>
      <c r="B21" s="38" t="s">
        <v>54</v>
      </c>
      <c r="C21" s="58" t="s">
        <v>56</v>
      </c>
      <c r="D21" s="38" t="s">
        <v>60</v>
      </c>
      <c r="E21" s="82" t="s">
        <v>410</v>
      </c>
      <c r="F21" s="38" t="s">
        <v>61</v>
      </c>
      <c r="G21" s="39" t="s">
        <v>69</v>
      </c>
      <c r="H21" s="39" t="s">
        <v>73</v>
      </c>
      <c r="I21" s="70">
        <v>14300000</v>
      </c>
      <c r="J21" s="39"/>
      <c r="K21" s="61"/>
      <c r="L21" s="61"/>
      <c r="M21" s="233">
        <f t="shared" si="0"/>
        <v>14300000</v>
      </c>
      <c r="N21" s="83">
        <v>36667157</v>
      </c>
      <c r="O21" s="84" t="s">
        <v>411</v>
      </c>
      <c r="P21" s="85" t="s">
        <v>412</v>
      </c>
      <c r="Q21" s="74">
        <v>44952</v>
      </c>
      <c r="R21" s="74">
        <v>44952</v>
      </c>
      <c r="S21" s="74">
        <v>45107</v>
      </c>
      <c r="T21" s="41"/>
      <c r="U21" s="41"/>
      <c r="V21" s="41"/>
      <c r="W21" s="41"/>
      <c r="X21" s="70">
        <v>14300000</v>
      </c>
      <c r="Y21" s="70">
        <v>0</v>
      </c>
      <c r="Z21" s="37">
        <v>1</v>
      </c>
      <c r="AA21" s="89">
        <v>1082900194</v>
      </c>
      <c r="AB21" s="90" t="s">
        <v>383</v>
      </c>
      <c r="AC21" s="39" t="s">
        <v>196</v>
      </c>
      <c r="AD21" s="39" t="s">
        <v>196</v>
      </c>
      <c r="AE21" s="41"/>
      <c r="AF21" s="88" t="s">
        <v>413</v>
      </c>
      <c r="AG21" s="42" t="s">
        <v>192</v>
      </c>
      <c r="AH21" s="42" t="s">
        <v>192</v>
      </c>
    </row>
    <row r="22" spans="1:34" s="43" customFormat="1" ht="17.25" customHeight="1" x14ac:dyDescent="0.25">
      <c r="A22" s="38">
        <v>891780111</v>
      </c>
      <c r="B22" s="38" t="s">
        <v>54</v>
      </c>
      <c r="C22" s="58" t="s">
        <v>56</v>
      </c>
      <c r="D22" s="38" t="s">
        <v>60</v>
      </c>
      <c r="E22" s="82" t="s">
        <v>414</v>
      </c>
      <c r="F22" s="38" t="s">
        <v>61</v>
      </c>
      <c r="G22" s="39" t="s">
        <v>69</v>
      </c>
      <c r="H22" s="39" t="s">
        <v>73</v>
      </c>
      <c r="I22" s="70">
        <v>12100000</v>
      </c>
      <c r="J22" s="39"/>
      <c r="K22" s="61"/>
      <c r="L22" s="61"/>
      <c r="M22" s="233">
        <f t="shared" si="0"/>
        <v>12100000</v>
      </c>
      <c r="N22" s="83">
        <v>1083041701</v>
      </c>
      <c r="O22" s="84" t="s">
        <v>415</v>
      </c>
      <c r="P22" s="85" t="s">
        <v>416</v>
      </c>
      <c r="Q22" s="74">
        <v>44952</v>
      </c>
      <c r="R22" s="74">
        <v>44952</v>
      </c>
      <c r="S22" s="74">
        <v>45107</v>
      </c>
      <c r="T22" s="41"/>
      <c r="U22" s="41"/>
      <c r="V22" s="41"/>
      <c r="W22" s="41"/>
      <c r="X22" s="70">
        <v>12100000</v>
      </c>
      <c r="Y22" s="70">
        <v>0</v>
      </c>
      <c r="Z22" s="37">
        <v>1</v>
      </c>
      <c r="AA22" s="89">
        <v>12561250</v>
      </c>
      <c r="AB22" s="90" t="s">
        <v>392</v>
      </c>
      <c r="AC22" s="39" t="s">
        <v>196</v>
      </c>
      <c r="AD22" s="39" t="s">
        <v>196</v>
      </c>
      <c r="AE22" s="41"/>
      <c r="AF22" s="88" t="s">
        <v>417</v>
      </c>
      <c r="AG22" s="42" t="s">
        <v>192</v>
      </c>
      <c r="AH22" s="42" t="s">
        <v>192</v>
      </c>
    </row>
    <row r="23" spans="1:34" s="43" customFormat="1" ht="17.25" customHeight="1" x14ac:dyDescent="0.25">
      <c r="A23" s="38">
        <v>891780111</v>
      </c>
      <c r="B23" s="38" t="s">
        <v>54</v>
      </c>
      <c r="C23" s="58" t="s">
        <v>56</v>
      </c>
      <c r="D23" s="38" t="s">
        <v>60</v>
      </c>
      <c r="E23" s="82" t="s">
        <v>418</v>
      </c>
      <c r="F23" s="38" t="s">
        <v>61</v>
      </c>
      <c r="G23" s="39" t="s">
        <v>69</v>
      </c>
      <c r="H23" s="39" t="s">
        <v>73</v>
      </c>
      <c r="I23" s="70">
        <v>12100000</v>
      </c>
      <c r="J23" s="39"/>
      <c r="K23" s="61"/>
      <c r="L23" s="61"/>
      <c r="M23" s="233">
        <f t="shared" si="0"/>
        <v>12100000</v>
      </c>
      <c r="N23" s="83">
        <v>57464026</v>
      </c>
      <c r="O23" s="84" t="s">
        <v>419</v>
      </c>
      <c r="P23" s="85" t="s">
        <v>420</v>
      </c>
      <c r="Q23" s="74">
        <v>44953</v>
      </c>
      <c r="R23" s="74">
        <v>44953</v>
      </c>
      <c r="S23" s="74">
        <v>45107</v>
      </c>
      <c r="T23" s="41"/>
      <c r="U23" s="41"/>
      <c r="V23" s="41"/>
      <c r="W23" s="41"/>
      <c r="X23" s="70">
        <v>12100000</v>
      </c>
      <c r="Y23" s="70">
        <v>0</v>
      </c>
      <c r="Z23" s="37">
        <v>1</v>
      </c>
      <c r="AA23" s="86">
        <v>1045725304</v>
      </c>
      <c r="AB23" s="72" t="s">
        <v>421</v>
      </c>
      <c r="AC23" s="39" t="s">
        <v>196</v>
      </c>
      <c r="AD23" s="39" t="s">
        <v>196</v>
      </c>
      <c r="AE23" s="41"/>
      <c r="AF23" s="88" t="s">
        <v>422</v>
      </c>
      <c r="AG23" s="42" t="s">
        <v>192</v>
      </c>
      <c r="AH23" s="42" t="s">
        <v>192</v>
      </c>
    </row>
    <row r="24" spans="1:34" s="43" customFormat="1" ht="17.25" customHeight="1" x14ac:dyDescent="0.25">
      <c r="A24" s="38">
        <v>891780111</v>
      </c>
      <c r="B24" s="38" t="s">
        <v>54</v>
      </c>
      <c r="C24" s="58" t="s">
        <v>56</v>
      </c>
      <c r="D24" s="38" t="s">
        <v>60</v>
      </c>
      <c r="E24" s="92" t="s">
        <v>423</v>
      </c>
      <c r="F24" s="38" t="s">
        <v>61</v>
      </c>
      <c r="G24" s="39" t="s">
        <v>69</v>
      </c>
      <c r="H24" s="39" t="s">
        <v>73</v>
      </c>
      <c r="I24" s="70">
        <v>11000000</v>
      </c>
      <c r="J24" s="39"/>
      <c r="K24" s="61"/>
      <c r="L24" s="61"/>
      <c r="M24" s="233">
        <f t="shared" si="0"/>
        <v>11000000</v>
      </c>
      <c r="N24" s="83">
        <v>57433908</v>
      </c>
      <c r="O24" s="84" t="s">
        <v>424</v>
      </c>
      <c r="P24" s="85" t="s">
        <v>425</v>
      </c>
      <c r="Q24" s="74">
        <v>44953</v>
      </c>
      <c r="R24" s="74">
        <v>44953</v>
      </c>
      <c r="S24" s="74">
        <v>45107</v>
      </c>
      <c r="T24" s="41"/>
      <c r="U24" s="41"/>
      <c r="V24" s="41"/>
      <c r="W24" s="41"/>
      <c r="X24" s="70">
        <v>11000000</v>
      </c>
      <c r="Y24" s="70">
        <v>0</v>
      </c>
      <c r="Z24" s="37">
        <v>1</v>
      </c>
      <c r="AA24" s="86">
        <v>7634885</v>
      </c>
      <c r="AB24" s="70" t="s">
        <v>426</v>
      </c>
      <c r="AC24" s="39" t="s">
        <v>196</v>
      </c>
      <c r="AD24" s="39" t="s">
        <v>196</v>
      </c>
      <c r="AE24" s="41"/>
      <c r="AF24" s="88" t="s">
        <v>427</v>
      </c>
      <c r="AG24" s="42" t="s">
        <v>192</v>
      </c>
      <c r="AH24" s="42" t="s">
        <v>192</v>
      </c>
    </row>
    <row r="25" spans="1:34" s="43" customFormat="1" ht="17.25" customHeight="1" x14ac:dyDescent="0.25">
      <c r="A25" s="38">
        <v>891780111</v>
      </c>
      <c r="B25" s="38" t="s">
        <v>54</v>
      </c>
      <c r="C25" s="58" t="s">
        <v>56</v>
      </c>
      <c r="D25" s="38" t="s">
        <v>60</v>
      </c>
      <c r="E25" s="92" t="s">
        <v>428</v>
      </c>
      <c r="F25" s="38" t="s">
        <v>61</v>
      </c>
      <c r="G25" s="39" t="s">
        <v>69</v>
      </c>
      <c r="H25" s="39" t="s">
        <v>73</v>
      </c>
      <c r="I25" s="70">
        <v>11550000</v>
      </c>
      <c r="J25" s="39"/>
      <c r="K25" s="61"/>
      <c r="L25" s="61"/>
      <c r="M25" s="233">
        <f t="shared" si="0"/>
        <v>11550000</v>
      </c>
      <c r="N25" s="83">
        <v>57423259</v>
      </c>
      <c r="O25" s="84" t="s">
        <v>429</v>
      </c>
      <c r="P25" s="85" t="s">
        <v>430</v>
      </c>
      <c r="Q25" s="74">
        <v>44957</v>
      </c>
      <c r="R25" s="74">
        <v>44957</v>
      </c>
      <c r="S25" s="74">
        <v>45107</v>
      </c>
      <c r="T25" s="41"/>
      <c r="U25" s="41"/>
      <c r="V25" s="41"/>
      <c r="W25" s="41"/>
      <c r="X25" s="70">
        <v>11550000</v>
      </c>
      <c r="Y25" s="70">
        <v>0</v>
      </c>
      <c r="Z25" s="37">
        <v>1</v>
      </c>
      <c r="AA25" s="89">
        <v>1098669877</v>
      </c>
      <c r="AB25" s="90" t="s">
        <v>365</v>
      </c>
      <c r="AC25" s="39" t="s">
        <v>196</v>
      </c>
      <c r="AD25" s="39" t="s">
        <v>196</v>
      </c>
      <c r="AE25" s="41"/>
      <c r="AF25" s="88" t="s">
        <v>431</v>
      </c>
      <c r="AG25" s="42" t="s">
        <v>192</v>
      </c>
      <c r="AH25" s="42" t="s">
        <v>192</v>
      </c>
    </row>
    <row r="26" spans="1:34" s="43" customFormat="1" ht="17.25" customHeight="1" x14ac:dyDescent="0.25">
      <c r="A26" s="38">
        <v>891780111</v>
      </c>
      <c r="B26" s="38" t="s">
        <v>54</v>
      </c>
      <c r="C26" s="58" t="s">
        <v>56</v>
      </c>
      <c r="D26" s="38" t="s">
        <v>60</v>
      </c>
      <c r="E26" s="92" t="s">
        <v>432</v>
      </c>
      <c r="F26" s="38" t="s">
        <v>61</v>
      </c>
      <c r="G26" s="39" t="s">
        <v>69</v>
      </c>
      <c r="H26" s="39" t="s">
        <v>73</v>
      </c>
      <c r="I26" s="70">
        <v>11000000</v>
      </c>
      <c r="J26" s="39"/>
      <c r="K26" s="61"/>
      <c r="L26" s="61"/>
      <c r="M26" s="233">
        <f t="shared" si="0"/>
        <v>11000000</v>
      </c>
      <c r="N26" s="83">
        <v>57450652</v>
      </c>
      <c r="O26" s="84" t="s">
        <v>433</v>
      </c>
      <c r="P26" s="85" t="s">
        <v>434</v>
      </c>
      <c r="Q26" s="74">
        <v>44960</v>
      </c>
      <c r="R26" s="74">
        <v>44960</v>
      </c>
      <c r="S26" s="74">
        <v>45107</v>
      </c>
      <c r="T26" s="41"/>
      <c r="U26" s="41"/>
      <c r="V26" s="41"/>
      <c r="W26" s="41"/>
      <c r="X26" s="70">
        <v>11000000</v>
      </c>
      <c r="Y26" s="84">
        <v>0</v>
      </c>
      <c r="Z26" s="37">
        <v>1</v>
      </c>
      <c r="AA26" s="89">
        <v>1082943891</v>
      </c>
      <c r="AB26" s="90" t="s">
        <v>374</v>
      </c>
      <c r="AC26" s="39" t="s">
        <v>196</v>
      </c>
      <c r="AD26" s="39" t="s">
        <v>196</v>
      </c>
      <c r="AE26" s="41"/>
      <c r="AF26" s="88" t="s">
        <v>435</v>
      </c>
      <c r="AG26" s="42" t="s">
        <v>192</v>
      </c>
      <c r="AH26" s="42" t="s">
        <v>192</v>
      </c>
    </row>
    <row r="27" spans="1:34" s="43" customFormat="1" ht="17.25" customHeight="1" x14ac:dyDescent="0.25">
      <c r="A27" s="38">
        <v>891780111</v>
      </c>
      <c r="B27" s="38" t="s">
        <v>54</v>
      </c>
      <c r="C27" s="58" t="s">
        <v>56</v>
      </c>
      <c r="D27" s="38" t="s">
        <v>60</v>
      </c>
      <c r="E27" s="92" t="s">
        <v>436</v>
      </c>
      <c r="F27" s="38" t="s">
        <v>61</v>
      </c>
      <c r="G27" s="39" t="s">
        <v>69</v>
      </c>
      <c r="H27" s="39" t="s">
        <v>73</v>
      </c>
      <c r="I27" s="70">
        <v>9500000</v>
      </c>
      <c r="J27" s="39"/>
      <c r="K27" s="61"/>
      <c r="L27" s="61"/>
      <c r="M27" s="233">
        <f t="shared" si="0"/>
        <v>9500000</v>
      </c>
      <c r="N27" s="83">
        <v>1085040743</v>
      </c>
      <c r="O27" s="84" t="s">
        <v>437</v>
      </c>
      <c r="P27" s="85" t="s">
        <v>438</v>
      </c>
      <c r="Q27" s="74">
        <v>44963</v>
      </c>
      <c r="R27" s="74">
        <v>44963</v>
      </c>
      <c r="S27" s="74">
        <v>45107</v>
      </c>
      <c r="T27" s="41"/>
      <c r="U27" s="41"/>
      <c r="V27" s="41"/>
      <c r="W27" s="41"/>
      <c r="X27" s="70">
        <v>9500000</v>
      </c>
      <c r="Y27" s="70">
        <v>0</v>
      </c>
      <c r="Z27" s="37">
        <v>1</v>
      </c>
      <c r="AA27" s="89">
        <v>1082943891</v>
      </c>
      <c r="AB27" s="90" t="s">
        <v>374</v>
      </c>
      <c r="AC27" s="39" t="s">
        <v>196</v>
      </c>
      <c r="AD27" s="39" t="s">
        <v>196</v>
      </c>
      <c r="AE27" s="41"/>
      <c r="AF27" s="88" t="s">
        <v>439</v>
      </c>
      <c r="AG27" s="42" t="s">
        <v>192</v>
      </c>
      <c r="AH27" s="42" t="s">
        <v>192</v>
      </c>
    </row>
    <row r="28" spans="1:34" s="43" customFormat="1" ht="17.25" customHeight="1" x14ac:dyDescent="0.25">
      <c r="A28" s="38">
        <v>891780111</v>
      </c>
      <c r="B28" s="38" t="s">
        <v>54</v>
      </c>
      <c r="C28" s="58" t="s">
        <v>56</v>
      </c>
      <c r="D28" s="38" t="s">
        <v>60</v>
      </c>
      <c r="E28" s="92" t="s">
        <v>440</v>
      </c>
      <c r="F28" s="38" t="s">
        <v>61</v>
      </c>
      <c r="G28" s="39" t="s">
        <v>69</v>
      </c>
      <c r="H28" s="39" t="s">
        <v>73</v>
      </c>
      <c r="I28" s="70">
        <v>10500000</v>
      </c>
      <c r="J28" s="39"/>
      <c r="K28" s="61"/>
      <c r="L28" s="61"/>
      <c r="M28" s="233">
        <f t="shared" si="0"/>
        <v>10500000</v>
      </c>
      <c r="N28" s="83">
        <v>85150568</v>
      </c>
      <c r="O28" s="84" t="s">
        <v>441</v>
      </c>
      <c r="P28" s="85" t="s">
        <v>442</v>
      </c>
      <c r="Q28" s="74">
        <v>44963</v>
      </c>
      <c r="R28" s="74">
        <v>44963</v>
      </c>
      <c r="S28" s="74">
        <v>45107</v>
      </c>
      <c r="T28" s="41"/>
      <c r="U28" s="41"/>
      <c r="V28" s="41"/>
      <c r="W28" s="41"/>
      <c r="X28">
        <v>10500000</v>
      </c>
      <c r="Y28" s="70">
        <v>0</v>
      </c>
      <c r="Z28" s="37">
        <v>1</v>
      </c>
      <c r="AA28" s="89">
        <v>84457116</v>
      </c>
      <c r="AB28" s="90" t="s">
        <v>443</v>
      </c>
      <c r="AC28" s="39" t="s">
        <v>196</v>
      </c>
      <c r="AD28" s="39" t="s">
        <v>196</v>
      </c>
      <c r="AE28" s="41"/>
      <c r="AF28" s="88" t="s">
        <v>444</v>
      </c>
      <c r="AG28" s="42" t="s">
        <v>192</v>
      </c>
      <c r="AH28" s="42" t="s">
        <v>192</v>
      </c>
    </row>
    <row r="29" spans="1:34" s="43" customFormat="1" ht="17.25" customHeight="1" x14ac:dyDescent="0.25">
      <c r="A29" s="38">
        <v>891780111</v>
      </c>
      <c r="B29" s="38" t="s">
        <v>54</v>
      </c>
      <c r="C29" s="58" t="s">
        <v>56</v>
      </c>
      <c r="D29" s="38" t="s">
        <v>60</v>
      </c>
      <c r="E29" s="92" t="s">
        <v>445</v>
      </c>
      <c r="F29" s="38" t="s">
        <v>61</v>
      </c>
      <c r="G29" s="39" t="s">
        <v>69</v>
      </c>
      <c r="H29" s="39" t="s">
        <v>73</v>
      </c>
      <c r="I29" s="70">
        <v>10000000</v>
      </c>
      <c r="J29" s="39"/>
      <c r="K29" s="61"/>
      <c r="L29" s="61"/>
      <c r="M29" s="233">
        <f t="shared" si="0"/>
        <v>10000000</v>
      </c>
      <c r="N29" s="83">
        <v>85450968</v>
      </c>
      <c r="O29" s="84" t="s">
        <v>446</v>
      </c>
      <c r="P29" s="85" t="s">
        <v>447</v>
      </c>
      <c r="Q29" s="74">
        <v>44963</v>
      </c>
      <c r="R29" s="74">
        <v>44963</v>
      </c>
      <c r="S29" s="74">
        <v>45107</v>
      </c>
      <c r="T29" s="41"/>
      <c r="U29" s="41"/>
      <c r="V29" s="41"/>
      <c r="W29" s="41"/>
      <c r="X29" s="70">
        <v>10000000</v>
      </c>
      <c r="Y29" s="70">
        <v>0</v>
      </c>
      <c r="Z29" s="37">
        <v>1</v>
      </c>
      <c r="AA29" s="89">
        <v>36669977</v>
      </c>
      <c r="AB29" s="90" t="s">
        <v>346</v>
      </c>
      <c r="AC29" s="39" t="s">
        <v>196</v>
      </c>
      <c r="AD29" s="39" t="s">
        <v>196</v>
      </c>
      <c r="AE29" s="41"/>
      <c r="AF29" s="88" t="s">
        <v>448</v>
      </c>
      <c r="AG29" s="42" t="s">
        <v>192</v>
      </c>
      <c r="AH29" s="42" t="s">
        <v>192</v>
      </c>
    </row>
    <row r="30" spans="1:34" s="43" customFormat="1" ht="17.25" customHeight="1" x14ac:dyDescent="0.25">
      <c r="A30" s="38">
        <v>891780111</v>
      </c>
      <c r="B30" s="38" t="s">
        <v>54</v>
      </c>
      <c r="C30" s="58" t="s">
        <v>56</v>
      </c>
      <c r="D30" s="38" t="s">
        <v>60</v>
      </c>
      <c r="E30" s="92" t="s">
        <v>449</v>
      </c>
      <c r="F30" s="38" t="s">
        <v>61</v>
      </c>
      <c r="G30" s="39" t="s">
        <v>69</v>
      </c>
      <c r="H30" s="39" t="s">
        <v>73</v>
      </c>
      <c r="I30" s="70">
        <v>10000000</v>
      </c>
      <c r="J30" s="39"/>
      <c r="K30" s="61"/>
      <c r="L30" s="61"/>
      <c r="M30" s="233">
        <f t="shared" si="0"/>
        <v>10000000</v>
      </c>
      <c r="N30" s="83">
        <v>1083569978</v>
      </c>
      <c r="O30" s="84" t="s">
        <v>450</v>
      </c>
      <c r="P30" s="85" t="s">
        <v>451</v>
      </c>
      <c r="Q30" s="74">
        <v>44963</v>
      </c>
      <c r="R30" s="74">
        <v>44963</v>
      </c>
      <c r="S30" s="74">
        <v>45107</v>
      </c>
      <c r="T30" s="41"/>
      <c r="U30" s="41"/>
      <c r="V30" s="41"/>
      <c r="W30" s="41"/>
      <c r="X30" s="70">
        <v>10000000</v>
      </c>
      <c r="Y30" s="70">
        <v>0</v>
      </c>
      <c r="Z30" s="37">
        <v>1</v>
      </c>
      <c r="AA30" s="89">
        <v>1082900194</v>
      </c>
      <c r="AB30" s="90" t="s">
        <v>383</v>
      </c>
      <c r="AC30" s="39" t="s">
        <v>196</v>
      </c>
      <c r="AD30" s="39" t="s">
        <v>196</v>
      </c>
      <c r="AE30" s="41"/>
      <c r="AF30" s="88" t="s">
        <v>452</v>
      </c>
      <c r="AG30" s="42" t="s">
        <v>192</v>
      </c>
      <c r="AH30" s="42" t="s">
        <v>192</v>
      </c>
    </row>
    <row r="31" spans="1:34" s="4" customFormat="1" ht="17.25" customHeight="1" x14ac:dyDescent="0.25">
      <c r="A31" s="16">
        <v>891780111</v>
      </c>
      <c r="B31" s="16" t="s">
        <v>54</v>
      </c>
      <c r="C31" s="58" t="s">
        <v>56</v>
      </c>
      <c r="D31" s="16" t="s">
        <v>60</v>
      </c>
      <c r="E31" s="92" t="s">
        <v>453</v>
      </c>
      <c r="F31" s="16" t="s">
        <v>61</v>
      </c>
      <c r="G31" s="39" t="s">
        <v>69</v>
      </c>
      <c r="H31" s="39" t="s">
        <v>73</v>
      </c>
      <c r="I31" s="70">
        <v>3150000</v>
      </c>
      <c r="J31" s="1"/>
      <c r="K31" s="2"/>
      <c r="L31" s="2"/>
      <c r="M31" s="233">
        <f t="shared" si="0"/>
        <v>3150000</v>
      </c>
      <c r="N31" s="83">
        <v>39049110</v>
      </c>
      <c r="O31" s="84" t="s">
        <v>454</v>
      </c>
      <c r="P31" s="85" t="s">
        <v>455</v>
      </c>
      <c r="Q31" s="74">
        <v>44963</v>
      </c>
      <c r="R31" s="74">
        <v>44963</v>
      </c>
      <c r="S31" s="74">
        <v>45000</v>
      </c>
      <c r="T31" s="35"/>
      <c r="U31" s="3"/>
      <c r="V31" s="3"/>
      <c r="W31" s="3"/>
      <c r="X31" s="70">
        <v>3150000</v>
      </c>
      <c r="Y31" s="70">
        <v>0</v>
      </c>
      <c r="Z31" s="34">
        <v>1</v>
      </c>
      <c r="AA31" s="86">
        <v>1045725304</v>
      </c>
      <c r="AB31" s="72" t="s">
        <v>421</v>
      </c>
      <c r="AC31" s="39" t="s">
        <v>196</v>
      </c>
      <c r="AD31" s="39" t="s">
        <v>196</v>
      </c>
      <c r="AE31" s="3"/>
      <c r="AF31" s="88" t="s">
        <v>456</v>
      </c>
      <c r="AG31" s="42" t="s">
        <v>192</v>
      </c>
      <c r="AH31" s="42" t="s">
        <v>192</v>
      </c>
    </row>
    <row r="32" spans="1:34" s="4" customFormat="1" ht="17.25" customHeight="1" x14ac:dyDescent="0.25">
      <c r="A32" s="16">
        <v>891780111</v>
      </c>
      <c r="B32" s="16" t="s">
        <v>54</v>
      </c>
      <c r="C32" s="58" t="s">
        <v>56</v>
      </c>
      <c r="D32" s="16" t="s">
        <v>60</v>
      </c>
      <c r="E32" s="92" t="s">
        <v>457</v>
      </c>
      <c r="F32" s="16" t="s">
        <v>61</v>
      </c>
      <c r="G32" s="39" t="s">
        <v>69</v>
      </c>
      <c r="H32" s="39" t="s">
        <v>73</v>
      </c>
      <c r="I32" s="70">
        <v>11500000</v>
      </c>
      <c r="J32" s="1"/>
      <c r="K32" s="2"/>
      <c r="L32" s="2"/>
      <c r="M32" s="233">
        <f t="shared" si="0"/>
        <v>11500000</v>
      </c>
      <c r="N32" s="83">
        <v>1082846537</v>
      </c>
      <c r="O32" s="84" t="s">
        <v>458</v>
      </c>
      <c r="P32" s="85" t="s">
        <v>459</v>
      </c>
      <c r="Q32" s="74">
        <v>44964</v>
      </c>
      <c r="R32" s="74">
        <v>44964</v>
      </c>
      <c r="S32" s="74">
        <v>45107</v>
      </c>
      <c r="T32" s="35"/>
      <c r="U32" s="3"/>
      <c r="V32" s="3"/>
      <c r="W32" s="3"/>
      <c r="X32" s="70">
        <v>11500000</v>
      </c>
      <c r="Y32" s="70">
        <v>0</v>
      </c>
      <c r="Z32" s="34">
        <v>1</v>
      </c>
      <c r="AA32" s="89">
        <v>84457116</v>
      </c>
      <c r="AB32" s="90" t="s">
        <v>443</v>
      </c>
      <c r="AC32" s="39" t="s">
        <v>196</v>
      </c>
      <c r="AD32" s="39" t="s">
        <v>196</v>
      </c>
      <c r="AE32" s="3"/>
      <c r="AF32" s="88" t="s">
        <v>460</v>
      </c>
      <c r="AG32" s="42" t="s">
        <v>192</v>
      </c>
      <c r="AH32" s="42" t="s">
        <v>192</v>
      </c>
    </row>
    <row r="33" spans="1:34" s="4" customFormat="1" ht="17.25" customHeight="1" x14ac:dyDescent="0.25">
      <c r="A33" s="16">
        <v>891780111</v>
      </c>
      <c r="B33" s="16" t="s">
        <v>54</v>
      </c>
      <c r="C33" s="58" t="s">
        <v>56</v>
      </c>
      <c r="D33" s="16" t="s">
        <v>60</v>
      </c>
      <c r="E33" s="92" t="s">
        <v>461</v>
      </c>
      <c r="F33" s="16" t="s">
        <v>61</v>
      </c>
      <c r="G33" s="39" t="s">
        <v>69</v>
      </c>
      <c r="H33" s="39" t="s">
        <v>73</v>
      </c>
      <c r="I33" s="70">
        <v>15500000</v>
      </c>
      <c r="J33" s="1"/>
      <c r="K33" s="2"/>
      <c r="L33" s="2"/>
      <c r="M33" s="233">
        <f t="shared" si="0"/>
        <v>15500000</v>
      </c>
      <c r="N33" s="83">
        <v>85466955</v>
      </c>
      <c r="O33" s="84" t="s">
        <v>462</v>
      </c>
      <c r="P33" s="85" t="s">
        <v>463</v>
      </c>
      <c r="Q33" s="74">
        <v>44965</v>
      </c>
      <c r="R33" s="74">
        <v>44965</v>
      </c>
      <c r="S33" s="74">
        <v>45107</v>
      </c>
      <c r="T33" s="35"/>
      <c r="U33" s="3"/>
      <c r="V33" s="3"/>
      <c r="W33" s="3"/>
      <c r="X33" s="70">
        <v>15500000</v>
      </c>
      <c r="Y33" s="70">
        <v>0</v>
      </c>
      <c r="Z33" s="34">
        <v>1</v>
      </c>
      <c r="AA33" s="89">
        <v>7634903</v>
      </c>
      <c r="AB33" s="90" t="s">
        <v>351</v>
      </c>
      <c r="AC33" s="39" t="s">
        <v>196</v>
      </c>
      <c r="AD33" s="39" t="s">
        <v>196</v>
      </c>
      <c r="AE33" s="3"/>
      <c r="AF33" s="88" t="s">
        <v>464</v>
      </c>
      <c r="AG33" s="42" t="s">
        <v>192</v>
      </c>
      <c r="AH33" s="42" t="s">
        <v>192</v>
      </c>
    </row>
    <row r="34" spans="1:34" s="4" customFormat="1" ht="17.25" customHeight="1" x14ac:dyDescent="0.25">
      <c r="A34" s="16">
        <v>891780111</v>
      </c>
      <c r="B34" s="16" t="s">
        <v>54</v>
      </c>
      <c r="C34" s="58" t="s">
        <v>56</v>
      </c>
      <c r="D34" s="16" t="s">
        <v>60</v>
      </c>
      <c r="E34" s="92" t="s">
        <v>465</v>
      </c>
      <c r="F34" s="16" t="s">
        <v>61</v>
      </c>
      <c r="G34" s="39" t="s">
        <v>69</v>
      </c>
      <c r="H34" s="39" t="s">
        <v>73</v>
      </c>
      <c r="I34" s="70">
        <v>13500000</v>
      </c>
      <c r="J34" s="1"/>
      <c r="K34" s="2"/>
      <c r="L34" s="2"/>
      <c r="M34" s="233">
        <f t="shared" si="0"/>
        <v>13500000</v>
      </c>
      <c r="N34" s="83">
        <v>36552616</v>
      </c>
      <c r="O34" s="84" t="s">
        <v>466</v>
      </c>
      <c r="P34" s="85" t="s">
        <v>467</v>
      </c>
      <c r="Q34" s="74">
        <v>44967</v>
      </c>
      <c r="R34" s="74">
        <v>44967</v>
      </c>
      <c r="S34" s="74">
        <v>45107</v>
      </c>
      <c r="T34" s="35"/>
      <c r="U34" s="3"/>
      <c r="V34" s="3"/>
      <c r="W34" s="3"/>
      <c r="X34" s="70">
        <v>13500000</v>
      </c>
      <c r="Y34" s="70">
        <v>0</v>
      </c>
      <c r="Z34" s="34">
        <v>1</v>
      </c>
      <c r="AA34" s="86">
        <v>1045725304</v>
      </c>
      <c r="AB34" s="72" t="s">
        <v>421</v>
      </c>
      <c r="AC34" s="39" t="s">
        <v>196</v>
      </c>
      <c r="AD34" s="39" t="s">
        <v>196</v>
      </c>
      <c r="AE34" s="3"/>
      <c r="AF34" s="88" t="s">
        <v>468</v>
      </c>
      <c r="AG34" s="42" t="s">
        <v>192</v>
      </c>
      <c r="AH34" s="42" t="s">
        <v>192</v>
      </c>
    </row>
    <row r="35" spans="1:34" s="4" customFormat="1" ht="17.25" customHeight="1" x14ac:dyDescent="0.25">
      <c r="A35" s="16">
        <v>891780111</v>
      </c>
      <c r="B35" s="16" t="s">
        <v>54</v>
      </c>
      <c r="C35" s="58" t="s">
        <v>56</v>
      </c>
      <c r="D35" s="16" t="s">
        <v>60</v>
      </c>
      <c r="E35" s="92" t="s">
        <v>469</v>
      </c>
      <c r="F35" s="16" t="s">
        <v>61</v>
      </c>
      <c r="G35" s="39" t="s">
        <v>69</v>
      </c>
      <c r="H35" s="39" t="s">
        <v>73</v>
      </c>
      <c r="I35" s="70">
        <v>12500000</v>
      </c>
      <c r="J35" s="1"/>
      <c r="K35" s="2"/>
      <c r="L35" s="2"/>
      <c r="M35" s="233">
        <f t="shared" si="0"/>
        <v>12500000</v>
      </c>
      <c r="N35" s="83">
        <v>1129567153</v>
      </c>
      <c r="O35" s="84" t="s">
        <v>470</v>
      </c>
      <c r="P35" s="85" t="s">
        <v>471</v>
      </c>
      <c r="Q35" s="74">
        <v>44967</v>
      </c>
      <c r="R35" s="74">
        <v>44967</v>
      </c>
      <c r="S35" s="74">
        <v>45107</v>
      </c>
      <c r="T35" s="35"/>
      <c r="U35" s="3"/>
      <c r="V35" s="3"/>
      <c r="W35" s="3"/>
      <c r="X35" s="70">
        <v>12500000</v>
      </c>
      <c r="Y35" s="70">
        <v>0</v>
      </c>
      <c r="Z35" s="34">
        <v>1</v>
      </c>
      <c r="AA35" s="89">
        <v>7634903</v>
      </c>
      <c r="AB35" s="90" t="s">
        <v>351</v>
      </c>
      <c r="AC35" s="39" t="s">
        <v>196</v>
      </c>
      <c r="AD35" s="39" t="s">
        <v>196</v>
      </c>
      <c r="AE35" s="3"/>
      <c r="AF35" s="88" t="s">
        <v>472</v>
      </c>
      <c r="AG35" s="42" t="s">
        <v>192</v>
      </c>
      <c r="AH35" s="42" t="s">
        <v>192</v>
      </c>
    </row>
    <row r="36" spans="1:34" s="4" customFormat="1" ht="17.25" customHeight="1" x14ac:dyDescent="0.25">
      <c r="A36" s="16">
        <v>891780111</v>
      </c>
      <c r="B36" s="16" t="s">
        <v>54</v>
      </c>
      <c r="C36" s="58" t="s">
        <v>56</v>
      </c>
      <c r="D36" s="16" t="s">
        <v>60</v>
      </c>
      <c r="E36" s="92" t="s">
        <v>473</v>
      </c>
      <c r="F36" s="16" t="s">
        <v>61</v>
      </c>
      <c r="G36" s="39" t="s">
        <v>69</v>
      </c>
      <c r="H36" s="39" t="s">
        <v>73</v>
      </c>
      <c r="I36" s="70">
        <v>13000000</v>
      </c>
      <c r="J36" s="1"/>
      <c r="K36" s="2"/>
      <c r="L36" s="2"/>
      <c r="M36" s="233">
        <f t="shared" si="0"/>
        <v>13000000</v>
      </c>
      <c r="N36" s="83">
        <v>32738180</v>
      </c>
      <c r="O36" s="84" t="s">
        <v>474</v>
      </c>
      <c r="P36" s="85" t="s">
        <v>475</v>
      </c>
      <c r="Q36" s="74">
        <v>44967</v>
      </c>
      <c r="R36" s="74">
        <v>44967</v>
      </c>
      <c r="S36" s="74">
        <v>45107</v>
      </c>
      <c r="T36" s="35"/>
      <c r="U36" s="3"/>
      <c r="V36" s="3"/>
      <c r="W36" s="3"/>
      <c r="X36" s="70">
        <v>13000000</v>
      </c>
      <c r="Y36" s="70">
        <v>0</v>
      </c>
      <c r="Z36" s="34">
        <v>1</v>
      </c>
      <c r="AA36" s="91">
        <v>36669725</v>
      </c>
      <c r="AB36" s="90" t="s">
        <v>356</v>
      </c>
      <c r="AC36" s="39" t="s">
        <v>196</v>
      </c>
      <c r="AD36" s="39" t="s">
        <v>196</v>
      </c>
      <c r="AE36" s="3"/>
      <c r="AF36" s="88" t="s">
        <v>476</v>
      </c>
      <c r="AG36" s="42" t="s">
        <v>192</v>
      </c>
      <c r="AH36" s="42" t="s">
        <v>192</v>
      </c>
    </row>
    <row r="37" spans="1:34" s="4" customFormat="1" ht="17.25" customHeight="1" x14ac:dyDescent="0.25">
      <c r="A37" s="16">
        <v>891780111</v>
      </c>
      <c r="B37" s="16" t="s">
        <v>54</v>
      </c>
      <c r="C37" s="58" t="s">
        <v>56</v>
      </c>
      <c r="D37" s="16" t="s">
        <v>60</v>
      </c>
      <c r="E37" s="92" t="s">
        <v>477</v>
      </c>
      <c r="F37" s="16" t="s">
        <v>61</v>
      </c>
      <c r="G37" s="39" t="s">
        <v>69</v>
      </c>
      <c r="H37" s="39" t="s">
        <v>73</v>
      </c>
      <c r="I37" s="70">
        <v>11208000</v>
      </c>
      <c r="J37" s="1"/>
      <c r="K37" s="2"/>
      <c r="L37" s="2"/>
      <c r="M37" s="233">
        <f t="shared" si="0"/>
        <v>11208000</v>
      </c>
      <c r="N37" s="83">
        <v>79695021</v>
      </c>
      <c r="O37" s="84" t="s">
        <v>478</v>
      </c>
      <c r="P37" s="85" t="s">
        <v>479</v>
      </c>
      <c r="Q37" s="74">
        <v>44970</v>
      </c>
      <c r="R37" s="74">
        <v>44970</v>
      </c>
      <c r="S37" s="74">
        <v>45107</v>
      </c>
      <c r="T37" s="35"/>
      <c r="U37" s="3"/>
      <c r="V37" s="3"/>
      <c r="W37" s="3"/>
      <c r="X37" s="70">
        <v>11208000</v>
      </c>
      <c r="Y37" s="70">
        <v>0</v>
      </c>
      <c r="Z37" s="34">
        <v>1</v>
      </c>
      <c r="AA37" s="91">
        <v>36669725</v>
      </c>
      <c r="AB37" s="90" t="s">
        <v>356</v>
      </c>
      <c r="AC37" s="39" t="s">
        <v>196</v>
      </c>
      <c r="AD37" s="39" t="s">
        <v>196</v>
      </c>
      <c r="AE37" s="3"/>
      <c r="AF37" s="88" t="s">
        <v>480</v>
      </c>
      <c r="AG37" s="42" t="s">
        <v>192</v>
      </c>
      <c r="AH37" s="42" t="s">
        <v>192</v>
      </c>
    </row>
    <row r="38" spans="1:34" s="4" customFormat="1" ht="17.25" customHeight="1" x14ac:dyDescent="0.25">
      <c r="A38" s="16">
        <v>891780111</v>
      </c>
      <c r="B38" s="16" t="s">
        <v>54</v>
      </c>
      <c r="C38" s="58" t="s">
        <v>56</v>
      </c>
      <c r="D38" s="16" t="s">
        <v>60</v>
      </c>
      <c r="E38" s="92" t="s">
        <v>481</v>
      </c>
      <c r="F38" s="16" t="s">
        <v>61</v>
      </c>
      <c r="G38" s="39" t="s">
        <v>69</v>
      </c>
      <c r="H38" s="39" t="s">
        <v>73</v>
      </c>
      <c r="I38" s="70">
        <v>7600000</v>
      </c>
      <c r="J38" s="1"/>
      <c r="K38" s="2"/>
      <c r="L38" s="2"/>
      <c r="M38" s="233">
        <f t="shared" si="0"/>
        <v>7600000</v>
      </c>
      <c r="N38" s="83">
        <v>36720593</v>
      </c>
      <c r="O38" s="84" t="s">
        <v>482</v>
      </c>
      <c r="P38" s="85" t="s">
        <v>483</v>
      </c>
      <c r="Q38" s="74">
        <v>44988</v>
      </c>
      <c r="R38" s="74">
        <v>44988</v>
      </c>
      <c r="S38" s="74">
        <v>45107</v>
      </c>
      <c r="T38" s="35"/>
      <c r="U38" s="3"/>
      <c r="V38" s="3"/>
      <c r="W38" s="3"/>
      <c r="X38">
        <v>7600000</v>
      </c>
      <c r="Y38" s="70">
        <v>0</v>
      </c>
      <c r="Z38" s="34">
        <v>1</v>
      </c>
      <c r="AA38" s="89">
        <v>12561250</v>
      </c>
      <c r="AB38" s="90" t="s">
        <v>392</v>
      </c>
      <c r="AC38" s="39" t="s">
        <v>196</v>
      </c>
      <c r="AD38" s="39" t="s">
        <v>196</v>
      </c>
      <c r="AE38" s="3"/>
      <c r="AF38" s="88" t="s">
        <v>484</v>
      </c>
      <c r="AG38" s="42" t="s">
        <v>192</v>
      </c>
      <c r="AH38" s="42" t="s">
        <v>192</v>
      </c>
    </row>
    <row r="39" spans="1:34" s="4" customFormat="1" ht="17.25" customHeight="1" x14ac:dyDescent="0.25">
      <c r="A39" s="16">
        <v>891780111</v>
      </c>
      <c r="B39" s="16" t="s">
        <v>54</v>
      </c>
      <c r="C39" s="58" t="s">
        <v>56</v>
      </c>
      <c r="D39" s="16" t="s">
        <v>60</v>
      </c>
      <c r="E39" s="92" t="s">
        <v>485</v>
      </c>
      <c r="F39" s="16" t="s">
        <v>61</v>
      </c>
      <c r="G39" s="39" t="s">
        <v>69</v>
      </c>
      <c r="H39" s="39" t="s">
        <v>73</v>
      </c>
      <c r="I39" s="70">
        <v>7600000</v>
      </c>
      <c r="J39" s="1"/>
      <c r="K39" s="2"/>
      <c r="L39" s="2"/>
      <c r="M39" s="233">
        <f t="shared" si="0"/>
        <v>7600000</v>
      </c>
      <c r="N39" s="83">
        <v>57461340</v>
      </c>
      <c r="O39" s="84" t="s">
        <v>486</v>
      </c>
      <c r="P39" s="85" t="s">
        <v>487</v>
      </c>
      <c r="Q39" s="74">
        <v>44991</v>
      </c>
      <c r="R39" s="74">
        <v>44991</v>
      </c>
      <c r="S39" s="74">
        <v>45107</v>
      </c>
      <c r="T39" s="35"/>
      <c r="U39" s="3"/>
      <c r="V39" s="3"/>
      <c r="W39" s="3"/>
      <c r="X39" s="70">
        <v>7600000</v>
      </c>
      <c r="Y39" s="70">
        <v>0</v>
      </c>
      <c r="Z39" s="34">
        <v>1</v>
      </c>
      <c r="AA39" s="89">
        <v>12561250</v>
      </c>
      <c r="AB39" s="90" t="s">
        <v>392</v>
      </c>
      <c r="AC39" s="39" t="s">
        <v>196</v>
      </c>
      <c r="AD39" s="39" t="s">
        <v>196</v>
      </c>
      <c r="AE39" s="3"/>
      <c r="AF39" s="88" t="s">
        <v>488</v>
      </c>
      <c r="AG39" s="42" t="s">
        <v>192</v>
      </c>
      <c r="AH39" s="42" t="s">
        <v>192</v>
      </c>
    </row>
    <row r="40" spans="1:34" s="4" customFormat="1" ht="17.25" customHeight="1" x14ac:dyDescent="0.25">
      <c r="A40" s="16">
        <v>891780111</v>
      </c>
      <c r="B40" s="16" t="s">
        <v>54</v>
      </c>
      <c r="C40" s="58" t="s">
        <v>56</v>
      </c>
      <c r="D40" s="16" t="s">
        <v>60</v>
      </c>
      <c r="E40" s="92" t="s">
        <v>489</v>
      </c>
      <c r="F40" s="16" t="s">
        <v>61</v>
      </c>
      <c r="G40" s="39" t="s">
        <v>69</v>
      </c>
      <c r="H40" s="39" t="s">
        <v>73</v>
      </c>
      <c r="I40" s="70">
        <v>7600000</v>
      </c>
      <c r="J40" s="1"/>
      <c r="K40" s="2"/>
      <c r="L40" s="2"/>
      <c r="M40" s="233">
        <f t="shared" si="0"/>
        <v>7600000</v>
      </c>
      <c r="N40" s="83">
        <v>73127805</v>
      </c>
      <c r="O40" s="84" t="s">
        <v>490</v>
      </c>
      <c r="P40" s="85" t="s">
        <v>491</v>
      </c>
      <c r="Q40" s="74">
        <v>44998</v>
      </c>
      <c r="R40" s="74">
        <v>44998</v>
      </c>
      <c r="S40" s="74">
        <v>45107</v>
      </c>
      <c r="T40" s="35"/>
      <c r="U40" s="3"/>
      <c r="V40" s="3"/>
      <c r="W40" s="3"/>
      <c r="X40" s="70">
        <v>7600000</v>
      </c>
      <c r="Y40" s="70">
        <v>0</v>
      </c>
      <c r="Z40" s="34">
        <v>1</v>
      </c>
      <c r="AA40" s="89">
        <v>1082943891</v>
      </c>
      <c r="AB40" s="90" t="s">
        <v>374</v>
      </c>
      <c r="AC40" s="39" t="s">
        <v>196</v>
      </c>
      <c r="AD40" s="39" t="s">
        <v>196</v>
      </c>
      <c r="AE40" s="3"/>
      <c r="AF40" s="88" t="s">
        <v>492</v>
      </c>
      <c r="AG40" s="42" t="s">
        <v>192</v>
      </c>
      <c r="AH40" s="42" t="s">
        <v>192</v>
      </c>
    </row>
    <row r="41" spans="1:34" s="4" customFormat="1" ht="17.25" customHeight="1" x14ac:dyDescent="0.25">
      <c r="A41" s="16">
        <v>891780111</v>
      </c>
      <c r="B41" s="16" t="s">
        <v>54</v>
      </c>
      <c r="C41" s="58" t="s">
        <v>56</v>
      </c>
      <c r="D41" s="16" t="s">
        <v>60</v>
      </c>
      <c r="E41" s="92" t="s">
        <v>493</v>
      </c>
      <c r="F41" s="16" t="s">
        <v>61</v>
      </c>
      <c r="G41" s="39" t="s">
        <v>69</v>
      </c>
      <c r="H41" s="39" t="s">
        <v>73</v>
      </c>
      <c r="I41" s="70">
        <v>4250000</v>
      </c>
      <c r="J41" s="94">
        <v>1</v>
      </c>
      <c r="K41" s="2">
        <v>1700000</v>
      </c>
      <c r="L41" s="2"/>
      <c r="M41" s="233">
        <f t="shared" si="0"/>
        <v>5950000</v>
      </c>
      <c r="N41" s="83">
        <v>1085175395</v>
      </c>
      <c r="O41" s="84" t="s">
        <v>494</v>
      </c>
      <c r="P41" s="85" t="s">
        <v>495</v>
      </c>
      <c r="Q41" s="74">
        <v>45002</v>
      </c>
      <c r="R41" s="74">
        <v>45002</v>
      </c>
      <c r="S41" s="74">
        <v>45077</v>
      </c>
      <c r="T41" s="35"/>
      <c r="U41" s="3"/>
      <c r="V41" s="3"/>
      <c r="W41" s="3">
        <v>45107</v>
      </c>
      <c r="X41" s="95">
        <v>5950000</v>
      </c>
      <c r="Y41" s="70">
        <v>0</v>
      </c>
      <c r="Z41" s="34">
        <v>1</v>
      </c>
      <c r="AA41" s="89">
        <v>36669977</v>
      </c>
      <c r="AB41" s="90" t="s">
        <v>346</v>
      </c>
      <c r="AC41" s="39" t="s">
        <v>196</v>
      </c>
      <c r="AD41" s="39" t="s">
        <v>196</v>
      </c>
      <c r="AE41" s="3"/>
      <c r="AF41" s="88" t="s">
        <v>496</v>
      </c>
      <c r="AG41" s="42" t="s">
        <v>192</v>
      </c>
      <c r="AH41" s="42" t="s">
        <v>192</v>
      </c>
    </row>
    <row r="42" spans="1:34" s="4" customFormat="1" ht="17.25" customHeight="1" x14ac:dyDescent="0.25">
      <c r="A42" s="16">
        <v>891780111</v>
      </c>
      <c r="B42" s="16" t="s">
        <v>54</v>
      </c>
      <c r="C42" s="58" t="s">
        <v>56</v>
      </c>
      <c r="D42" s="16" t="s">
        <v>60</v>
      </c>
      <c r="E42" s="92" t="s">
        <v>497</v>
      </c>
      <c r="F42" s="16" t="s">
        <v>61</v>
      </c>
      <c r="G42" s="39" t="s">
        <v>69</v>
      </c>
      <c r="H42" s="39" t="s">
        <v>73</v>
      </c>
      <c r="I42" s="70">
        <v>2700000</v>
      </c>
      <c r="J42" s="1"/>
      <c r="K42" s="2"/>
      <c r="L42" s="2"/>
      <c r="M42" s="233">
        <f t="shared" si="0"/>
        <v>2700000</v>
      </c>
      <c r="N42" s="83">
        <v>1004346785</v>
      </c>
      <c r="O42" s="84" t="s">
        <v>498</v>
      </c>
      <c r="P42" s="85" t="s">
        <v>499</v>
      </c>
      <c r="Q42" s="74">
        <v>45007</v>
      </c>
      <c r="R42" s="74">
        <v>45007</v>
      </c>
      <c r="S42" s="74">
        <v>45046</v>
      </c>
      <c r="T42" s="35"/>
      <c r="U42" s="3"/>
      <c r="V42" s="3"/>
      <c r="W42" s="3"/>
      <c r="X42">
        <v>2700000</v>
      </c>
      <c r="Y42" s="70">
        <v>0</v>
      </c>
      <c r="Z42" s="34">
        <v>1</v>
      </c>
      <c r="AA42" s="89">
        <v>7634903</v>
      </c>
      <c r="AB42" s="90" t="s">
        <v>351</v>
      </c>
      <c r="AC42" s="39" t="s">
        <v>196</v>
      </c>
      <c r="AD42" s="39" t="s">
        <v>196</v>
      </c>
      <c r="AE42" s="3"/>
      <c r="AF42" s="88" t="s">
        <v>500</v>
      </c>
      <c r="AG42" s="42" t="s">
        <v>192</v>
      </c>
      <c r="AH42" s="42" t="s">
        <v>192</v>
      </c>
    </row>
    <row r="43" spans="1:34" s="4" customFormat="1" ht="17.25" customHeight="1" x14ac:dyDescent="0.25">
      <c r="A43" s="16">
        <v>891780111</v>
      </c>
      <c r="B43" s="16" t="s">
        <v>54</v>
      </c>
      <c r="C43" s="58" t="s">
        <v>56</v>
      </c>
      <c r="D43" s="16" t="s">
        <v>60</v>
      </c>
      <c r="E43" s="92" t="s">
        <v>501</v>
      </c>
      <c r="F43" s="16" t="s">
        <v>61</v>
      </c>
      <c r="G43" s="39" t="s">
        <v>69</v>
      </c>
      <c r="H43" s="39" t="s">
        <v>73</v>
      </c>
      <c r="I43" s="70">
        <v>3600000</v>
      </c>
      <c r="J43" s="1"/>
      <c r="K43" s="2"/>
      <c r="L43" s="2"/>
      <c r="M43" s="233">
        <f t="shared" si="0"/>
        <v>3600000</v>
      </c>
      <c r="N43" s="83">
        <v>1004347197</v>
      </c>
      <c r="O43" s="84" t="s">
        <v>502</v>
      </c>
      <c r="P43" s="85" t="s">
        <v>503</v>
      </c>
      <c r="Q43" s="74">
        <v>45054</v>
      </c>
      <c r="R43" s="74">
        <v>45054</v>
      </c>
      <c r="S43" s="74">
        <v>45107</v>
      </c>
      <c r="T43" s="35"/>
      <c r="U43" s="3"/>
      <c r="V43" s="3"/>
      <c r="W43" s="3"/>
      <c r="X43" s="70">
        <v>3600000</v>
      </c>
      <c r="Y43" s="70">
        <v>0</v>
      </c>
      <c r="Z43" s="34">
        <v>1</v>
      </c>
      <c r="AA43" s="89">
        <v>12561250</v>
      </c>
      <c r="AB43" s="90" t="s">
        <v>392</v>
      </c>
      <c r="AC43" s="39" t="s">
        <v>196</v>
      </c>
      <c r="AD43" s="39" t="s">
        <v>196</v>
      </c>
      <c r="AE43" s="3"/>
      <c r="AF43" s="88" t="s">
        <v>504</v>
      </c>
      <c r="AG43" s="42" t="s">
        <v>192</v>
      </c>
      <c r="AH43" s="42" t="s">
        <v>192</v>
      </c>
    </row>
    <row r="44" spans="1:34" s="4" customFormat="1" ht="17.25" customHeight="1" x14ac:dyDescent="0.25">
      <c r="A44" s="16">
        <v>891780111</v>
      </c>
      <c r="B44" s="16" t="s">
        <v>54</v>
      </c>
      <c r="C44" s="58" t="s">
        <v>56</v>
      </c>
      <c r="D44" s="16" t="s">
        <v>60</v>
      </c>
      <c r="E44" s="92" t="s">
        <v>505</v>
      </c>
      <c r="F44" s="16" t="s">
        <v>61</v>
      </c>
      <c r="G44" s="39" t="s">
        <v>69</v>
      </c>
      <c r="H44" s="39" t="s">
        <v>73</v>
      </c>
      <c r="I44" s="70">
        <v>2850000</v>
      </c>
      <c r="J44" s="1"/>
      <c r="K44" s="2"/>
      <c r="L44" s="2"/>
      <c r="M44" s="233">
        <f t="shared" si="0"/>
        <v>2850000</v>
      </c>
      <c r="N44" s="83">
        <v>1004122653</v>
      </c>
      <c r="O44" s="84" t="s">
        <v>506</v>
      </c>
      <c r="P44" s="85" t="s">
        <v>507</v>
      </c>
      <c r="Q44" s="74">
        <v>45063</v>
      </c>
      <c r="R44" s="74">
        <v>45063</v>
      </c>
      <c r="S44" s="74">
        <v>45107</v>
      </c>
      <c r="T44" s="35"/>
      <c r="U44" s="3"/>
      <c r="V44" s="3"/>
      <c r="W44" s="3"/>
      <c r="X44" s="70">
        <v>2850000</v>
      </c>
      <c r="Y44" s="70">
        <v>0</v>
      </c>
      <c r="Z44" s="34">
        <v>1</v>
      </c>
      <c r="AA44" s="89">
        <v>1082943891</v>
      </c>
      <c r="AB44" s="90" t="s">
        <v>374</v>
      </c>
      <c r="AC44" s="39" t="s">
        <v>196</v>
      </c>
      <c r="AD44" s="39" t="s">
        <v>196</v>
      </c>
      <c r="AE44" s="3"/>
      <c r="AF44" s="88" t="s">
        <v>508</v>
      </c>
      <c r="AG44" s="42" t="s">
        <v>192</v>
      </c>
      <c r="AH44" s="42" t="s">
        <v>192</v>
      </c>
    </row>
    <row r="45" spans="1:34" s="4" customFormat="1" ht="17.25" customHeight="1" x14ac:dyDescent="0.25">
      <c r="A45" s="16">
        <v>891780111</v>
      </c>
      <c r="B45" s="16" t="s">
        <v>54</v>
      </c>
      <c r="C45" s="58" t="s">
        <v>56</v>
      </c>
      <c r="D45" s="16" t="s">
        <v>60</v>
      </c>
      <c r="E45" s="92" t="s">
        <v>509</v>
      </c>
      <c r="F45" s="16" t="s">
        <v>61</v>
      </c>
      <c r="G45" s="39" t="s">
        <v>69</v>
      </c>
      <c r="H45" s="39" t="s">
        <v>73</v>
      </c>
      <c r="I45" s="70">
        <v>3800000</v>
      </c>
      <c r="J45" s="1"/>
      <c r="K45" s="2"/>
      <c r="L45" s="2"/>
      <c r="M45" s="233">
        <f t="shared" si="0"/>
        <v>3800000</v>
      </c>
      <c r="N45" s="83">
        <v>1221972088</v>
      </c>
      <c r="O45" s="84" t="s">
        <v>510</v>
      </c>
      <c r="P45" s="85" t="s">
        <v>511</v>
      </c>
      <c r="Q45" s="74">
        <v>45063</v>
      </c>
      <c r="R45" s="74">
        <v>45063</v>
      </c>
      <c r="S45" s="74">
        <v>45122</v>
      </c>
      <c r="T45" s="35"/>
      <c r="U45" s="3"/>
      <c r="V45" s="3"/>
      <c r="W45" s="3"/>
      <c r="X45" s="70">
        <f>1900000+950000</f>
        <v>2850000</v>
      </c>
      <c r="Y45" s="70">
        <v>950000</v>
      </c>
      <c r="Z45" s="34">
        <v>0.5</v>
      </c>
      <c r="AA45" s="89">
        <v>7634903</v>
      </c>
      <c r="AB45" s="90" t="s">
        <v>351</v>
      </c>
      <c r="AC45" s="39" t="s">
        <v>196</v>
      </c>
      <c r="AD45" s="39" t="s">
        <v>196</v>
      </c>
      <c r="AE45" s="3"/>
      <c r="AF45" s="88" t="s">
        <v>512</v>
      </c>
      <c r="AG45" s="42" t="s">
        <v>192</v>
      </c>
      <c r="AH45" s="42" t="s">
        <v>192</v>
      </c>
    </row>
    <row r="46" spans="1:34" s="4" customFormat="1" ht="17.25" customHeight="1" x14ac:dyDescent="0.25">
      <c r="A46" s="16">
        <v>891780111</v>
      </c>
      <c r="B46" s="16" t="s">
        <v>54</v>
      </c>
      <c r="C46" s="58" t="s">
        <v>56</v>
      </c>
      <c r="D46" s="16" t="s">
        <v>60</v>
      </c>
      <c r="E46" s="92" t="s">
        <v>513</v>
      </c>
      <c r="F46" s="16" t="s">
        <v>61</v>
      </c>
      <c r="G46" s="39" t="s">
        <v>69</v>
      </c>
      <c r="H46" s="39" t="s">
        <v>79</v>
      </c>
      <c r="I46" s="70">
        <v>7200000</v>
      </c>
      <c r="J46" s="1"/>
      <c r="K46" s="2"/>
      <c r="L46" s="2"/>
      <c r="M46" s="233">
        <f t="shared" si="0"/>
        <v>7200000</v>
      </c>
      <c r="N46" s="83">
        <v>26870452</v>
      </c>
      <c r="O46" s="84" t="s">
        <v>514</v>
      </c>
      <c r="P46" s="85" t="s">
        <v>515</v>
      </c>
      <c r="Q46" s="80">
        <v>45106</v>
      </c>
      <c r="R46" s="96">
        <v>45106</v>
      </c>
      <c r="S46" s="96">
        <v>45197</v>
      </c>
      <c r="T46" s="35"/>
      <c r="U46" s="3"/>
      <c r="V46" s="3"/>
      <c r="W46" s="3"/>
      <c r="X46" s="70">
        <v>0</v>
      </c>
      <c r="Y46" s="70">
        <v>7200000</v>
      </c>
      <c r="Z46" s="34">
        <v>0</v>
      </c>
      <c r="AA46" s="89">
        <v>12560219</v>
      </c>
      <c r="AB46" s="90" t="s">
        <v>516</v>
      </c>
      <c r="AC46" s="39" t="s">
        <v>196</v>
      </c>
      <c r="AD46" s="39" t="s">
        <v>196</v>
      </c>
      <c r="AE46" s="3"/>
      <c r="AF46" s="88" t="s">
        <v>517</v>
      </c>
      <c r="AG46" s="42" t="s">
        <v>192</v>
      </c>
      <c r="AH46" s="42" t="s">
        <v>191</v>
      </c>
    </row>
    <row r="47" spans="1:34" s="4" customFormat="1" ht="17.25" customHeight="1" x14ac:dyDescent="0.25">
      <c r="A47" s="16">
        <v>891780111</v>
      </c>
      <c r="B47" s="16" t="s">
        <v>54</v>
      </c>
      <c r="C47" s="58" t="s">
        <v>56</v>
      </c>
      <c r="D47" s="16" t="s">
        <v>60</v>
      </c>
      <c r="E47" s="92" t="s">
        <v>518</v>
      </c>
      <c r="F47" s="16" t="s">
        <v>61</v>
      </c>
      <c r="G47" s="39" t="s">
        <v>69</v>
      </c>
      <c r="H47" s="39" t="s">
        <v>79</v>
      </c>
      <c r="I47" s="70">
        <v>4994430</v>
      </c>
      <c r="J47" s="1"/>
      <c r="K47" s="2"/>
      <c r="L47" s="2"/>
      <c r="M47" s="233">
        <f t="shared" si="0"/>
        <v>4994430</v>
      </c>
      <c r="N47" s="83">
        <v>900929189</v>
      </c>
      <c r="O47" s="84" t="s">
        <v>519</v>
      </c>
      <c r="P47" s="85" t="s">
        <v>520</v>
      </c>
      <c r="Q47" s="80">
        <v>45117</v>
      </c>
      <c r="R47" s="96">
        <v>45117</v>
      </c>
      <c r="S47" s="96">
        <v>45131</v>
      </c>
      <c r="T47" s="35"/>
      <c r="U47" s="3"/>
      <c r="V47" s="3"/>
      <c r="W47" s="3"/>
      <c r="X47" s="70">
        <v>0</v>
      </c>
      <c r="Y47" s="70">
        <v>4994430</v>
      </c>
      <c r="Z47" s="34">
        <v>0</v>
      </c>
      <c r="AA47" s="89">
        <v>1082943891</v>
      </c>
      <c r="AB47" s="90" t="s">
        <v>374</v>
      </c>
      <c r="AC47" s="39" t="s">
        <v>196</v>
      </c>
      <c r="AD47" s="39" t="s">
        <v>196</v>
      </c>
      <c r="AE47" s="3"/>
      <c r="AF47" s="97" t="s">
        <v>521</v>
      </c>
      <c r="AG47" s="42" t="s">
        <v>192</v>
      </c>
      <c r="AH47" s="42" t="s">
        <v>191</v>
      </c>
    </row>
    <row r="48" spans="1:34" s="4" customFormat="1" ht="17.25" customHeight="1" x14ac:dyDescent="0.25">
      <c r="A48" s="16">
        <v>891780111</v>
      </c>
      <c r="B48" s="16" t="s">
        <v>54</v>
      </c>
      <c r="C48" s="58" t="s">
        <v>56</v>
      </c>
      <c r="D48" s="16" t="s">
        <v>60</v>
      </c>
      <c r="E48" s="92" t="s">
        <v>522</v>
      </c>
      <c r="F48" s="16" t="s">
        <v>61</v>
      </c>
      <c r="G48" s="39" t="s">
        <v>69</v>
      </c>
      <c r="H48" s="39" t="s">
        <v>73</v>
      </c>
      <c r="I48" s="70">
        <v>15660000</v>
      </c>
      <c r="J48" s="1"/>
      <c r="K48" s="2"/>
      <c r="L48" s="2"/>
      <c r="M48" s="233">
        <f t="shared" si="0"/>
        <v>15660000</v>
      </c>
      <c r="N48" s="83">
        <v>1082879378</v>
      </c>
      <c r="O48" t="s">
        <v>339</v>
      </c>
      <c r="P48" s="85" t="s">
        <v>523</v>
      </c>
      <c r="Q48" s="98">
        <v>45120</v>
      </c>
      <c r="R48" s="98">
        <v>45120</v>
      </c>
      <c r="S48" s="98">
        <v>45275</v>
      </c>
      <c r="T48" s="35"/>
      <c r="U48" s="3"/>
      <c r="V48" s="3"/>
      <c r="W48" s="3"/>
      <c r="X48" s="70">
        <v>0</v>
      </c>
      <c r="Y48" s="70">
        <v>15660000</v>
      </c>
      <c r="Z48" s="34">
        <v>0</v>
      </c>
      <c r="AA48" s="86">
        <v>36564357</v>
      </c>
      <c r="AB48" s="87" t="s">
        <v>341</v>
      </c>
      <c r="AC48" s="39" t="s">
        <v>196</v>
      </c>
      <c r="AD48" s="39" t="s">
        <v>196</v>
      </c>
      <c r="AE48" s="3"/>
      <c r="AF48" s="97" t="s">
        <v>524</v>
      </c>
      <c r="AG48" s="42" t="s">
        <v>192</v>
      </c>
      <c r="AH48" s="42" t="s">
        <v>192</v>
      </c>
    </row>
    <row r="49" spans="1:34" s="4" customFormat="1" ht="17.25" customHeight="1" x14ac:dyDescent="0.25">
      <c r="A49" s="16">
        <v>891780111</v>
      </c>
      <c r="B49" s="16" t="s">
        <v>54</v>
      </c>
      <c r="C49" s="58" t="s">
        <v>56</v>
      </c>
      <c r="D49" s="16" t="s">
        <v>60</v>
      </c>
      <c r="E49" s="92" t="s">
        <v>525</v>
      </c>
      <c r="F49" s="16" t="s">
        <v>61</v>
      </c>
      <c r="G49" s="39" t="s">
        <v>69</v>
      </c>
      <c r="H49" s="39" t="s">
        <v>73</v>
      </c>
      <c r="I49" s="70">
        <v>15120000</v>
      </c>
      <c r="J49" s="1"/>
      <c r="K49" s="2"/>
      <c r="L49" s="2"/>
      <c r="M49" s="233">
        <f t="shared" si="0"/>
        <v>15120000</v>
      </c>
      <c r="N49" s="83">
        <v>1082903530</v>
      </c>
      <c r="O49" t="s">
        <v>377</v>
      </c>
      <c r="P49" s="85" t="s">
        <v>526</v>
      </c>
      <c r="Q49" s="98">
        <v>45120</v>
      </c>
      <c r="R49" s="98">
        <v>45120</v>
      </c>
      <c r="S49" s="98">
        <v>45275</v>
      </c>
      <c r="T49" s="35"/>
      <c r="U49" s="3"/>
      <c r="V49" s="3"/>
      <c r="W49" s="3"/>
      <c r="X49" s="70">
        <v>0</v>
      </c>
      <c r="Y49" s="70">
        <v>15120000</v>
      </c>
      <c r="Z49" s="34">
        <v>0</v>
      </c>
      <c r="AA49" s="86">
        <v>36564357</v>
      </c>
      <c r="AB49" s="87" t="s">
        <v>341</v>
      </c>
      <c r="AC49" s="39" t="s">
        <v>196</v>
      </c>
      <c r="AD49" s="39" t="s">
        <v>196</v>
      </c>
      <c r="AE49" s="3"/>
      <c r="AF49" s="97" t="s">
        <v>527</v>
      </c>
      <c r="AG49" s="42" t="s">
        <v>192</v>
      </c>
      <c r="AH49" s="42" t="s">
        <v>192</v>
      </c>
    </row>
    <row r="50" spans="1:34" s="4" customFormat="1" ht="17.25" customHeight="1" x14ac:dyDescent="0.25">
      <c r="A50" s="16">
        <v>891780111</v>
      </c>
      <c r="B50" s="16" t="s">
        <v>54</v>
      </c>
      <c r="C50" s="58" t="s">
        <v>56</v>
      </c>
      <c r="D50" s="16" t="s">
        <v>60</v>
      </c>
      <c r="E50" s="92" t="s">
        <v>528</v>
      </c>
      <c r="F50" s="16" t="s">
        <v>61</v>
      </c>
      <c r="G50" s="39" t="s">
        <v>69</v>
      </c>
      <c r="H50" s="39" t="s">
        <v>73</v>
      </c>
      <c r="I50" s="70">
        <v>11800000</v>
      </c>
      <c r="J50" s="1"/>
      <c r="K50" s="2"/>
      <c r="L50" s="2"/>
      <c r="M50" s="233">
        <f t="shared" si="0"/>
        <v>11800000</v>
      </c>
      <c r="N50" s="83">
        <v>39047317</v>
      </c>
      <c r="O50" s="84" t="s">
        <v>349</v>
      </c>
      <c r="P50" s="85" t="s">
        <v>529</v>
      </c>
      <c r="Q50" s="98">
        <v>45120</v>
      </c>
      <c r="R50" s="98">
        <v>45120</v>
      </c>
      <c r="S50" s="98">
        <v>45275</v>
      </c>
      <c r="T50" s="35"/>
      <c r="U50" s="3"/>
      <c r="V50" s="3"/>
      <c r="W50" s="3"/>
      <c r="X50" s="70">
        <v>0</v>
      </c>
      <c r="Y50" s="70">
        <v>11800000</v>
      </c>
      <c r="Z50" s="34">
        <v>0</v>
      </c>
      <c r="AA50" s="89">
        <v>7634903</v>
      </c>
      <c r="AB50" s="90" t="s">
        <v>351</v>
      </c>
      <c r="AC50" s="39" t="s">
        <v>196</v>
      </c>
      <c r="AD50" s="39" t="s">
        <v>196</v>
      </c>
      <c r="AE50" s="3"/>
      <c r="AF50" s="97" t="s">
        <v>530</v>
      </c>
      <c r="AG50" s="42" t="s">
        <v>192</v>
      </c>
      <c r="AH50" s="42" t="s">
        <v>192</v>
      </c>
    </row>
    <row r="51" spans="1:34" s="4" customFormat="1" ht="17.25" customHeight="1" x14ac:dyDescent="0.25">
      <c r="A51" s="16">
        <v>891780111</v>
      </c>
      <c r="B51" s="16" t="s">
        <v>54</v>
      </c>
      <c r="C51" s="58" t="s">
        <v>56</v>
      </c>
      <c r="D51" s="16" t="s">
        <v>60</v>
      </c>
      <c r="E51" s="92" t="s">
        <v>531</v>
      </c>
      <c r="F51" s="16" t="s">
        <v>61</v>
      </c>
      <c r="G51" s="39" t="s">
        <v>69</v>
      </c>
      <c r="H51" s="39" t="s">
        <v>73</v>
      </c>
      <c r="I51" s="70">
        <v>16585000</v>
      </c>
      <c r="J51" s="1"/>
      <c r="K51" s="2"/>
      <c r="L51" s="2"/>
      <c r="M51" s="233">
        <f t="shared" si="0"/>
        <v>16585000</v>
      </c>
      <c r="N51" s="83">
        <v>85466955</v>
      </c>
      <c r="O51" s="84" t="s">
        <v>462</v>
      </c>
      <c r="P51" s="85" t="s">
        <v>532</v>
      </c>
      <c r="Q51" s="98">
        <v>45120</v>
      </c>
      <c r="R51" s="98">
        <v>45120</v>
      </c>
      <c r="S51" s="98">
        <v>45275</v>
      </c>
      <c r="T51" s="35"/>
      <c r="U51" s="3"/>
      <c r="V51" s="3"/>
      <c r="W51" s="3"/>
      <c r="X51" s="70">
        <v>0</v>
      </c>
      <c r="Y51" s="70">
        <v>16585000</v>
      </c>
      <c r="Z51" s="34">
        <v>0</v>
      </c>
      <c r="AA51" s="89">
        <v>7634903</v>
      </c>
      <c r="AB51" s="90" t="s">
        <v>351</v>
      </c>
      <c r="AC51" s="39" t="s">
        <v>196</v>
      </c>
      <c r="AD51" s="39" t="s">
        <v>196</v>
      </c>
      <c r="AE51" s="3"/>
      <c r="AF51" s="97" t="s">
        <v>533</v>
      </c>
      <c r="AG51" s="42" t="s">
        <v>192</v>
      </c>
      <c r="AH51" s="42" t="s">
        <v>192</v>
      </c>
    </row>
    <row r="52" spans="1:34" s="4" customFormat="1" ht="17.25" customHeight="1" x14ac:dyDescent="0.25">
      <c r="A52" s="16">
        <v>891780111</v>
      </c>
      <c r="B52" s="16" t="s">
        <v>54</v>
      </c>
      <c r="C52" s="58" t="s">
        <v>56</v>
      </c>
      <c r="D52" s="16" t="s">
        <v>60</v>
      </c>
      <c r="E52" s="92" t="s">
        <v>534</v>
      </c>
      <c r="F52" s="16" t="s">
        <v>61</v>
      </c>
      <c r="G52" s="39" t="s">
        <v>69</v>
      </c>
      <c r="H52" s="39" t="s">
        <v>73</v>
      </c>
      <c r="I52" s="70">
        <v>11800000</v>
      </c>
      <c r="J52" s="1"/>
      <c r="K52" s="2"/>
      <c r="L52" s="2"/>
      <c r="M52" s="233">
        <f t="shared" si="0"/>
        <v>11800000</v>
      </c>
      <c r="N52" s="83">
        <v>1082858774</v>
      </c>
      <c r="O52" s="84" t="s">
        <v>359</v>
      </c>
      <c r="P52" s="85" t="s">
        <v>535</v>
      </c>
      <c r="Q52" s="98">
        <v>45120</v>
      </c>
      <c r="R52" s="98">
        <v>45120</v>
      </c>
      <c r="S52" s="98">
        <v>45275</v>
      </c>
      <c r="T52" s="35"/>
      <c r="U52" s="3"/>
      <c r="V52" s="3"/>
      <c r="W52" s="3"/>
      <c r="X52" s="70">
        <v>0</v>
      </c>
      <c r="Y52" s="70">
        <v>11800000</v>
      </c>
      <c r="Z52" s="34">
        <v>0</v>
      </c>
      <c r="AA52" s="86">
        <v>36564357</v>
      </c>
      <c r="AB52" s="87" t="s">
        <v>341</v>
      </c>
      <c r="AC52" s="39" t="s">
        <v>196</v>
      </c>
      <c r="AD52" s="39" t="s">
        <v>196</v>
      </c>
      <c r="AE52" s="3"/>
      <c r="AF52" s="97" t="s">
        <v>536</v>
      </c>
      <c r="AG52" s="42" t="s">
        <v>192</v>
      </c>
      <c r="AH52" s="42" t="s">
        <v>192</v>
      </c>
    </row>
    <row r="53" spans="1:34" s="4" customFormat="1" ht="17.25" customHeight="1" x14ac:dyDescent="0.25">
      <c r="A53" s="16">
        <v>891780111</v>
      </c>
      <c r="B53" s="16" t="s">
        <v>54</v>
      </c>
      <c r="C53" s="58" t="s">
        <v>56</v>
      </c>
      <c r="D53" s="16" t="s">
        <v>60</v>
      </c>
      <c r="E53" s="92" t="s">
        <v>537</v>
      </c>
      <c r="F53" s="16" t="s">
        <v>61</v>
      </c>
      <c r="G53" s="39" t="s">
        <v>69</v>
      </c>
      <c r="H53" s="39" t="s">
        <v>73</v>
      </c>
      <c r="I53" s="70">
        <v>16200000</v>
      </c>
      <c r="J53" s="1"/>
      <c r="K53" s="2"/>
      <c r="L53" s="2"/>
      <c r="M53" s="233">
        <f t="shared" si="0"/>
        <v>16200000</v>
      </c>
      <c r="N53" s="83">
        <v>85153904</v>
      </c>
      <c r="O53" s="84" t="s">
        <v>354</v>
      </c>
      <c r="P53" s="85" t="s">
        <v>538</v>
      </c>
      <c r="Q53" s="98">
        <v>45120</v>
      </c>
      <c r="R53" s="98">
        <v>45120</v>
      </c>
      <c r="S53" s="98">
        <v>45275</v>
      </c>
      <c r="T53" s="35"/>
      <c r="U53" s="3"/>
      <c r="V53" s="3"/>
      <c r="W53" s="3"/>
      <c r="X53" s="70">
        <v>0</v>
      </c>
      <c r="Y53" s="70">
        <v>16200000</v>
      </c>
      <c r="Z53" s="34">
        <v>0</v>
      </c>
      <c r="AA53" s="91">
        <v>36669725</v>
      </c>
      <c r="AB53" s="90" t="s">
        <v>356</v>
      </c>
      <c r="AC53" s="39" t="s">
        <v>196</v>
      </c>
      <c r="AD53" s="39" t="s">
        <v>196</v>
      </c>
      <c r="AE53" s="3"/>
      <c r="AF53" s="97" t="s">
        <v>539</v>
      </c>
      <c r="AG53" s="42" t="s">
        <v>192</v>
      </c>
      <c r="AH53" s="42" t="s">
        <v>192</v>
      </c>
    </row>
    <row r="54" spans="1:34" s="4" customFormat="1" ht="17.25" customHeight="1" x14ac:dyDescent="0.25">
      <c r="A54" s="16">
        <v>891780111</v>
      </c>
      <c r="B54" s="16" t="s">
        <v>54</v>
      </c>
      <c r="C54" s="58" t="s">
        <v>56</v>
      </c>
      <c r="D54" s="16" t="s">
        <v>60</v>
      </c>
      <c r="E54" s="92" t="s">
        <v>540</v>
      </c>
      <c r="F54" s="16" t="s">
        <v>61</v>
      </c>
      <c r="G54" s="39" t="s">
        <v>69</v>
      </c>
      <c r="H54" s="39" t="s">
        <v>73</v>
      </c>
      <c r="I54" s="70">
        <v>13959000</v>
      </c>
      <c r="J54" s="1"/>
      <c r="K54" s="2"/>
      <c r="L54" s="2"/>
      <c r="M54" s="233">
        <f t="shared" si="0"/>
        <v>13959000</v>
      </c>
      <c r="N54" s="83">
        <v>36669670</v>
      </c>
      <c r="O54" s="84" t="s">
        <v>368</v>
      </c>
      <c r="P54" s="85" t="s">
        <v>541</v>
      </c>
      <c r="Q54" s="98">
        <v>45120</v>
      </c>
      <c r="R54" s="98">
        <v>45120</v>
      </c>
      <c r="S54" s="98">
        <v>45275</v>
      </c>
      <c r="T54" s="35"/>
      <c r="U54" s="3"/>
      <c r="V54" s="3"/>
      <c r="W54" s="3"/>
      <c r="X54" s="70">
        <v>0</v>
      </c>
      <c r="Y54" s="70">
        <v>13959000</v>
      </c>
      <c r="Z54" s="34">
        <v>0</v>
      </c>
      <c r="AA54" s="89">
        <v>36669977</v>
      </c>
      <c r="AB54" s="90" t="s">
        <v>346</v>
      </c>
      <c r="AC54" s="39" t="s">
        <v>196</v>
      </c>
      <c r="AD54" s="39" t="s">
        <v>196</v>
      </c>
      <c r="AE54" s="3"/>
      <c r="AF54" s="97" t="s">
        <v>542</v>
      </c>
      <c r="AG54" s="42" t="s">
        <v>192</v>
      </c>
      <c r="AH54" s="42" t="s">
        <v>192</v>
      </c>
    </row>
    <row r="55" spans="1:34" s="4" customFormat="1" ht="17.25" customHeight="1" x14ac:dyDescent="0.25">
      <c r="A55" s="16">
        <v>891780111</v>
      </c>
      <c r="B55" s="16" t="s">
        <v>54</v>
      </c>
      <c r="C55" s="58" t="s">
        <v>56</v>
      </c>
      <c r="D55" s="16" t="s">
        <v>60</v>
      </c>
      <c r="E55" s="92" t="s">
        <v>543</v>
      </c>
      <c r="F55" s="16" t="s">
        <v>61</v>
      </c>
      <c r="G55" s="39" t="s">
        <v>69</v>
      </c>
      <c r="H55" s="39" t="s">
        <v>73</v>
      </c>
      <c r="I55" s="70">
        <v>9450000</v>
      </c>
      <c r="J55" s="1"/>
      <c r="K55" s="2"/>
      <c r="L55" s="2"/>
      <c r="M55" s="233">
        <f t="shared" si="0"/>
        <v>9450000</v>
      </c>
      <c r="N55" s="83">
        <v>85150568</v>
      </c>
      <c r="O55" s="84" t="s">
        <v>441</v>
      </c>
      <c r="P55" s="85" t="s">
        <v>544</v>
      </c>
      <c r="Q55" s="98">
        <v>45128</v>
      </c>
      <c r="R55" s="98">
        <v>45128</v>
      </c>
      <c r="S55" s="98">
        <v>45260</v>
      </c>
      <c r="T55" s="35"/>
      <c r="U55" s="3"/>
      <c r="V55" s="3"/>
      <c r="W55" s="3"/>
      <c r="X55" s="70">
        <v>0</v>
      </c>
      <c r="Y55" s="70">
        <v>9450000</v>
      </c>
      <c r="Z55" s="34">
        <v>0</v>
      </c>
      <c r="AA55" s="89">
        <v>84457116</v>
      </c>
      <c r="AB55" s="90" t="s">
        <v>443</v>
      </c>
      <c r="AC55" s="39" t="s">
        <v>196</v>
      </c>
      <c r="AD55" s="39" t="s">
        <v>196</v>
      </c>
      <c r="AE55" s="3"/>
      <c r="AF55" s="97" t="s">
        <v>545</v>
      </c>
      <c r="AG55" s="42" t="s">
        <v>192</v>
      </c>
      <c r="AH55" s="42" t="s">
        <v>192</v>
      </c>
    </row>
    <row r="56" spans="1:34" s="4" customFormat="1" ht="17.25" customHeight="1" x14ac:dyDescent="0.25">
      <c r="A56" s="16">
        <v>891780111</v>
      </c>
      <c r="B56" s="16" t="s">
        <v>54</v>
      </c>
      <c r="C56" s="58" t="s">
        <v>56</v>
      </c>
      <c r="D56" s="16" t="s">
        <v>60</v>
      </c>
      <c r="E56" s="92" t="s">
        <v>546</v>
      </c>
      <c r="F56" s="16" t="s">
        <v>61</v>
      </c>
      <c r="G56" s="39" t="s">
        <v>69</v>
      </c>
      <c r="H56" s="39" t="s">
        <v>73</v>
      </c>
      <c r="I56" s="70">
        <v>10400000</v>
      </c>
      <c r="J56" s="1"/>
      <c r="K56" s="2"/>
      <c r="L56" s="2"/>
      <c r="M56" s="233">
        <f t="shared" si="0"/>
        <v>10400000</v>
      </c>
      <c r="N56" s="83">
        <v>1004374583</v>
      </c>
      <c r="O56" s="84" t="s">
        <v>344</v>
      </c>
      <c r="P56" s="85" t="s">
        <v>547</v>
      </c>
      <c r="Q56" s="98">
        <v>45128</v>
      </c>
      <c r="R56" s="98">
        <v>45128</v>
      </c>
      <c r="S56" s="98">
        <v>45275</v>
      </c>
      <c r="T56" s="35"/>
      <c r="U56" s="3"/>
      <c r="V56" s="3"/>
      <c r="W56" s="3"/>
      <c r="X56" s="70">
        <v>0</v>
      </c>
      <c r="Y56" s="70">
        <v>10400000</v>
      </c>
      <c r="Z56" s="34">
        <v>0</v>
      </c>
      <c r="AA56" s="89">
        <v>36669977</v>
      </c>
      <c r="AB56" s="90" t="s">
        <v>346</v>
      </c>
      <c r="AC56" s="39" t="s">
        <v>196</v>
      </c>
      <c r="AD56" s="39" t="s">
        <v>196</v>
      </c>
      <c r="AE56" s="3"/>
      <c r="AF56" s="97" t="s">
        <v>548</v>
      </c>
      <c r="AG56" s="42" t="s">
        <v>192</v>
      </c>
      <c r="AH56" s="42" t="s">
        <v>192</v>
      </c>
    </row>
    <row r="57" spans="1:34" s="4" customFormat="1" ht="17.25" customHeight="1" x14ac:dyDescent="0.25">
      <c r="A57" s="16">
        <v>891780111</v>
      </c>
      <c r="B57" s="16" t="s">
        <v>54</v>
      </c>
      <c r="C57" s="58" t="s">
        <v>56</v>
      </c>
      <c r="D57" s="16" t="s">
        <v>60</v>
      </c>
      <c r="E57" s="92" t="s">
        <v>549</v>
      </c>
      <c r="F57" s="16" t="s">
        <v>61</v>
      </c>
      <c r="G57" s="39" t="s">
        <v>69</v>
      </c>
      <c r="H57" s="39" t="s">
        <v>73</v>
      </c>
      <c r="I57" s="70">
        <v>10000000</v>
      </c>
      <c r="J57" s="1"/>
      <c r="K57" s="2"/>
      <c r="L57" s="2"/>
      <c r="M57" s="233">
        <f t="shared" si="0"/>
        <v>10000000</v>
      </c>
      <c r="N57" s="83">
        <v>57433908</v>
      </c>
      <c r="O57" s="84" t="s">
        <v>424</v>
      </c>
      <c r="P57" s="85" t="s">
        <v>550</v>
      </c>
      <c r="Q57" s="98">
        <v>45128</v>
      </c>
      <c r="R57" s="98">
        <v>45128</v>
      </c>
      <c r="S57" s="98">
        <v>45275</v>
      </c>
      <c r="T57" s="35"/>
      <c r="U57" s="3"/>
      <c r="V57" s="3"/>
      <c r="W57" s="3"/>
      <c r="X57" s="70">
        <v>0</v>
      </c>
      <c r="Y57" s="70">
        <v>10000000</v>
      </c>
      <c r="Z57" s="34">
        <v>0</v>
      </c>
      <c r="AA57" s="99">
        <v>36694483</v>
      </c>
      <c r="AB57" s="90" t="s">
        <v>551</v>
      </c>
      <c r="AC57" s="39" t="s">
        <v>196</v>
      </c>
      <c r="AD57" s="39" t="s">
        <v>196</v>
      </c>
      <c r="AE57" s="3"/>
      <c r="AF57" s="97" t="s">
        <v>552</v>
      </c>
      <c r="AG57" s="42" t="s">
        <v>192</v>
      </c>
      <c r="AH57" s="42" t="s">
        <v>192</v>
      </c>
    </row>
    <row r="58" spans="1:34" s="4" customFormat="1" ht="17.25" customHeight="1" x14ac:dyDescent="0.25">
      <c r="A58" s="16">
        <v>891780111</v>
      </c>
      <c r="B58" s="16" t="s">
        <v>54</v>
      </c>
      <c r="C58" s="58" t="s">
        <v>56</v>
      </c>
      <c r="D58" s="16" t="s">
        <v>60</v>
      </c>
      <c r="E58" s="92" t="s">
        <v>553</v>
      </c>
      <c r="F58" s="16" t="s">
        <v>61</v>
      </c>
      <c r="G58" s="39" t="s">
        <v>69</v>
      </c>
      <c r="H58" s="39" t="s">
        <v>73</v>
      </c>
      <c r="I58" s="70">
        <v>10000000</v>
      </c>
      <c r="J58" s="1"/>
      <c r="K58" s="2"/>
      <c r="L58" s="2"/>
      <c r="M58" s="233">
        <f t="shared" si="0"/>
        <v>10000000</v>
      </c>
      <c r="N58" s="83">
        <v>1083569978</v>
      </c>
      <c r="O58" s="84" t="s">
        <v>450</v>
      </c>
      <c r="P58" s="85" t="s">
        <v>554</v>
      </c>
      <c r="Q58" s="98">
        <v>45128</v>
      </c>
      <c r="R58" s="98">
        <v>45128</v>
      </c>
      <c r="S58" s="98">
        <v>45275</v>
      </c>
      <c r="T58" s="35"/>
      <c r="U58" s="3"/>
      <c r="V58" s="3"/>
      <c r="W58" s="3"/>
      <c r="X58" s="70">
        <v>0</v>
      </c>
      <c r="Y58" s="70">
        <v>10000000</v>
      </c>
      <c r="Z58" s="34">
        <v>0</v>
      </c>
      <c r="AA58" s="89">
        <v>1082900194</v>
      </c>
      <c r="AB58" s="90" t="s">
        <v>383</v>
      </c>
      <c r="AC58" s="39" t="s">
        <v>196</v>
      </c>
      <c r="AD58" s="39" t="s">
        <v>196</v>
      </c>
      <c r="AE58" s="3"/>
      <c r="AF58" s="97" t="s">
        <v>555</v>
      </c>
      <c r="AG58" s="42" t="s">
        <v>192</v>
      </c>
      <c r="AH58" s="42" t="s">
        <v>192</v>
      </c>
    </row>
    <row r="59" spans="1:34" s="4" customFormat="1" ht="17.25" customHeight="1" x14ac:dyDescent="0.25">
      <c r="A59" s="16">
        <v>891780111</v>
      </c>
      <c r="B59" s="16" t="s">
        <v>54</v>
      </c>
      <c r="C59" s="58" t="s">
        <v>56</v>
      </c>
      <c r="D59" s="16" t="s">
        <v>60</v>
      </c>
      <c r="E59" s="92" t="s">
        <v>556</v>
      </c>
      <c r="F59" s="16" t="s">
        <v>61</v>
      </c>
      <c r="G59" s="39" t="s">
        <v>69</v>
      </c>
      <c r="H59" s="39" t="s">
        <v>73</v>
      </c>
      <c r="I59" s="70">
        <v>10000000</v>
      </c>
      <c r="J59" s="1"/>
      <c r="K59" s="2"/>
      <c r="L59" s="2"/>
      <c r="M59" s="233">
        <f t="shared" si="0"/>
        <v>10000000</v>
      </c>
      <c r="N59" s="83">
        <v>85450968</v>
      </c>
      <c r="O59" s="84" t="s">
        <v>446</v>
      </c>
      <c r="P59" s="85" t="s">
        <v>557</v>
      </c>
      <c r="Q59" s="98">
        <v>45128</v>
      </c>
      <c r="R59" s="98">
        <v>45128</v>
      </c>
      <c r="S59" s="98">
        <v>45275</v>
      </c>
      <c r="T59" s="35"/>
      <c r="U59" s="3"/>
      <c r="V59" s="3"/>
      <c r="W59" s="3"/>
      <c r="X59" s="70">
        <v>0</v>
      </c>
      <c r="Y59" s="70">
        <v>10000000</v>
      </c>
      <c r="Z59" s="34">
        <v>0</v>
      </c>
      <c r="AA59" s="89">
        <v>36669977</v>
      </c>
      <c r="AB59" s="90" t="s">
        <v>346</v>
      </c>
      <c r="AC59" s="39" t="s">
        <v>196</v>
      </c>
      <c r="AD59" s="39" t="s">
        <v>196</v>
      </c>
      <c r="AE59" s="3"/>
      <c r="AF59" s="97" t="s">
        <v>558</v>
      </c>
      <c r="AG59" s="42" t="s">
        <v>192</v>
      </c>
      <c r="AH59" s="42" t="s">
        <v>192</v>
      </c>
    </row>
    <row r="60" spans="1:34" s="4" customFormat="1" ht="17.25" customHeight="1" x14ac:dyDescent="0.25">
      <c r="A60" s="16">
        <v>891780111</v>
      </c>
      <c r="B60" s="16" t="s">
        <v>54</v>
      </c>
      <c r="C60" s="58" t="s">
        <v>56</v>
      </c>
      <c r="D60" s="16" t="s">
        <v>60</v>
      </c>
      <c r="E60" s="92" t="s">
        <v>559</v>
      </c>
      <c r="F60" s="16" t="s">
        <v>61</v>
      </c>
      <c r="G60" s="39" t="s">
        <v>69</v>
      </c>
      <c r="H60" s="39" t="s">
        <v>73</v>
      </c>
      <c r="I60" s="70">
        <v>12500000</v>
      </c>
      <c r="J60" s="1"/>
      <c r="K60" s="2"/>
      <c r="L60" s="2"/>
      <c r="M60" s="233">
        <f t="shared" si="0"/>
        <v>12500000</v>
      </c>
      <c r="N60" s="83">
        <v>1082886783</v>
      </c>
      <c r="O60" s="84" t="s">
        <v>403</v>
      </c>
      <c r="P60" s="85" t="s">
        <v>560</v>
      </c>
      <c r="Q60" s="98">
        <v>45128</v>
      </c>
      <c r="R60" s="98">
        <v>45128</v>
      </c>
      <c r="S60" s="98">
        <v>45275</v>
      </c>
      <c r="T60" s="35"/>
      <c r="U60" s="3"/>
      <c r="V60" s="3"/>
      <c r="W60" s="3"/>
      <c r="X60" s="70">
        <v>0</v>
      </c>
      <c r="Y60" s="70">
        <v>12500000</v>
      </c>
      <c r="Z60" s="34">
        <v>0</v>
      </c>
      <c r="AA60" s="89">
        <v>7634903</v>
      </c>
      <c r="AB60" s="90" t="s">
        <v>351</v>
      </c>
      <c r="AC60" s="39" t="s">
        <v>196</v>
      </c>
      <c r="AD60" s="39" t="s">
        <v>196</v>
      </c>
      <c r="AE60" s="3"/>
      <c r="AF60" s="97" t="s">
        <v>561</v>
      </c>
      <c r="AG60" s="42" t="s">
        <v>192</v>
      </c>
      <c r="AH60" s="42" t="s">
        <v>192</v>
      </c>
    </row>
    <row r="61" spans="1:34" s="4" customFormat="1" ht="17.25" customHeight="1" x14ac:dyDescent="0.25">
      <c r="A61" s="16">
        <v>891780111</v>
      </c>
      <c r="B61" s="16" t="s">
        <v>54</v>
      </c>
      <c r="C61" s="58" t="s">
        <v>56</v>
      </c>
      <c r="D61" s="16" t="s">
        <v>60</v>
      </c>
      <c r="E61" s="92" t="s">
        <v>562</v>
      </c>
      <c r="F61" s="16" t="s">
        <v>61</v>
      </c>
      <c r="G61" s="39" t="s">
        <v>69</v>
      </c>
      <c r="H61" s="39" t="s">
        <v>73</v>
      </c>
      <c r="I61" s="70">
        <v>6300000</v>
      </c>
      <c r="J61" s="1"/>
      <c r="K61" s="2"/>
      <c r="L61" s="2"/>
      <c r="M61" s="233">
        <f t="shared" si="0"/>
        <v>6300000</v>
      </c>
      <c r="N61" s="83">
        <v>1004347197</v>
      </c>
      <c r="O61" s="84" t="s">
        <v>502</v>
      </c>
      <c r="P61" s="85" t="s">
        <v>563</v>
      </c>
      <c r="Q61" s="98">
        <v>45128</v>
      </c>
      <c r="R61" s="98">
        <v>45128</v>
      </c>
      <c r="S61" s="98">
        <v>45229</v>
      </c>
      <c r="T61" s="35"/>
      <c r="U61" s="3"/>
      <c r="V61" s="3"/>
      <c r="W61" s="3"/>
      <c r="X61" s="70">
        <v>0</v>
      </c>
      <c r="Y61" s="70">
        <v>6300000</v>
      </c>
      <c r="Z61" s="34">
        <v>0</v>
      </c>
      <c r="AA61" s="89">
        <v>12561250</v>
      </c>
      <c r="AB61" s="90" t="s">
        <v>392</v>
      </c>
      <c r="AC61" s="39" t="s">
        <v>196</v>
      </c>
      <c r="AD61" s="39" t="s">
        <v>196</v>
      </c>
      <c r="AE61" s="3"/>
      <c r="AF61" s="97" t="s">
        <v>564</v>
      </c>
      <c r="AG61" s="42" t="s">
        <v>192</v>
      </c>
      <c r="AH61" s="42" t="s">
        <v>192</v>
      </c>
    </row>
    <row r="62" spans="1:34" s="4" customFormat="1" ht="17.25" customHeight="1" x14ac:dyDescent="0.25">
      <c r="A62" s="16">
        <v>891780111</v>
      </c>
      <c r="B62" s="16" t="s">
        <v>54</v>
      </c>
      <c r="C62" s="58" t="s">
        <v>56</v>
      </c>
      <c r="D62" s="16" t="s">
        <v>60</v>
      </c>
      <c r="E62" s="92" t="s">
        <v>565</v>
      </c>
      <c r="F62" s="16" t="s">
        <v>61</v>
      </c>
      <c r="G62" s="39" t="s">
        <v>69</v>
      </c>
      <c r="H62" s="39" t="s">
        <v>73</v>
      </c>
      <c r="I62" s="70">
        <v>12500000</v>
      </c>
      <c r="J62" s="1"/>
      <c r="K62" s="2"/>
      <c r="L62" s="2"/>
      <c r="M62" s="233">
        <f t="shared" si="0"/>
        <v>12500000</v>
      </c>
      <c r="N62" s="83">
        <v>26767399</v>
      </c>
      <c r="O62" s="84" t="s">
        <v>395</v>
      </c>
      <c r="P62" s="85" t="s">
        <v>566</v>
      </c>
      <c r="Q62" s="98">
        <v>45128</v>
      </c>
      <c r="R62" s="98">
        <v>45128</v>
      </c>
      <c r="S62" s="98">
        <v>45275</v>
      </c>
      <c r="T62" s="35"/>
      <c r="U62" s="3"/>
      <c r="V62" s="3"/>
      <c r="W62" s="3"/>
      <c r="X62" s="70">
        <v>0</v>
      </c>
      <c r="Y62" s="70">
        <v>12500000</v>
      </c>
      <c r="Z62" s="34">
        <v>0</v>
      </c>
      <c r="AA62" s="89">
        <v>1082943891</v>
      </c>
      <c r="AB62" s="90" t="s">
        <v>374</v>
      </c>
      <c r="AC62" s="39" t="s">
        <v>196</v>
      </c>
      <c r="AD62" s="39" t="s">
        <v>196</v>
      </c>
      <c r="AE62" s="3"/>
      <c r="AF62" s="97" t="s">
        <v>567</v>
      </c>
      <c r="AG62" s="42" t="s">
        <v>192</v>
      </c>
      <c r="AH62" s="42" t="s">
        <v>192</v>
      </c>
    </row>
    <row r="63" spans="1:34" s="4" customFormat="1" ht="17.25" customHeight="1" x14ac:dyDescent="0.25">
      <c r="A63" s="16">
        <v>891780111</v>
      </c>
      <c r="B63" s="16" t="s">
        <v>54</v>
      </c>
      <c r="C63" s="58" t="s">
        <v>56</v>
      </c>
      <c r="D63" s="16" t="s">
        <v>60</v>
      </c>
      <c r="E63" s="92" t="s">
        <v>568</v>
      </c>
      <c r="F63" s="16" t="s">
        <v>61</v>
      </c>
      <c r="G63" s="39" t="s">
        <v>69</v>
      </c>
      <c r="H63" s="39" t="s">
        <v>73</v>
      </c>
      <c r="I63" s="70">
        <v>9500000</v>
      </c>
      <c r="J63" s="1"/>
      <c r="K63" s="2"/>
      <c r="L63" s="2"/>
      <c r="M63" s="233">
        <f t="shared" si="0"/>
        <v>9500000</v>
      </c>
      <c r="N63" s="83">
        <v>1221971911</v>
      </c>
      <c r="O63" s="84" t="s">
        <v>363</v>
      </c>
      <c r="P63" s="85" t="s">
        <v>569</v>
      </c>
      <c r="Q63" s="98">
        <v>45128</v>
      </c>
      <c r="R63" s="98">
        <v>45128</v>
      </c>
      <c r="S63" s="98">
        <v>45275</v>
      </c>
      <c r="T63" s="35"/>
      <c r="U63" s="3"/>
      <c r="V63" s="3"/>
      <c r="W63" s="3"/>
      <c r="X63" s="70">
        <v>0</v>
      </c>
      <c r="Y63" s="70">
        <v>9500000</v>
      </c>
      <c r="Z63" s="34">
        <v>0</v>
      </c>
      <c r="AA63" s="89">
        <v>1098669877</v>
      </c>
      <c r="AB63" s="90" t="s">
        <v>365</v>
      </c>
      <c r="AC63" s="39" t="s">
        <v>196</v>
      </c>
      <c r="AD63" s="39" t="s">
        <v>196</v>
      </c>
      <c r="AE63" s="3"/>
      <c r="AF63" s="97" t="s">
        <v>570</v>
      </c>
      <c r="AG63" s="42" t="s">
        <v>192</v>
      </c>
      <c r="AH63" s="42" t="s">
        <v>192</v>
      </c>
    </row>
    <row r="64" spans="1:34" s="4" customFormat="1" ht="17.25" customHeight="1" x14ac:dyDescent="0.25">
      <c r="A64" s="16">
        <v>891780111</v>
      </c>
      <c r="B64" s="16" t="s">
        <v>54</v>
      </c>
      <c r="C64" s="58" t="s">
        <v>56</v>
      </c>
      <c r="D64" s="16" t="s">
        <v>60</v>
      </c>
      <c r="E64" s="92" t="s">
        <v>571</v>
      </c>
      <c r="F64" s="16" t="s">
        <v>61</v>
      </c>
      <c r="G64" s="39" t="s">
        <v>69</v>
      </c>
      <c r="H64" s="39" t="s">
        <v>73</v>
      </c>
      <c r="I64" s="70">
        <v>9500000</v>
      </c>
      <c r="J64" s="1"/>
      <c r="K64" s="2"/>
      <c r="L64" s="2"/>
      <c r="M64" s="233">
        <f t="shared" si="0"/>
        <v>9500000</v>
      </c>
      <c r="N64" s="83">
        <v>1083040456</v>
      </c>
      <c r="O64" s="84" t="s">
        <v>390</v>
      </c>
      <c r="P64" s="85" t="s">
        <v>572</v>
      </c>
      <c r="Q64" s="98">
        <v>45128</v>
      </c>
      <c r="R64" s="98">
        <v>45128</v>
      </c>
      <c r="S64" s="98">
        <v>45275</v>
      </c>
      <c r="T64" s="35"/>
      <c r="U64" s="3"/>
      <c r="V64" s="3"/>
      <c r="W64" s="3"/>
      <c r="X64" s="70">
        <v>0</v>
      </c>
      <c r="Y64" s="70">
        <v>9500000</v>
      </c>
      <c r="Z64" s="34">
        <v>0</v>
      </c>
      <c r="AA64" s="89">
        <v>12561250</v>
      </c>
      <c r="AB64" s="90" t="s">
        <v>392</v>
      </c>
      <c r="AC64" s="39" t="s">
        <v>196</v>
      </c>
      <c r="AD64" s="39" t="s">
        <v>196</v>
      </c>
      <c r="AE64" s="3"/>
      <c r="AF64" s="97" t="s">
        <v>573</v>
      </c>
      <c r="AG64" s="42" t="s">
        <v>192</v>
      </c>
      <c r="AH64" s="42" t="s">
        <v>192</v>
      </c>
    </row>
    <row r="65" spans="1:34" s="4" customFormat="1" ht="17.25" customHeight="1" x14ac:dyDescent="0.25">
      <c r="A65" s="16">
        <v>891780111</v>
      </c>
      <c r="B65" s="16" t="s">
        <v>54</v>
      </c>
      <c r="C65" s="58" t="s">
        <v>56</v>
      </c>
      <c r="D65" s="16" t="s">
        <v>60</v>
      </c>
      <c r="E65" s="92" t="s">
        <v>574</v>
      </c>
      <c r="F65" s="16" t="s">
        <v>61</v>
      </c>
      <c r="G65" s="39" t="s">
        <v>69</v>
      </c>
      <c r="H65" s="39" t="s">
        <v>73</v>
      </c>
      <c r="I65" s="70">
        <v>11500000</v>
      </c>
      <c r="J65" s="1"/>
      <c r="K65" s="2"/>
      <c r="L65" s="2"/>
      <c r="M65" s="233">
        <f t="shared" si="0"/>
        <v>11500000</v>
      </c>
      <c r="N65" s="83">
        <v>1082846537</v>
      </c>
      <c r="O65" s="84" t="s">
        <v>458</v>
      </c>
      <c r="P65" s="85" t="s">
        <v>575</v>
      </c>
      <c r="Q65" s="98">
        <v>45128</v>
      </c>
      <c r="R65" s="98">
        <v>45128</v>
      </c>
      <c r="S65" s="98">
        <v>45275</v>
      </c>
      <c r="T65" s="35"/>
      <c r="U65" s="3"/>
      <c r="V65" s="3"/>
      <c r="W65" s="3"/>
      <c r="X65" s="70">
        <v>0</v>
      </c>
      <c r="Y65" s="70">
        <v>11500000</v>
      </c>
      <c r="Z65" s="34">
        <v>0</v>
      </c>
      <c r="AA65" s="89">
        <v>84457116</v>
      </c>
      <c r="AB65" s="90" t="s">
        <v>443</v>
      </c>
      <c r="AC65" s="39" t="s">
        <v>196</v>
      </c>
      <c r="AD65" s="39" t="s">
        <v>196</v>
      </c>
      <c r="AE65" s="3"/>
      <c r="AF65" s="97" t="s">
        <v>576</v>
      </c>
      <c r="AG65" s="42" t="s">
        <v>192</v>
      </c>
      <c r="AH65" s="42" t="s">
        <v>192</v>
      </c>
    </row>
    <row r="66" spans="1:34" s="4" customFormat="1" ht="17.25" customHeight="1" x14ac:dyDescent="0.25">
      <c r="A66" s="16">
        <v>891780111</v>
      </c>
      <c r="B66" s="16" t="s">
        <v>54</v>
      </c>
      <c r="C66" s="58" t="s">
        <v>56</v>
      </c>
      <c r="D66" s="16" t="s">
        <v>60</v>
      </c>
      <c r="E66" s="92" t="s">
        <v>577</v>
      </c>
      <c r="F66" s="16" t="s">
        <v>61</v>
      </c>
      <c r="G66" s="39" t="s">
        <v>69</v>
      </c>
      <c r="H66" s="39" t="s">
        <v>73</v>
      </c>
      <c r="I66" s="70">
        <v>13500000</v>
      </c>
      <c r="J66" s="1"/>
      <c r="K66" s="2"/>
      <c r="L66" s="2"/>
      <c r="M66" s="233">
        <f t="shared" si="0"/>
        <v>13500000</v>
      </c>
      <c r="N66" s="83">
        <v>36552616</v>
      </c>
      <c r="O66" s="84" t="s">
        <v>466</v>
      </c>
      <c r="P66" s="85" t="s">
        <v>578</v>
      </c>
      <c r="Q66" s="98">
        <v>45128</v>
      </c>
      <c r="R66" s="98">
        <v>45128</v>
      </c>
      <c r="S66" s="98">
        <v>45275</v>
      </c>
      <c r="T66" s="35"/>
      <c r="U66" s="3"/>
      <c r="V66" s="3"/>
      <c r="W66" s="3"/>
      <c r="X66" s="70">
        <v>0</v>
      </c>
      <c r="Y66" s="70">
        <v>13500000</v>
      </c>
      <c r="Z66" s="34">
        <v>0</v>
      </c>
      <c r="AA66" s="89">
        <v>7634903</v>
      </c>
      <c r="AB66" s="90" t="s">
        <v>351</v>
      </c>
      <c r="AC66" s="39" t="s">
        <v>196</v>
      </c>
      <c r="AD66" s="39" t="s">
        <v>196</v>
      </c>
      <c r="AE66" s="3"/>
      <c r="AF66" s="97" t="s">
        <v>579</v>
      </c>
      <c r="AG66" s="42" t="s">
        <v>192</v>
      </c>
      <c r="AH66" s="42" t="s">
        <v>192</v>
      </c>
    </row>
    <row r="67" spans="1:34" s="4" customFormat="1" ht="17.25" customHeight="1" x14ac:dyDescent="0.25">
      <c r="A67" s="16">
        <v>891780111</v>
      </c>
      <c r="B67" s="16" t="s">
        <v>54</v>
      </c>
      <c r="C67" s="58" t="s">
        <v>56</v>
      </c>
      <c r="D67" s="16" t="s">
        <v>60</v>
      </c>
      <c r="E67" s="92" t="s">
        <v>580</v>
      </c>
      <c r="F67" s="16" t="s">
        <v>61</v>
      </c>
      <c r="G67" s="39" t="s">
        <v>69</v>
      </c>
      <c r="H67" s="39" t="s">
        <v>73</v>
      </c>
      <c r="I67" s="70">
        <v>9500000</v>
      </c>
      <c r="J67" s="1"/>
      <c r="K67" s="2"/>
      <c r="L67" s="2"/>
      <c r="M67" s="233">
        <f t="shared" si="0"/>
        <v>9500000</v>
      </c>
      <c r="N67" s="83">
        <v>1082956756</v>
      </c>
      <c r="O67" s="84" t="s">
        <v>386</v>
      </c>
      <c r="P67" s="85" t="s">
        <v>581</v>
      </c>
      <c r="Q67" s="98">
        <v>45128</v>
      </c>
      <c r="R67" s="98">
        <v>45128</v>
      </c>
      <c r="S67" s="98">
        <v>45275</v>
      </c>
      <c r="T67" s="35"/>
      <c r="U67" s="3"/>
      <c r="V67" s="3"/>
      <c r="W67" s="3"/>
      <c r="X67" s="70">
        <v>0</v>
      </c>
      <c r="Y67" s="70">
        <v>9500000</v>
      </c>
      <c r="Z67" s="34">
        <v>0</v>
      </c>
      <c r="AA67" s="89">
        <v>1082900194</v>
      </c>
      <c r="AB67" s="90" t="s">
        <v>383</v>
      </c>
      <c r="AC67" s="39" t="s">
        <v>196</v>
      </c>
      <c r="AD67" s="39" t="s">
        <v>196</v>
      </c>
      <c r="AE67" s="3"/>
      <c r="AF67" s="97" t="s">
        <v>582</v>
      </c>
      <c r="AG67" s="42" t="s">
        <v>192</v>
      </c>
      <c r="AH67" s="42" t="s">
        <v>192</v>
      </c>
    </row>
    <row r="68" spans="1:34" s="4" customFormat="1" ht="17.25" customHeight="1" x14ac:dyDescent="0.25">
      <c r="A68" s="16">
        <v>891780111</v>
      </c>
      <c r="B68" s="16" t="s">
        <v>54</v>
      </c>
      <c r="C68" s="58" t="s">
        <v>56</v>
      </c>
      <c r="D68" s="16" t="s">
        <v>60</v>
      </c>
      <c r="E68" s="92" t="s">
        <v>583</v>
      </c>
      <c r="F68" s="16" t="s">
        <v>61</v>
      </c>
      <c r="G68" s="39" t="s">
        <v>69</v>
      </c>
      <c r="H68" s="39" t="s">
        <v>73</v>
      </c>
      <c r="I68" s="70">
        <v>12500000</v>
      </c>
      <c r="J68" s="1"/>
      <c r="K68" s="2"/>
      <c r="L68" s="2"/>
      <c r="M68" s="233">
        <f t="shared" si="0"/>
        <v>12500000</v>
      </c>
      <c r="N68" s="83">
        <v>1082916730</v>
      </c>
      <c r="O68" s="84" t="s">
        <v>381</v>
      </c>
      <c r="P68" s="85" t="s">
        <v>584</v>
      </c>
      <c r="Q68" s="98">
        <v>45128</v>
      </c>
      <c r="R68" s="98">
        <v>45128</v>
      </c>
      <c r="S68" s="98">
        <v>45275</v>
      </c>
      <c r="T68" s="35"/>
      <c r="U68" s="3"/>
      <c r="V68" s="3"/>
      <c r="W68" s="3"/>
      <c r="X68" s="70">
        <v>0</v>
      </c>
      <c r="Y68" s="70">
        <v>12500000</v>
      </c>
      <c r="Z68" s="34">
        <v>0</v>
      </c>
      <c r="AA68" s="89">
        <v>1082900194</v>
      </c>
      <c r="AB68" s="90" t="s">
        <v>383</v>
      </c>
      <c r="AC68" s="39" t="s">
        <v>196</v>
      </c>
      <c r="AD68" s="39" t="s">
        <v>196</v>
      </c>
      <c r="AE68" s="3"/>
      <c r="AF68" s="97" t="s">
        <v>585</v>
      </c>
      <c r="AG68" s="42" t="s">
        <v>192</v>
      </c>
      <c r="AH68" s="42" t="s">
        <v>192</v>
      </c>
    </row>
    <row r="69" spans="1:34" s="4" customFormat="1" ht="17.25" customHeight="1" x14ac:dyDescent="0.25">
      <c r="A69" s="16">
        <v>891780111</v>
      </c>
      <c r="B69" s="16" t="s">
        <v>54</v>
      </c>
      <c r="C69" s="58" t="s">
        <v>56</v>
      </c>
      <c r="D69" s="16" t="s">
        <v>60</v>
      </c>
      <c r="E69" s="92" t="s">
        <v>586</v>
      </c>
      <c r="F69" s="16" t="s">
        <v>61</v>
      </c>
      <c r="G69" s="39" t="s">
        <v>69</v>
      </c>
      <c r="H69" s="39" t="s">
        <v>73</v>
      </c>
      <c r="I69" s="70">
        <v>12500000</v>
      </c>
      <c r="J69" s="1"/>
      <c r="K69" s="2"/>
      <c r="L69" s="2"/>
      <c r="M69" s="233">
        <f t="shared" si="0"/>
        <v>12500000</v>
      </c>
      <c r="N69" s="83">
        <v>36667157</v>
      </c>
      <c r="O69" s="84" t="s">
        <v>411</v>
      </c>
      <c r="P69" s="85" t="s">
        <v>587</v>
      </c>
      <c r="Q69" s="98">
        <v>45128</v>
      </c>
      <c r="R69" s="98">
        <v>45128</v>
      </c>
      <c r="S69" s="98">
        <v>45275</v>
      </c>
      <c r="T69" s="35"/>
      <c r="U69" s="3"/>
      <c r="V69" s="3"/>
      <c r="W69" s="3"/>
      <c r="X69" s="70">
        <v>0</v>
      </c>
      <c r="Y69" s="70">
        <v>12500000</v>
      </c>
      <c r="Z69" s="34">
        <v>0</v>
      </c>
      <c r="AA69" s="89">
        <v>1082900194</v>
      </c>
      <c r="AB69" s="90" t="s">
        <v>383</v>
      </c>
      <c r="AC69" s="39" t="s">
        <v>196</v>
      </c>
      <c r="AD69" s="39" t="s">
        <v>196</v>
      </c>
      <c r="AE69" s="3"/>
      <c r="AF69" s="97" t="s">
        <v>588</v>
      </c>
      <c r="AG69" s="42" t="s">
        <v>192</v>
      </c>
      <c r="AH69" s="42" t="s">
        <v>192</v>
      </c>
    </row>
    <row r="70" spans="1:34" s="4" customFormat="1" ht="17.25" customHeight="1" x14ac:dyDescent="0.25">
      <c r="A70" s="16">
        <v>891780111</v>
      </c>
      <c r="B70" s="16" t="s">
        <v>54</v>
      </c>
      <c r="C70" s="58" t="s">
        <v>56</v>
      </c>
      <c r="D70" s="16" t="s">
        <v>60</v>
      </c>
      <c r="E70" s="92" t="s">
        <v>589</v>
      </c>
      <c r="F70" s="16" t="s">
        <v>61</v>
      </c>
      <c r="G70" s="39" t="s">
        <v>69</v>
      </c>
      <c r="H70" s="39" t="s">
        <v>73</v>
      </c>
      <c r="I70" s="70">
        <v>8500000</v>
      </c>
      <c r="J70" s="1"/>
      <c r="K70" s="2"/>
      <c r="L70" s="2"/>
      <c r="M70" s="233">
        <f t="shared" ref="M70:M75" si="1">+I70+K70-L70</f>
        <v>8500000</v>
      </c>
      <c r="N70" s="83">
        <v>1085175395</v>
      </c>
      <c r="O70" s="84" t="s">
        <v>494</v>
      </c>
      <c r="P70" s="85" t="s">
        <v>590</v>
      </c>
      <c r="Q70" s="98">
        <v>45128</v>
      </c>
      <c r="R70" s="98">
        <v>45128</v>
      </c>
      <c r="S70" s="98">
        <v>45275</v>
      </c>
      <c r="T70" s="35"/>
      <c r="U70" s="3"/>
      <c r="V70" s="3"/>
      <c r="W70" s="3"/>
      <c r="X70" s="70">
        <v>0</v>
      </c>
      <c r="Y70" s="70">
        <v>8500000</v>
      </c>
      <c r="Z70" s="34">
        <v>0</v>
      </c>
      <c r="AA70" s="89">
        <v>36669977</v>
      </c>
      <c r="AB70" s="90" t="s">
        <v>346</v>
      </c>
      <c r="AC70" s="39" t="s">
        <v>196</v>
      </c>
      <c r="AD70" s="39" t="s">
        <v>196</v>
      </c>
      <c r="AE70" s="3"/>
      <c r="AF70" s="97" t="s">
        <v>591</v>
      </c>
      <c r="AG70" s="42" t="s">
        <v>192</v>
      </c>
      <c r="AH70" s="42" t="s">
        <v>192</v>
      </c>
    </row>
    <row r="71" spans="1:34" s="4" customFormat="1" ht="17.25" customHeight="1" x14ac:dyDescent="0.25">
      <c r="A71" s="16">
        <v>891780111</v>
      </c>
      <c r="B71" s="16" t="s">
        <v>54</v>
      </c>
      <c r="C71" s="58" t="s">
        <v>56</v>
      </c>
      <c r="D71" s="16" t="s">
        <v>60</v>
      </c>
      <c r="E71" s="92" t="s">
        <v>592</v>
      </c>
      <c r="F71" s="16" t="s">
        <v>61</v>
      </c>
      <c r="G71" s="39" t="s">
        <v>69</v>
      </c>
      <c r="H71" s="39" t="s">
        <v>73</v>
      </c>
      <c r="I71" s="70">
        <v>11500000</v>
      </c>
      <c r="J71" s="1"/>
      <c r="K71" s="2"/>
      <c r="L71" s="2"/>
      <c r="M71" s="233">
        <f t="shared" si="1"/>
        <v>11500000</v>
      </c>
      <c r="N71" s="83">
        <v>1082891717</v>
      </c>
      <c r="O71" s="84" t="s">
        <v>399</v>
      </c>
      <c r="P71" s="85" t="s">
        <v>593</v>
      </c>
      <c r="Q71" s="98">
        <v>45128</v>
      </c>
      <c r="R71" s="98">
        <v>45128</v>
      </c>
      <c r="S71" s="98">
        <v>45275</v>
      </c>
      <c r="T71" s="35"/>
      <c r="U71" s="3"/>
      <c r="V71" s="3"/>
      <c r="W71" s="3"/>
      <c r="X71" s="70">
        <v>0</v>
      </c>
      <c r="Y71" s="70">
        <v>11500000</v>
      </c>
      <c r="Z71" s="34">
        <v>0</v>
      </c>
      <c r="AA71" s="89">
        <v>1098669877</v>
      </c>
      <c r="AB71" s="90" t="s">
        <v>365</v>
      </c>
      <c r="AC71" s="39" t="s">
        <v>196</v>
      </c>
      <c r="AD71" s="39" t="s">
        <v>196</v>
      </c>
      <c r="AE71" s="3"/>
      <c r="AF71" s="97" t="s">
        <v>594</v>
      </c>
      <c r="AG71" s="42" t="s">
        <v>192</v>
      </c>
      <c r="AH71" s="42" t="s">
        <v>192</v>
      </c>
    </row>
    <row r="72" spans="1:34" s="4" customFormat="1" ht="17.25" customHeight="1" x14ac:dyDescent="0.25">
      <c r="A72" s="16">
        <v>891780111</v>
      </c>
      <c r="B72" s="16" t="s">
        <v>54</v>
      </c>
      <c r="C72" s="58" t="s">
        <v>56</v>
      </c>
      <c r="D72" s="16" t="s">
        <v>60</v>
      </c>
      <c r="E72" s="92" t="s">
        <v>595</v>
      </c>
      <c r="F72" s="16" t="s">
        <v>61</v>
      </c>
      <c r="G72" s="39" t="s">
        <v>69</v>
      </c>
      <c r="H72" s="39" t="s">
        <v>73</v>
      </c>
      <c r="I72" s="70">
        <v>3150000</v>
      </c>
      <c r="J72" s="1"/>
      <c r="K72" s="2"/>
      <c r="L72" s="2"/>
      <c r="M72" s="233">
        <f t="shared" si="1"/>
        <v>3150000</v>
      </c>
      <c r="N72" s="83">
        <v>39049110</v>
      </c>
      <c r="O72" s="84" t="s">
        <v>454</v>
      </c>
      <c r="P72" s="85" t="s">
        <v>596</v>
      </c>
      <c r="Q72" s="98">
        <v>45131</v>
      </c>
      <c r="R72" s="98">
        <v>45131</v>
      </c>
      <c r="S72" s="98">
        <v>45168</v>
      </c>
      <c r="T72" s="35"/>
      <c r="U72" s="3"/>
      <c r="V72" s="3"/>
      <c r="W72" s="3"/>
      <c r="X72" s="70">
        <v>0</v>
      </c>
      <c r="Y72" s="70">
        <v>3150000</v>
      </c>
      <c r="Z72" s="34">
        <v>0</v>
      </c>
      <c r="AA72" s="86">
        <v>1045725304</v>
      </c>
      <c r="AB72" s="72" t="s">
        <v>421</v>
      </c>
      <c r="AC72" s="39" t="s">
        <v>196</v>
      </c>
      <c r="AD72" s="39" t="s">
        <v>196</v>
      </c>
      <c r="AE72" s="3"/>
      <c r="AF72" s="97" t="s">
        <v>597</v>
      </c>
      <c r="AG72" s="42" t="s">
        <v>192</v>
      </c>
      <c r="AH72" s="42" t="s">
        <v>192</v>
      </c>
    </row>
    <row r="73" spans="1:34" s="4" customFormat="1" ht="17.25" customHeight="1" x14ac:dyDescent="0.25">
      <c r="A73" s="16">
        <v>891780111</v>
      </c>
      <c r="B73" s="16" t="s">
        <v>54</v>
      </c>
      <c r="C73" s="58" t="s">
        <v>56</v>
      </c>
      <c r="D73" s="16" t="s">
        <v>60</v>
      </c>
      <c r="E73" s="92" t="s">
        <v>598</v>
      </c>
      <c r="F73" s="16" t="s">
        <v>61</v>
      </c>
      <c r="G73" s="39" t="s">
        <v>69</v>
      </c>
      <c r="H73" s="39" t="s">
        <v>73</v>
      </c>
      <c r="I73" s="70">
        <v>12500000</v>
      </c>
      <c r="J73" s="1"/>
      <c r="K73" s="2"/>
      <c r="L73" s="2"/>
      <c r="M73" s="233">
        <f t="shared" si="1"/>
        <v>12500000</v>
      </c>
      <c r="N73" s="83">
        <v>1129567153</v>
      </c>
      <c r="O73" s="84" t="s">
        <v>470</v>
      </c>
      <c r="P73" s="85" t="s">
        <v>599</v>
      </c>
      <c r="Q73" s="98">
        <v>45132</v>
      </c>
      <c r="R73" s="98">
        <v>45132</v>
      </c>
      <c r="S73" s="98">
        <v>45275</v>
      </c>
      <c r="T73" s="35"/>
      <c r="U73" s="3"/>
      <c r="V73" s="3"/>
      <c r="W73" s="3"/>
      <c r="X73" s="70">
        <v>0</v>
      </c>
      <c r="Y73" s="70">
        <v>12500000</v>
      </c>
      <c r="Z73" s="34">
        <v>0</v>
      </c>
      <c r="AA73" s="89">
        <v>7634903</v>
      </c>
      <c r="AB73" s="90" t="s">
        <v>351</v>
      </c>
      <c r="AC73" s="39" t="s">
        <v>196</v>
      </c>
      <c r="AD73" s="39" t="s">
        <v>196</v>
      </c>
      <c r="AE73" s="3"/>
      <c r="AF73" s="97" t="s">
        <v>600</v>
      </c>
      <c r="AG73" s="42" t="s">
        <v>192</v>
      </c>
      <c r="AH73" s="42" t="s">
        <v>192</v>
      </c>
    </row>
    <row r="74" spans="1:34" s="4" customFormat="1" ht="17.25" customHeight="1" x14ac:dyDescent="0.25">
      <c r="A74" s="16">
        <v>891780111</v>
      </c>
      <c r="B74" s="16" t="s">
        <v>54</v>
      </c>
      <c r="C74" s="58" t="s">
        <v>56</v>
      </c>
      <c r="D74" s="16" t="s">
        <v>60</v>
      </c>
      <c r="E74" s="92" t="s">
        <v>601</v>
      </c>
      <c r="F74" s="16" t="s">
        <v>61</v>
      </c>
      <c r="G74" s="39" t="s">
        <v>69</v>
      </c>
      <c r="H74" s="39" t="s">
        <v>73</v>
      </c>
      <c r="I74" s="70">
        <v>11000000</v>
      </c>
      <c r="J74" s="1"/>
      <c r="K74" s="2"/>
      <c r="L74" s="2"/>
      <c r="M74" s="233">
        <f t="shared" si="1"/>
        <v>11000000</v>
      </c>
      <c r="N74" s="83">
        <v>57464026</v>
      </c>
      <c r="O74" s="84" t="s">
        <v>419</v>
      </c>
      <c r="P74" s="85" t="s">
        <v>602</v>
      </c>
      <c r="Q74" s="98">
        <v>45132</v>
      </c>
      <c r="R74" s="98">
        <v>45132</v>
      </c>
      <c r="S74" s="98">
        <v>45275</v>
      </c>
      <c r="T74" s="35"/>
      <c r="U74" s="3"/>
      <c r="V74" s="3"/>
      <c r="W74" s="3"/>
      <c r="X74" s="70">
        <v>0</v>
      </c>
      <c r="Y74" s="70">
        <v>11000000</v>
      </c>
      <c r="Z74" s="34">
        <v>0</v>
      </c>
      <c r="AA74" s="86">
        <v>1045725304</v>
      </c>
      <c r="AB74" s="72" t="s">
        <v>421</v>
      </c>
      <c r="AC74" s="39" t="s">
        <v>196</v>
      </c>
      <c r="AD74" s="39" t="s">
        <v>196</v>
      </c>
      <c r="AE74" s="3"/>
      <c r="AF74" s="97" t="s">
        <v>603</v>
      </c>
      <c r="AG74" s="42" t="s">
        <v>192</v>
      </c>
      <c r="AH74" s="42" t="s">
        <v>192</v>
      </c>
    </row>
    <row r="75" spans="1:34" s="4" customFormat="1" ht="17.25" customHeight="1" x14ac:dyDescent="0.25">
      <c r="A75" s="16">
        <v>891780111</v>
      </c>
      <c r="B75" s="16" t="s">
        <v>54</v>
      </c>
      <c r="C75" s="58" t="s">
        <v>56</v>
      </c>
      <c r="D75" s="16" t="s">
        <v>60</v>
      </c>
      <c r="E75" s="92" t="s">
        <v>604</v>
      </c>
      <c r="F75" s="16" t="s">
        <v>61</v>
      </c>
      <c r="G75" s="39" t="s">
        <v>69</v>
      </c>
      <c r="H75" s="39" t="s">
        <v>73</v>
      </c>
      <c r="I75" s="70">
        <v>11000000</v>
      </c>
      <c r="J75" s="1"/>
      <c r="K75" s="2"/>
      <c r="L75" s="2"/>
      <c r="M75" s="233">
        <f t="shared" si="1"/>
        <v>11000000</v>
      </c>
      <c r="N75" s="83">
        <v>1083041701</v>
      </c>
      <c r="O75" s="84" t="s">
        <v>415</v>
      </c>
      <c r="P75" s="85" t="s">
        <v>605</v>
      </c>
      <c r="Q75" s="98">
        <v>45132</v>
      </c>
      <c r="R75" s="98">
        <v>45132</v>
      </c>
      <c r="S75" s="98">
        <v>45275</v>
      </c>
      <c r="T75" s="35"/>
      <c r="U75" s="3"/>
      <c r="V75" s="3"/>
      <c r="W75" s="3"/>
      <c r="X75" s="70">
        <v>0</v>
      </c>
      <c r="Y75" s="70">
        <v>11000000</v>
      </c>
      <c r="Z75" s="34">
        <v>0</v>
      </c>
      <c r="AA75" s="89">
        <v>12561250</v>
      </c>
      <c r="AB75" s="90" t="s">
        <v>392</v>
      </c>
      <c r="AC75" s="39" t="s">
        <v>196</v>
      </c>
      <c r="AD75" s="39" t="s">
        <v>196</v>
      </c>
      <c r="AE75" s="3"/>
      <c r="AF75" s="97" t="s">
        <v>606</v>
      </c>
      <c r="AG75" s="42" t="s">
        <v>192</v>
      </c>
      <c r="AH75" s="42" t="s">
        <v>192</v>
      </c>
    </row>
    <row r="76" spans="1:34" s="5" customFormat="1" x14ac:dyDescent="0.25">
      <c r="A76" s="10"/>
      <c r="B76" s="11"/>
      <c r="C76" s="188" t="s">
        <v>311</v>
      </c>
      <c r="D76" s="12"/>
      <c r="E76" s="188">
        <v>71</v>
      </c>
      <c r="F76" s="11"/>
      <c r="G76" s="11"/>
      <c r="H76" s="12"/>
      <c r="I76" s="13">
        <v>766676430</v>
      </c>
      <c r="J76" s="11">
        <v>1</v>
      </c>
      <c r="K76" s="13">
        <v>1700000</v>
      </c>
      <c r="L76" s="13">
        <v>0</v>
      </c>
      <c r="M76" s="196">
        <f>SUM(M5:M75)</f>
        <v>768376430</v>
      </c>
      <c r="N76" s="11"/>
      <c r="O76" s="11"/>
      <c r="P76" s="11"/>
      <c r="Q76" s="11"/>
      <c r="R76" s="11"/>
      <c r="S76" s="11"/>
      <c r="T76" s="11"/>
      <c r="U76" s="11"/>
      <c r="V76" s="11"/>
      <c r="W76" s="11"/>
      <c r="X76" s="13">
        <f>SUM(X5:X75)</f>
        <v>432121000</v>
      </c>
      <c r="Y76" s="13">
        <f>SUM(Y5:Y75)</f>
        <v>336255430</v>
      </c>
      <c r="Z76" s="69"/>
      <c r="AA76" s="11"/>
      <c r="AB76" s="11"/>
      <c r="AC76" s="11"/>
      <c r="AD76" s="11"/>
      <c r="AE76" s="11"/>
      <c r="AF76" s="11"/>
      <c r="AG76" s="11"/>
      <c r="AH76" s="11"/>
    </row>
    <row r="78" spans="1:34" x14ac:dyDescent="0.25">
      <c r="Y78" s="8"/>
    </row>
  </sheetData>
  <mergeCells count="7">
    <mergeCell ref="AF3:AH3"/>
    <mergeCell ref="A1:D1"/>
    <mergeCell ref="G1:H1"/>
    <mergeCell ref="A2:C2"/>
    <mergeCell ref="D2:F2"/>
    <mergeCell ref="G2:H3"/>
    <mergeCell ref="K2:P3"/>
  </mergeCells>
  <conditionalFormatting sqref="D2">
    <cfRule type="containsText" dxfId="28" priority="2" operator="containsText" text="Seleccione Ordenador">
      <formula>NOT(ISERROR(SEARCH("Seleccione Ordenador",D2)))</formula>
    </cfRule>
  </conditionalFormatting>
  <conditionalFormatting sqref="E1">
    <cfRule type="containsText" dxfId="27" priority="1" operator="containsText" text="Seleccione Periodo">
      <formula>NOT(ISERROR(SEARCH("Seleccione Periodo",E1)))</formula>
    </cfRule>
  </conditionalFormatting>
  <dataValidations count="9">
    <dataValidation type="list" allowBlank="1" showInputMessage="1" showErrorMessage="1" sqref="T5:T75" xr:uid="{BFEA67C1-966B-4021-B9CE-A4CA4CB93F3D}">
      <formula1>"SI,N/A"</formula1>
    </dataValidation>
    <dataValidation type="list" allowBlank="1" showInputMessage="1" showErrorMessage="1" sqref="AC5:AD75" xr:uid="{7686EED9-A61E-45C1-AD5F-F4903BAAD707}">
      <formula1>"SI,NO"</formula1>
    </dataValidation>
    <dataValidation type="list" allowBlank="1" showInputMessage="1" showErrorMessage="1" sqref="AH5:AH75" xr:uid="{CDA1D169-D2B8-47AD-875A-3AB3CEBCE511}">
      <formula1>"SI,NA por TIPO Contrato"</formula1>
    </dataValidation>
    <dataValidation type="list" allowBlank="1" showInputMessage="1" showErrorMessage="1" sqref="AG5:AG75" xr:uid="{88C15AE6-351A-4257-BABB-550E3B333976}">
      <formula1>"SI,NO HA INICIADO"</formula1>
    </dataValidation>
    <dataValidation type="list" allowBlank="1" showInputMessage="1" showErrorMessage="1" sqref="H5:H75" xr:uid="{67FB743A-3A28-46AB-AC28-DBF073DFB10C}">
      <formula1>tipologia</formula1>
    </dataValidation>
    <dataValidation type="list" allowBlank="1" showInputMessage="1" showErrorMessage="1" sqref="G5:G75" xr:uid="{11265695-C242-4421-90DF-01BC975CCB4E}">
      <formula1>modalidad</formula1>
    </dataValidation>
    <dataValidation type="list" allowBlank="1" showInputMessage="1" showErrorMessage="1" sqref="C5:C75" xr:uid="{D0D20264-8FC5-4F9E-98B7-81D65B8C8FA2}">
      <formula1>rubro</formula1>
    </dataValidation>
    <dataValidation type="list" allowBlank="1" showInputMessage="1" showErrorMessage="1" sqref="E1" xr:uid="{31E3C5CC-034F-4CAA-9396-A76203EDA5AF}">
      <formula1>cortea</formula1>
    </dataValidation>
    <dataValidation type="list" allowBlank="1" showInputMessage="1" showErrorMessage="1" sqref="D2" xr:uid="{B06CBD7B-BEDE-462A-9089-C9740694CC30}">
      <formula1>Delegatarios</formula1>
    </dataValidation>
  </dataValidations>
  <pageMargins left="0" right="0" top="0" bottom="0" header="0.3" footer="0.3"/>
  <pageSetup paperSize="5"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589A-A6BA-4505-A125-4493C05C3EF8}">
  <sheetPr>
    <tabColor theme="8" tint="0.59999389629810485"/>
  </sheetPr>
  <dimension ref="A1:AH204"/>
  <sheetViews>
    <sheetView topLeftCell="A2" zoomScaleNormal="100" zoomScaleSheetLayoutView="100" workbookViewId="0">
      <selection activeCell="I5" sqref="I5"/>
    </sheetView>
  </sheetViews>
  <sheetFormatPr baseColWidth="10" defaultRowHeight="15" x14ac:dyDescent="0.25"/>
  <cols>
    <col min="1" max="1" width="7.28515625" customWidth="1"/>
    <col min="2" max="2" width="10.5703125" customWidth="1"/>
    <col min="3" max="3" width="20.5703125" customWidth="1"/>
    <col min="4" max="4" width="9" customWidth="1"/>
    <col min="5" max="5" width="20.7109375" bestFit="1" customWidth="1"/>
    <col min="6" max="6" width="7.5703125" customWidth="1"/>
    <col min="7" max="7" width="14.7109375" customWidth="1"/>
    <col min="8" max="8" width="12.85546875" customWidth="1"/>
    <col min="9" max="9" width="20" style="8" bestFit="1" customWidth="1"/>
    <col min="10" max="10" width="16.140625" customWidth="1"/>
    <col min="11" max="11" width="17.140625" bestFit="1" customWidth="1"/>
    <col min="12" max="12" width="12.28515625" customWidth="1"/>
    <col min="13" max="13" width="20" bestFit="1" customWidth="1"/>
    <col min="14" max="14" width="12.7109375" customWidth="1"/>
    <col min="17" max="17" width="15.5703125" customWidth="1"/>
    <col min="18" max="18" width="14.42578125" customWidth="1"/>
    <col min="19" max="22" width="12.5703125" customWidth="1"/>
    <col min="23" max="23" width="20.5703125" customWidth="1"/>
    <col min="24" max="25" width="18.85546875" bestFit="1" customWidth="1"/>
    <col min="26" max="26" width="11.42578125" style="32"/>
    <col min="27" max="27" width="14.42578125" customWidth="1"/>
    <col min="28" max="28" width="14.7109375" customWidth="1"/>
    <col min="31" max="31" width="14.85546875" customWidth="1"/>
    <col min="32" max="33" width="8.42578125" customWidth="1"/>
    <col min="34" max="34" width="19" bestFit="1" customWidth="1"/>
    <col min="35" max="39" width="11"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37</v>
      </c>
      <c r="E2" s="336"/>
      <c r="F2" s="336"/>
      <c r="G2" s="337" t="s">
        <v>99</v>
      </c>
      <c r="H2" s="337"/>
      <c r="I2" s="21">
        <v>250</v>
      </c>
      <c r="J2" s="22" t="s">
        <v>85</v>
      </c>
      <c r="K2" s="339" t="s">
        <v>87</v>
      </c>
      <c r="L2" s="339"/>
      <c r="M2" s="339"/>
      <c r="N2" s="339"/>
      <c r="O2" s="339"/>
      <c r="P2" s="339"/>
    </row>
    <row r="3" spans="1:34" ht="15" customHeight="1" x14ac:dyDescent="0.25">
      <c r="G3" s="338"/>
      <c r="H3" s="338"/>
      <c r="I3" s="21">
        <f>I2*I1</f>
        <v>290000000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x14ac:dyDescent="0.2">
      <c r="A5" s="38">
        <v>891780111</v>
      </c>
      <c r="B5" s="38" t="s">
        <v>54</v>
      </c>
      <c r="C5" s="85" t="s">
        <v>56</v>
      </c>
      <c r="D5" s="38" t="s">
        <v>60</v>
      </c>
      <c r="E5" s="39" t="s">
        <v>5366</v>
      </c>
      <c r="F5" s="38" t="s">
        <v>61</v>
      </c>
      <c r="G5" s="85" t="s">
        <v>61</v>
      </c>
      <c r="H5" s="85" t="s">
        <v>73</v>
      </c>
      <c r="I5" s="36">
        <v>70000000</v>
      </c>
      <c r="J5" s="325"/>
      <c r="K5" s="328"/>
      <c r="L5" s="61"/>
      <c r="M5" s="40">
        <f>+I5+K5-L5</f>
        <v>70000000</v>
      </c>
      <c r="N5" s="39">
        <v>900880521</v>
      </c>
      <c r="O5" s="39" t="s">
        <v>5367</v>
      </c>
      <c r="P5" s="39" t="s">
        <v>5368</v>
      </c>
      <c r="Q5" s="41" t="s">
        <v>5369</v>
      </c>
      <c r="R5" s="41" t="s">
        <v>5369</v>
      </c>
      <c r="S5" s="41" t="s">
        <v>4836</v>
      </c>
      <c r="T5" s="41" t="s">
        <v>612</v>
      </c>
      <c r="U5" s="41"/>
      <c r="V5" s="41"/>
      <c r="W5" s="236"/>
      <c r="X5" s="237">
        <v>39237742.43</v>
      </c>
      <c r="Y5" s="36">
        <f t="shared" ref="Y5:Y201" si="0">M5-X5</f>
        <v>30762257.57</v>
      </c>
      <c r="Z5" s="37">
        <f t="shared" ref="Z5:Z201" si="1">+(X5/M5)</f>
        <v>0.56053917757142857</v>
      </c>
      <c r="AA5" s="85">
        <v>57444673</v>
      </c>
      <c r="AB5" s="85" t="s">
        <v>5370</v>
      </c>
      <c r="AC5" s="85" t="s">
        <v>196</v>
      </c>
      <c r="AD5" s="85" t="s">
        <v>196</v>
      </c>
      <c r="AE5" s="236">
        <v>44951</v>
      </c>
      <c r="AF5" s="238" t="s">
        <v>5371</v>
      </c>
      <c r="AG5" s="85" t="s">
        <v>192</v>
      </c>
      <c r="AH5" s="85" t="s">
        <v>191</v>
      </c>
    </row>
    <row r="6" spans="1:34" s="4" customFormat="1" x14ac:dyDescent="0.2">
      <c r="A6" s="16">
        <v>891780111</v>
      </c>
      <c r="B6" s="16" t="s">
        <v>54</v>
      </c>
      <c r="C6" s="85" t="s">
        <v>56</v>
      </c>
      <c r="D6" s="16" t="s">
        <v>60</v>
      </c>
      <c r="E6" s="1" t="s">
        <v>5372</v>
      </c>
      <c r="F6" s="16" t="s">
        <v>61</v>
      </c>
      <c r="G6" s="85" t="s">
        <v>61</v>
      </c>
      <c r="H6" s="85" t="s">
        <v>73</v>
      </c>
      <c r="I6" s="9">
        <v>65000000</v>
      </c>
      <c r="J6" s="94"/>
      <c r="K6" s="312"/>
      <c r="L6" s="2"/>
      <c r="M6" s="40">
        <f t="shared" ref="M6:M69" si="2">+I6+K6-L6</f>
        <v>65000000</v>
      </c>
      <c r="N6" s="1">
        <v>900156270</v>
      </c>
      <c r="O6" s="1" t="s">
        <v>5373</v>
      </c>
      <c r="P6" s="1" t="s">
        <v>5374</v>
      </c>
      <c r="Q6" s="3">
        <v>44957</v>
      </c>
      <c r="R6" s="3">
        <v>44965</v>
      </c>
      <c r="S6" s="3">
        <v>44969</v>
      </c>
      <c r="T6" s="41" t="s">
        <v>612</v>
      </c>
      <c r="U6" s="3"/>
      <c r="V6" s="3"/>
      <c r="W6" s="236"/>
      <c r="X6" s="237">
        <v>65000000</v>
      </c>
      <c r="Y6" s="9">
        <f t="shared" si="0"/>
        <v>0</v>
      </c>
      <c r="Z6" s="34">
        <f t="shared" si="1"/>
        <v>1</v>
      </c>
      <c r="AA6" s="85">
        <v>85465146</v>
      </c>
      <c r="AB6" s="85" t="s">
        <v>4857</v>
      </c>
      <c r="AC6" s="85" t="s">
        <v>196</v>
      </c>
      <c r="AD6" s="85" t="s">
        <v>196</v>
      </c>
      <c r="AE6" s="236">
        <v>44964</v>
      </c>
      <c r="AF6" s="238" t="s">
        <v>5375</v>
      </c>
      <c r="AG6" s="85" t="s">
        <v>192</v>
      </c>
      <c r="AH6" s="85" t="s">
        <v>191</v>
      </c>
    </row>
    <row r="7" spans="1:34" s="4" customFormat="1" x14ac:dyDescent="0.2">
      <c r="A7" s="16">
        <v>891780111</v>
      </c>
      <c r="B7" s="16" t="s">
        <v>54</v>
      </c>
      <c r="C7" s="85" t="s">
        <v>56</v>
      </c>
      <c r="D7" s="16" t="s">
        <v>60</v>
      </c>
      <c r="E7" s="1" t="s">
        <v>5376</v>
      </c>
      <c r="F7" s="16" t="s">
        <v>61</v>
      </c>
      <c r="G7" s="85" t="s">
        <v>61</v>
      </c>
      <c r="H7" s="85" t="s">
        <v>73</v>
      </c>
      <c r="I7" s="9">
        <v>59547600</v>
      </c>
      <c r="J7" s="94"/>
      <c r="K7" s="312"/>
      <c r="L7" s="2"/>
      <c r="M7" s="40">
        <f t="shared" si="2"/>
        <v>59547600</v>
      </c>
      <c r="N7" s="1">
        <v>900726297</v>
      </c>
      <c r="O7" s="1" t="s">
        <v>5377</v>
      </c>
      <c r="P7" s="1" t="s">
        <v>5378</v>
      </c>
      <c r="Q7" s="3" t="s">
        <v>5379</v>
      </c>
      <c r="R7" s="3" t="s">
        <v>5380</v>
      </c>
      <c r="S7" s="3" t="s">
        <v>5381</v>
      </c>
      <c r="T7" s="41" t="s">
        <v>612</v>
      </c>
      <c r="U7" s="3"/>
      <c r="V7" s="3"/>
      <c r="W7" s="236"/>
      <c r="X7" s="237">
        <v>59547600</v>
      </c>
      <c r="Y7" s="9">
        <f t="shared" si="0"/>
        <v>0</v>
      </c>
      <c r="Z7" s="34">
        <f t="shared" si="1"/>
        <v>1</v>
      </c>
      <c r="AA7" s="85">
        <v>85465146</v>
      </c>
      <c r="AB7" s="85" t="s">
        <v>4857</v>
      </c>
      <c r="AC7" s="85" t="s">
        <v>196</v>
      </c>
      <c r="AD7" s="85" t="s">
        <v>196</v>
      </c>
      <c r="AE7" s="236">
        <v>44966</v>
      </c>
      <c r="AF7" s="238" t="s">
        <v>5382</v>
      </c>
      <c r="AG7" s="85" t="s">
        <v>192</v>
      </c>
      <c r="AH7" s="85" t="s">
        <v>191</v>
      </c>
    </row>
    <row r="8" spans="1:34" s="4" customFormat="1" x14ac:dyDescent="0.2">
      <c r="A8" s="16">
        <v>891780111</v>
      </c>
      <c r="B8" s="16" t="s">
        <v>54</v>
      </c>
      <c r="C8" s="85" t="s">
        <v>57</v>
      </c>
      <c r="D8" s="16" t="s">
        <v>60</v>
      </c>
      <c r="E8" s="1" t="s">
        <v>5383</v>
      </c>
      <c r="F8" s="16" t="s">
        <v>61</v>
      </c>
      <c r="G8" s="85" t="s">
        <v>61</v>
      </c>
      <c r="H8" s="85" t="s">
        <v>73</v>
      </c>
      <c r="I8" s="9">
        <v>25585000</v>
      </c>
      <c r="J8" s="94"/>
      <c r="K8" s="312"/>
      <c r="L8" s="2"/>
      <c r="M8" s="40">
        <f t="shared" si="2"/>
        <v>25585000</v>
      </c>
      <c r="N8" s="1">
        <v>900192835</v>
      </c>
      <c r="O8" s="1" t="s">
        <v>5384</v>
      </c>
      <c r="P8" s="1" t="s">
        <v>5385</v>
      </c>
      <c r="Q8" s="3" t="s">
        <v>5380</v>
      </c>
      <c r="R8" s="3" t="s">
        <v>5386</v>
      </c>
      <c r="S8" s="3" t="s">
        <v>5387</v>
      </c>
      <c r="T8" s="41" t="s">
        <v>612</v>
      </c>
      <c r="U8" s="3"/>
      <c r="V8" s="3"/>
      <c r="W8" s="236"/>
      <c r="X8" s="237">
        <v>25585000</v>
      </c>
      <c r="Y8" s="9">
        <f t="shared" si="0"/>
        <v>0</v>
      </c>
      <c r="Z8" s="34">
        <f t="shared" si="1"/>
        <v>1</v>
      </c>
      <c r="AA8" s="85">
        <v>57438212</v>
      </c>
      <c r="AB8" s="85" t="s">
        <v>5388</v>
      </c>
      <c r="AC8" s="85" t="s">
        <v>196</v>
      </c>
      <c r="AD8" s="85" t="s">
        <v>196</v>
      </c>
      <c r="AE8" s="236"/>
      <c r="AF8" s="238" t="s">
        <v>5389</v>
      </c>
      <c r="AG8" s="85" t="s">
        <v>192</v>
      </c>
      <c r="AH8" s="85" t="s">
        <v>191</v>
      </c>
    </row>
    <row r="9" spans="1:34" s="4" customFormat="1" x14ac:dyDescent="0.2">
      <c r="A9" s="16">
        <v>891780111</v>
      </c>
      <c r="B9" s="16" t="s">
        <v>54</v>
      </c>
      <c r="C9" s="85" t="s">
        <v>57</v>
      </c>
      <c r="D9" s="16" t="s">
        <v>60</v>
      </c>
      <c r="E9" s="1" t="s">
        <v>5390</v>
      </c>
      <c r="F9" s="16" t="s">
        <v>61</v>
      </c>
      <c r="G9" s="85" t="s">
        <v>61</v>
      </c>
      <c r="H9" s="85" t="s">
        <v>73</v>
      </c>
      <c r="I9" s="9">
        <v>24317370</v>
      </c>
      <c r="J9" s="94"/>
      <c r="K9" s="312"/>
      <c r="L9" s="2"/>
      <c r="M9" s="40">
        <f t="shared" si="2"/>
        <v>24317370</v>
      </c>
      <c r="N9" s="1">
        <v>804007617</v>
      </c>
      <c r="O9" s="1" t="s">
        <v>5391</v>
      </c>
      <c r="P9" s="1" t="s">
        <v>5392</v>
      </c>
      <c r="Q9" s="3" t="s">
        <v>5393</v>
      </c>
      <c r="R9" s="3" t="s">
        <v>5393</v>
      </c>
      <c r="S9" s="3" t="s">
        <v>4836</v>
      </c>
      <c r="T9" s="41" t="s">
        <v>612</v>
      </c>
      <c r="U9" s="3"/>
      <c r="V9" s="3"/>
      <c r="W9" s="236"/>
      <c r="X9" s="237">
        <v>10912680</v>
      </c>
      <c r="Y9" s="9">
        <f t="shared" si="0"/>
        <v>13404690</v>
      </c>
      <c r="Z9" s="34">
        <f t="shared" si="1"/>
        <v>0.44876070068432566</v>
      </c>
      <c r="AA9" s="85">
        <v>85152695</v>
      </c>
      <c r="AB9" s="85" t="s">
        <v>4890</v>
      </c>
      <c r="AC9" s="85" t="s">
        <v>196</v>
      </c>
      <c r="AD9" s="85" t="s">
        <v>196</v>
      </c>
      <c r="AE9" s="236"/>
      <c r="AF9" s="238" t="s">
        <v>5394</v>
      </c>
      <c r="AG9" s="85" t="s">
        <v>192</v>
      </c>
      <c r="AH9" s="85" t="s">
        <v>191</v>
      </c>
    </row>
    <row r="10" spans="1:34" s="4" customFormat="1" x14ac:dyDescent="0.2">
      <c r="A10" s="16">
        <v>891780111</v>
      </c>
      <c r="B10" s="16" t="s">
        <v>54</v>
      </c>
      <c r="C10" s="85" t="s">
        <v>57</v>
      </c>
      <c r="D10" s="16" t="s">
        <v>60</v>
      </c>
      <c r="E10" s="1" t="s">
        <v>5395</v>
      </c>
      <c r="F10" s="16" t="s">
        <v>61</v>
      </c>
      <c r="G10" s="85" t="s">
        <v>61</v>
      </c>
      <c r="H10" s="85" t="s">
        <v>73</v>
      </c>
      <c r="I10" s="9">
        <v>84491564</v>
      </c>
      <c r="J10" s="94"/>
      <c r="K10" s="312"/>
      <c r="L10" s="2"/>
      <c r="M10" s="40">
        <f t="shared" si="2"/>
        <v>84491564</v>
      </c>
      <c r="N10" s="1">
        <v>85469738</v>
      </c>
      <c r="O10" s="1" t="s">
        <v>5396</v>
      </c>
      <c r="P10" s="1" t="s">
        <v>5397</v>
      </c>
      <c r="Q10" s="3" t="s">
        <v>5381</v>
      </c>
      <c r="R10" s="3" t="s">
        <v>5381</v>
      </c>
      <c r="S10" s="3" t="s">
        <v>5398</v>
      </c>
      <c r="T10" s="41" t="s">
        <v>612</v>
      </c>
      <c r="U10" s="3"/>
      <c r="V10" s="3"/>
      <c r="W10" s="236"/>
      <c r="X10" s="237">
        <v>84491564</v>
      </c>
      <c r="Y10" s="9">
        <f t="shared" si="0"/>
        <v>0</v>
      </c>
      <c r="Z10" s="34">
        <f t="shared" si="1"/>
        <v>1</v>
      </c>
      <c r="AA10" s="85">
        <v>72175282</v>
      </c>
      <c r="AB10" s="85" t="s">
        <v>5399</v>
      </c>
      <c r="AC10" s="85" t="s">
        <v>196</v>
      </c>
      <c r="AD10" s="85" t="s">
        <v>196</v>
      </c>
      <c r="AE10" s="236">
        <v>44971</v>
      </c>
      <c r="AF10" s="238" t="s">
        <v>5400</v>
      </c>
      <c r="AG10" s="85" t="s">
        <v>192</v>
      </c>
      <c r="AH10" s="85" t="s">
        <v>191</v>
      </c>
    </row>
    <row r="11" spans="1:34" s="43" customFormat="1" x14ac:dyDescent="0.2">
      <c r="A11" s="38">
        <v>891780111</v>
      </c>
      <c r="B11" s="38" t="s">
        <v>54</v>
      </c>
      <c r="C11" s="85" t="s">
        <v>57</v>
      </c>
      <c r="D11" s="38" t="s">
        <v>60</v>
      </c>
      <c r="E11" s="39" t="s">
        <v>5401</v>
      </c>
      <c r="F11" s="38" t="s">
        <v>61</v>
      </c>
      <c r="G11" s="85" t="s">
        <v>61</v>
      </c>
      <c r="H11" s="85" t="s">
        <v>73</v>
      </c>
      <c r="I11" s="36">
        <v>11208000</v>
      </c>
      <c r="J11" s="325"/>
      <c r="K11" s="328"/>
      <c r="L11" s="61"/>
      <c r="M11" s="40">
        <f t="shared" si="2"/>
        <v>11208000</v>
      </c>
      <c r="N11" s="39">
        <v>85477624</v>
      </c>
      <c r="O11" s="39" t="s">
        <v>5402</v>
      </c>
      <c r="P11" s="39" t="s">
        <v>5403</v>
      </c>
      <c r="Q11" s="41" t="s">
        <v>5381</v>
      </c>
      <c r="R11" s="41" t="s">
        <v>5381</v>
      </c>
      <c r="S11" s="41" t="s">
        <v>5398</v>
      </c>
      <c r="T11" s="41" t="s">
        <v>612</v>
      </c>
      <c r="U11" s="41"/>
      <c r="V11" s="41"/>
      <c r="W11" s="236"/>
      <c r="X11" s="237">
        <v>11208000</v>
      </c>
      <c r="Y11" s="36">
        <f t="shared" si="0"/>
        <v>0</v>
      </c>
      <c r="Z11" s="37">
        <f t="shared" si="1"/>
        <v>1</v>
      </c>
      <c r="AA11" s="85">
        <v>72175282</v>
      </c>
      <c r="AB11" s="85" t="s">
        <v>5399</v>
      </c>
      <c r="AC11" s="85" t="s">
        <v>196</v>
      </c>
      <c r="AD11" s="85" t="s">
        <v>196</v>
      </c>
      <c r="AE11" s="236"/>
      <c r="AF11" s="238" t="s">
        <v>5404</v>
      </c>
      <c r="AG11" s="85" t="s">
        <v>192</v>
      </c>
      <c r="AH11" s="85" t="s">
        <v>191</v>
      </c>
    </row>
    <row r="12" spans="1:34" s="4" customFormat="1" x14ac:dyDescent="0.2">
      <c r="A12" s="16">
        <v>891780111</v>
      </c>
      <c r="B12" s="16" t="s">
        <v>54</v>
      </c>
      <c r="C12" s="85" t="s">
        <v>56</v>
      </c>
      <c r="D12" s="16" t="s">
        <v>60</v>
      </c>
      <c r="E12" s="1" t="s">
        <v>5405</v>
      </c>
      <c r="F12" s="16" t="s">
        <v>61</v>
      </c>
      <c r="G12" s="85" t="s">
        <v>61</v>
      </c>
      <c r="H12" s="85" t="s">
        <v>73</v>
      </c>
      <c r="I12" s="9">
        <v>151340396</v>
      </c>
      <c r="J12" s="94"/>
      <c r="K12" s="312"/>
      <c r="L12" s="2"/>
      <c r="M12" s="40">
        <f t="shared" si="2"/>
        <v>151340396</v>
      </c>
      <c r="N12" s="1">
        <v>901050213</v>
      </c>
      <c r="O12" s="1" t="s">
        <v>5406</v>
      </c>
      <c r="P12" s="1" t="s">
        <v>5407</v>
      </c>
      <c r="Q12" s="3" t="s">
        <v>5381</v>
      </c>
      <c r="R12" s="3" t="s">
        <v>5381</v>
      </c>
      <c r="S12" s="3" t="s">
        <v>5398</v>
      </c>
      <c r="T12" s="41" t="s">
        <v>612</v>
      </c>
      <c r="U12" s="3"/>
      <c r="V12" s="3"/>
      <c r="W12" s="236"/>
      <c r="X12" s="237">
        <v>151340396</v>
      </c>
      <c r="Y12" s="9">
        <f t="shared" si="0"/>
        <v>0</v>
      </c>
      <c r="Z12" s="34">
        <f t="shared" si="1"/>
        <v>1</v>
      </c>
      <c r="AA12" s="85">
        <v>72175282</v>
      </c>
      <c r="AB12" s="85" t="s">
        <v>5399</v>
      </c>
      <c r="AC12" s="85" t="s">
        <v>196</v>
      </c>
      <c r="AD12" s="85" t="s">
        <v>196</v>
      </c>
      <c r="AE12" s="236">
        <v>44971</v>
      </c>
      <c r="AF12" s="238" t="s">
        <v>5408</v>
      </c>
      <c r="AG12" s="85" t="s">
        <v>192</v>
      </c>
      <c r="AH12" s="85" t="s">
        <v>191</v>
      </c>
    </row>
    <row r="13" spans="1:34" s="4" customFormat="1" x14ac:dyDescent="0.2">
      <c r="A13" s="16">
        <v>891780111</v>
      </c>
      <c r="B13" s="16" t="s">
        <v>54</v>
      </c>
      <c r="C13" s="85" t="s">
        <v>56</v>
      </c>
      <c r="D13" s="16" t="s">
        <v>60</v>
      </c>
      <c r="E13" s="1" t="s">
        <v>5409</v>
      </c>
      <c r="F13" s="16" t="s">
        <v>61</v>
      </c>
      <c r="G13" s="85" t="s">
        <v>61</v>
      </c>
      <c r="H13" s="85" t="s">
        <v>73</v>
      </c>
      <c r="I13" s="9">
        <v>240000000</v>
      </c>
      <c r="J13" s="94">
        <v>1</v>
      </c>
      <c r="K13" s="312">
        <v>15000000</v>
      </c>
      <c r="L13" s="2"/>
      <c r="M13" s="40">
        <f t="shared" si="2"/>
        <v>255000000</v>
      </c>
      <c r="N13" s="1">
        <v>901279448</v>
      </c>
      <c r="O13" s="1" t="s">
        <v>5410</v>
      </c>
      <c r="P13" s="1" t="s">
        <v>5411</v>
      </c>
      <c r="Q13" s="3" t="s">
        <v>5412</v>
      </c>
      <c r="R13" s="3" t="s">
        <v>5413</v>
      </c>
      <c r="S13" s="3" t="s">
        <v>5414</v>
      </c>
      <c r="T13" s="41" t="s">
        <v>612</v>
      </c>
      <c r="U13" s="3"/>
      <c r="V13" s="3"/>
      <c r="W13" s="236"/>
      <c r="X13" s="237">
        <v>254969000.03</v>
      </c>
      <c r="Y13" s="9">
        <f t="shared" si="0"/>
        <v>30999.969999998808</v>
      </c>
      <c r="Z13" s="34">
        <f t="shared" si="1"/>
        <v>0.99987843149019606</v>
      </c>
      <c r="AA13" s="85">
        <v>85459497</v>
      </c>
      <c r="AB13" s="85" t="s">
        <v>4837</v>
      </c>
      <c r="AC13" s="85" t="s">
        <v>196</v>
      </c>
      <c r="AD13" s="85" t="s">
        <v>196</v>
      </c>
      <c r="AE13" s="236">
        <v>44972</v>
      </c>
      <c r="AF13" s="238" t="s">
        <v>5415</v>
      </c>
      <c r="AG13" s="85" t="s">
        <v>192</v>
      </c>
      <c r="AH13" s="85" t="s">
        <v>191</v>
      </c>
    </row>
    <row r="14" spans="1:34" s="4" customFormat="1" x14ac:dyDescent="0.2">
      <c r="A14" s="16">
        <v>891780111</v>
      </c>
      <c r="B14" s="16" t="s">
        <v>54</v>
      </c>
      <c r="C14" s="85" t="s">
        <v>56</v>
      </c>
      <c r="D14" s="16" t="s">
        <v>60</v>
      </c>
      <c r="E14" s="1" t="s">
        <v>5416</v>
      </c>
      <c r="F14" s="16" t="s">
        <v>61</v>
      </c>
      <c r="G14" s="85" t="s">
        <v>61</v>
      </c>
      <c r="H14" s="85" t="s">
        <v>73</v>
      </c>
      <c r="I14" s="9">
        <v>55000000</v>
      </c>
      <c r="J14" s="94"/>
      <c r="K14" s="312"/>
      <c r="L14" s="2"/>
      <c r="M14" s="40">
        <f t="shared" si="2"/>
        <v>55000000</v>
      </c>
      <c r="N14" s="1">
        <v>7144250</v>
      </c>
      <c r="O14" s="1" t="s">
        <v>5417</v>
      </c>
      <c r="P14" s="1" t="s">
        <v>5418</v>
      </c>
      <c r="Q14" s="3" t="s">
        <v>5413</v>
      </c>
      <c r="R14" s="3" t="s">
        <v>5419</v>
      </c>
      <c r="S14" s="3" t="s">
        <v>4836</v>
      </c>
      <c r="T14" s="41" t="s">
        <v>612</v>
      </c>
      <c r="U14" s="3"/>
      <c r="V14" s="3"/>
      <c r="W14" s="236"/>
      <c r="X14" s="237">
        <v>48080000</v>
      </c>
      <c r="Y14" s="9">
        <f t="shared" si="0"/>
        <v>6920000</v>
      </c>
      <c r="Z14" s="34">
        <f t="shared" si="1"/>
        <v>0.87418181818181817</v>
      </c>
      <c r="AA14" s="85">
        <v>85459497</v>
      </c>
      <c r="AB14" s="85" t="s">
        <v>4837</v>
      </c>
      <c r="AC14" s="85" t="s">
        <v>192</v>
      </c>
      <c r="AD14" s="85" t="s">
        <v>196</v>
      </c>
      <c r="AE14" s="236">
        <v>44974</v>
      </c>
      <c r="AF14" s="238" t="s">
        <v>5420</v>
      </c>
      <c r="AG14" s="85" t="s">
        <v>192</v>
      </c>
      <c r="AH14" s="85" t="s">
        <v>191</v>
      </c>
    </row>
    <row r="15" spans="1:34" s="4" customFormat="1" x14ac:dyDescent="0.2">
      <c r="A15" s="16">
        <v>891780111</v>
      </c>
      <c r="B15" s="16" t="s">
        <v>54</v>
      </c>
      <c r="C15" s="85" t="s">
        <v>56</v>
      </c>
      <c r="D15" s="16" t="s">
        <v>60</v>
      </c>
      <c r="E15" s="1" t="s">
        <v>5421</v>
      </c>
      <c r="F15" s="16" t="s">
        <v>61</v>
      </c>
      <c r="G15" s="85" t="s">
        <v>61</v>
      </c>
      <c r="H15" s="85" t="s">
        <v>73</v>
      </c>
      <c r="I15" s="9">
        <v>36855000</v>
      </c>
      <c r="J15" s="94"/>
      <c r="K15" s="312"/>
      <c r="L15" s="2"/>
      <c r="M15" s="40">
        <f t="shared" si="2"/>
        <v>36855000</v>
      </c>
      <c r="N15" s="1">
        <v>901204044</v>
      </c>
      <c r="O15" s="1" t="s">
        <v>5422</v>
      </c>
      <c r="P15" s="1" t="s">
        <v>5423</v>
      </c>
      <c r="Q15" s="3" t="s">
        <v>5386</v>
      </c>
      <c r="R15" s="3" t="s">
        <v>5419</v>
      </c>
      <c r="S15" s="3" t="s">
        <v>5424</v>
      </c>
      <c r="T15" s="41" t="s">
        <v>612</v>
      </c>
      <c r="U15" s="3"/>
      <c r="V15" s="3"/>
      <c r="W15" s="236"/>
      <c r="X15" s="237">
        <v>36855000</v>
      </c>
      <c r="Y15" s="9">
        <f t="shared" si="0"/>
        <v>0</v>
      </c>
      <c r="Z15" s="34">
        <f t="shared" si="1"/>
        <v>1</v>
      </c>
      <c r="AA15" s="85">
        <v>7633815</v>
      </c>
      <c r="AB15" s="85" t="s">
        <v>5425</v>
      </c>
      <c r="AC15" s="85" t="s">
        <v>196</v>
      </c>
      <c r="AD15" s="85" t="s">
        <v>196</v>
      </c>
      <c r="AE15" s="236">
        <v>44980</v>
      </c>
      <c r="AF15" s="238" t="s">
        <v>5426</v>
      </c>
      <c r="AG15" s="85" t="s">
        <v>192</v>
      </c>
      <c r="AH15" s="85" t="s">
        <v>191</v>
      </c>
    </row>
    <row r="16" spans="1:34" s="4" customFormat="1" x14ac:dyDescent="0.2">
      <c r="A16" s="16">
        <v>891780111</v>
      </c>
      <c r="B16" s="16" t="s">
        <v>54</v>
      </c>
      <c r="C16" s="85" t="s">
        <v>56</v>
      </c>
      <c r="D16" s="16" t="s">
        <v>60</v>
      </c>
      <c r="E16" s="1" t="s">
        <v>5427</v>
      </c>
      <c r="F16" s="16" t="s">
        <v>61</v>
      </c>
      <c r="G16" s="85" t="s">
        <v>61</v>
      </c>
      <c r="H16" s="85" t="s">
        <v>73</v>
      </c>
      <c r="I16" s="9">
        <v>19299930</v>
      </c>
      <c r="J16" s="94"/>
      <c r="K16" s="312"/>
      <c r="L16" s="2"/>
      <c r="M16" s="40">
        <f t="shared" si="2"/>
        <v>19299930</v>
      </c>
      <c r="N16" s="1">
        <v>900971565</v>
      </c>
      <c r="O16" s="1" t="s">
        <v>5428</v>
      </c>
      <c r="P16" s="1" t="s">
        <v>5429</v>
      </c>
      <c r="Q16" s="3">
        <v>44973</v>
      </c>
      <c r="R16" s="3">
        <v>44979</v>
      </c>
      <c r="S16" s="3">
        <v>44986</v>
      </c>
      <c r="T16" s="41" t="s">
        <v>612</v>
      </c>
      <c r="U16" s="3"/>
      <c r="V16" s="3"/>
      <c r="W16" s="236"/>
      <c r="X16" s="237">
        <v>19299930</v>
      </c>
      <c r="Y16" s="9">
        <f t="shared" si="0"/>
        <v>0</v>
      </c>
      <c r="Z16" s="34">
        <f t="shared" si="1"/>
        <v>1</v>
      </c>
      <c r="AA16" s="85">
        <v>7633815</v>
      </c>
      <c r="AB16" s="85" t="s">
        <v>5425</v>
      </c>
      <c r="AC16" s="85" t="s">
        <v>196</v>
      </c>
      <c r="AD16" s="85" t="s">
        <v>196</v>
      </c>
      <c r="AE16" s="236">
        <v>44985</v>
      </c>
      <c r="AF16" s="238" t="s">
        <v>5430</v>
      </c>
      <c r="AG16" s="85" t="s">
        <v>192</v>
      </c>
      <c r="AH16" s="85" t="s">
        <v>191</v>
      </c>
    </row>
    <row r="17" spans="1:34" s="43" customFormat="1" x14ac:dyDescent="0.2">
      <c r="A17" s="38">
        <v>891780111</v>
      </c>
      <c r="B17" s="38" t="s">
        <v>54</v>
      </c>
      <c r="C17" s="85" t="s">
        <v>56</v>
      </c>
      <c r="D17" s="38" t="s">
        <v>60</v>
      </c>
      <c r="E17" s="39" t="s">
        <v>5431</v>
      </c>
      <c r="F17" s="38" t="s">
        <v>61</v>
      </c>
      <c r="G17" s="85" t="s">
        <v>61</v>
      </c>
      <c r="H17" s="85" t="s">
        <v>73</v>
      </c>
      <c r="I17" s="36">
        <v>46072550</v>
      </c>
      <c r="J17" s="325"/>
      <c r="K17" s="328"/>
      <c r="L17" s="61"/>
      <c r="M17" s="40">
        <f t="shared" si="2"/>
        <v>46072550</v>
      </c>
      <c r="N17" s="39">
        <v>900146629</v>
      </c>
      <c r="O17" s="39" t="s">
        <v>5432</v>
      </c>
      <c r="P17" s="39" t="s">
        <v>5433</v>
      </c>
      <c r="Q17" s="41">
        <v>44973</v>
      </c>
      <c r="R17" s="41">
        <v>44973</v>
      </c>
      <c r="S17" s="41" t="s">
        <v>4836</v>
      </c>
      <c r="T17" s="41" t="s">
        <v>612</v>
      </c>
      <c r="U17" s="41"/>
      <c r="V17" s="41"/>
      <c r="W17" s="236"/>
      <c r="X17" s="237">
        <v>29802806</v>
      </c>
      <c r="Y17" s="36">
        <f t="shared" si="0"/>
        <v>16269744</v>
      </c>
      <c r="Z17" s="37">
        <f t="shared" si="1"/>
        <v>0.64686686541118299</v>
      </c>
      <c r="AA17" s="85">
        <v>85459497</v>
      </c>
      <c r="AB17" s="85" t="s">
        <v>4837</v>
      </c>
      <c r="AC17" s="85" t="s">
        <v>196</v>
      </c>
      <c r="AD17" s="85" t="s">
        <v>196</v>
      </c>
      <c r="AE17" s="236"/>
      <c r="AF17" s="238" t="s">
        <v>5434</v>
      </c>
      <c r="AG17" s="85" t="s">
        <v>192</v>
      </c>
      <c r="AH17" s="85" t="s">
        <v>191</v>
      </c>
    </row>
    <row r="18" spans="1:34" s="4" customFormat="1" x14ac:dyDescent="0.2">
      <c r="A18" s="16">
        <v>891780111</v>
      </c>
      <c r="B18" s="16" t="s">
        <v>54</v>
      </c>
      <c r="C18" s="85" t="s">
        <v>57</v>
      </c>
      <c r="D18" s="16" t="s">
        <v>60</v>
      </c>
      <c r="E18" s="1" t="s">
        <v>5435</v>
      </c>
      <c r="F18" s="16" t="s">
        <v>61</v>
      </c>
      <c r="G18" s="85" t="s">
        <v>61</v>
      </c>
      <c r="H18" s="85" t="s">
        <v>73</v>
      </c>
      <c r="I18" s="9">
        <v>20000000</v>
      </c>
      <c r="J18" s="94"/>
      <c r="K18" s="312"/>
      <c r="L18" s="2"/>
      <c r="M18" s="40">
        <f t="shared" si="2"/>
        <v>20000000</v>
      </c>
      <c r="N18" s="1">
        <v>39048924</v>
      </c>
      <c r="O18" s="1" t="s">
        <v>5436</v>
      </c>
      <c r="P18" s="1" t="s">
        <v>5437</v>
      </c>
      <c r="Q18" s="3" t="s">
        <v>5387</v>
      </c>
      <c r="R18" s="3" t="s">
        <v>5387</v>
      </c>
      <c r="S18" s="3" t="s">
        <v>5438</v>
      </c>
      <c r="T18" s="41" t="s">
        <v>612</v>
      </c>
      <c r="U18" s="3"/>
      <c r="V18" s="3"/>
      <c r="W18" s="236"/>
      <c r="X18" s="237">
        <v>20000000</v>
      </c>
      <c r="Y18" s="9">
        <f t="shared" si="0"/>
        <v>0</v>
      </c>
      <c r="Z18" s="34">
        <f t="shared" si="1"/>
        <v>1</v>
      </c>
      <c r="AA18" s="85">
        <v>85152695</v>
      </c>
      <c r="AB18" s="85" t="s">
        <v>4890</v>
      </c>
      <c r="AC18" s="85" t="s">
        <v>196</v>
      </c>
      <c r="AD18" s="85" t="s">
        <v>196</v>
      </c>
      <c r="AE18" s="236"/>
      <c r="AF18" s="238" t="s">
        <v>5439</v>
      </c>
      <c r="AG18" s="85" t="s">
        <v>192</v>
      </c>
      <c r="AH18" s="85" t="s">
        <v>191</v>
      </c>
    </row>
    <row r="19" spans="1:34" s="4" customFormat="1" x14ac:dyDescent="0.2">
      <c r="A19" s="16">
        <v>891780111</v>
      </c>
      <c r="B19" s="16" t="s">
        <v>54</v>
      </c>
      <c r="C19" s="85" t="s">
        <v>56</v>
      </c>
      <c r="D19" s="16" t="s">
        <v>60</v>
      </c>
      <c r="E19" s="1" t="s">
        <v>5440</v>
      </c>
      <c r="F19" s="16" t="s">
        <v>61</v>
      </c>
      <c r="G19" s="85" t="s">
        <v>61</v>
      </c>
      <c r="H19" s="85" t="s">
        <v>73</v>
      </c>
      <c r="I19" s="9">
        <v>85882300</v>
      </c>
      <c r="J19" s="94"/>
      <c r="K19" s="312"/>
      <c r="L19" s="2"/>
      <c r="M19" s="40">
        <f t="shared" si="2"/>
        <v>85882300</v>
      </c>
      <c r="N19" s="1">
        <v>800036678</v>
      </c>
      <c r="O19" s="1" t="s">
        <v>5441</v>
      </c>
      <c r="P19" s="1" t="s">
        <v>5442</v>
      </c>
      <c r="Q19" s="3" t="s">
        <v>5443</v>
      </c>
      <c r="R19" s="3" t="s">
        <v>5444</v>
      </c>
      <c r="S19" s="3" t="s">
        <v>5445</v>
      </c>
      <c r="T19" s="41" t="s">
        <v>612</v>
      </c>
      <c r="U19" s="3"/>
      <c r="V19" s="3"/>
      <c r="W19" s="236"/>
      <c r="X19" s="237">
        <v>85882300</v>
      </c>
      <c r="Y19" s="9">
        <f t="shared" si="0"/>
        <v>0</v>
      </c>
      <c r="Z19" s="34">
        <f t="shared" si="1"/>
        <v>1</v>
      </c>
      <c r="AA19" s="85">
        <v>57297693</v>
      </c>
      <c r="AB19" s="85" t="s">
        <v>5446</v>
      </c>
      <c r="AC19" s="85" t="s">
        <v>196</v>
      </c>
      <c r="AD19" s="85" t="s">
        <v>196</v>
      </c>
      <c r="AE19" s="236">
        <v>44985</v>
      </c>
      <c r="AF19" s="238" t="s">
        <v>5447</v>
      </c>
      <c r="AG19" s="85" t="s">
        <v>192</v>
      </c>
      <c r="AH19" s="85" t="s">
        <v>191</v>
      </c>
    </row>
    <row r="20" spans="1:34" s="4" customFormat="1" x14ac:dyDescent="0.2">
      <c r="A20" s="16">
        <v>891780111</v>
      </c>
      <c r="B20" s="16" t="s">
        <v>54</v>
      </c>
      <c r="C20" s="85" t="s">
        <v>56</v>
      </c>
      <c r="D20" s="16" t="s">
        <v>60</v>
      </c>
      <c r="E20" s="1" t="s">
        <v>5448</v>
      </c>
      <c r="F20" s="16" t="s">
        <v>61</v>
      </c>
      <c r="G20" s="85" t="s">
        <v>61</v>
      </c>
      <c r="H20" s="85" t="s">
        <v>73</v>
      </c>
      <c r="I20" s="9">
        <v>55035697</v>
      </c>
      <c r="J20" s="94"/>
      <c r="K20" s="312"/>
      <c r="L20" s="2"/>
      <c r="M20" s="40">
        <f t="shared" si="2"/>
        <v>55035697</v>
      </c>
      <c r="N20" s="1">
        <v>800177588</v>
      </c>
      <c r="O20" s="1" t="s">
        <v>5449</v>
      </c>
      <c r="P20" s="1" t="s">
        <v>5450</v>
      </c>
      <c r="Q20" s="3">
        <v>44985</v>
      </c>
      <c r="R20" s="3">
        <v>44988</v>
      </c>
      <c r="S20" s="3">
        <v>45000</v>
      </c>
      <c r="T20" s="41" t="s">
        <v>612</v>
      </c>
      <c r="U20" s="3"/>
      <c r="V20" s="3"/>
      <c r="W20" s="236"/>
      <c r="X20" s="237">
        <v>55035697</v>
      </c>
      <c r="Y20" s="9">
        <f t="shared" si="0"/>
        <v>0</v>
      </c>
      <c r="Z20" s="34">
        <f t="shared" si="1"/>
        <v>1</v>
      </c>
      <c r="AA20" s="85">
        <v>85465146</v>
      </c>
      <c r="AB20" s="85" t="s">
        <v>4857</v>
      </c>
      <c r="AC20" s="85" t="s">
        <v>196</v>
      </c>
      <c r="AD20" s="85" t="s">
        <v>196</v>
      </c>
      <c r="AE20" s="236">
        <v>44988</v>
      </c>
      <c r="AF20" s="238" t="s">
        <v>5451</v>
      </c>
      <c r="AG20" s="85" t="s">
        <v>192</v>
      </c>
      <c r="AH20" s="85" t="s">
        <v>191</v>
      </c>
    </row>
    <row r="21" spans="1:34" s="4" customFormat="1" x14ac:dyDescent="0.2">
      <c r="A21" s="16">
        <v>891780111</v>
      </c>
      <c r="B21" s="16" t="s">
        <v>54</v>
      </c>
      <c r="C21" s="85" t="s">
        <v>56</v>
      </c>
      <c r="D21" s="16" t="s">
        <v>60</v>
      </c>
      <c r="E21" s="1" t="s">
        <v>5452</v>
      </c>
      <c r="F21" s="16" t="s">
        <v>61</v>
      </c>
      <c r="G21" s="85" t="s">
        <v>61</v>
      </c>
      <c r="H21" s="85" t="s">
        <v>73</v>
      </c>
      <c r="I21" s="9">
        <v>20000000</v>
      </c>
      <c r="J21" s="94"/>
      <c r="K21" s="312"/>
      <c r="L21" s="2"/>
      <c r="M21" s="40">
        <f t="shared" si="2"/>
        <v>20000000</v>
      </c>
      <c r="N21" s="1">
        <v>819004091</v>
      </c>
      <c r="O21" s="1" t="s">
        <v>5453</v>
      </c>
      <c r="P21" s="1" t="s">
        <v>5454</v>
      </c>
      <c r="Q21" s="3">
        <v>44985</v>
      </c>
      <c r="R21" s="3">
        <v>44985</v>
      </c>
      <c r="S21" s="3">
        <v>44985</v>
      </c>
      <c r="T21" s="41" t="s">
        <v>612</v>
      </c>
      <c r="U21" s="3"/>
      <c r="V21" s="3"/>
      <c r="W21" s="236"/>
      <c r="X21" s="237">
        <v>20000000</v>
      </c>
      <c r="Y21" s="9">
        <f t="shared" si="0"/>
        <v>0</v>
      </c>
      <c r="Z21" s="34">
        <f t="shared" si="1"/>
        <v>1</v>
      </c>
      <c r="AA21" s="85">
        <v>72175282</v>
      </c>
      <c r="AB21" s="85" t="s">
        <v>5399</v>
      </c>
      <c r="AC21" s="85" t="s">
        <v>196</v>
      </c>
      <c r="AD21" s="85" t="s">
        <v>196</v>
      </c>
      <c r="AE21" s="236"/>
      <c r="AF21" s="238" t="s">
        <v>5455</v>
      </c>
      <c r="AG21" s="85" t="s">
        <v>192</v>
      </c>
      <c r="AH21" s="85" t="s">
        <v>191</v>
      </c>
    </row>
    <row r="22" spans="1:34" s="4" customFormat="1" x14ac:dyDescent="0.2">
      <c r="A22" s="16">
        <v>891780111</v>
      </c>
      <c r="B22" s="16" t="s">
        <v>54</v>
      </c>
      <c r="C22" s="85" t="s">
        <v>56</v>
      </c>
      <c r="D22" s="16" t="s">
        <v>60</v>
      </c>
      <c r="E22" s="1" t="s">
        <v>5456</v>
      </c>
      <c r="F22" s="16" t="s">
        <v>61</v>
      </c>
      <c r="G22" s="85" t="s">
        <v>61</v>
      </c>
      <c r="H22" s="85" t="s">
        <v>73</v>
      </c>
      <c r="I22" s="9">
        <v>8747600</v>
      </c>
      <c r="J22" s="94"/>
      <c r="K22" s="312"/>
      <c r="L22" s="2"/>
      <c r="M22" s="40">
        <f t="shared" si="2"/>
        <v>8747600</v>
      </c>
      <c r="N22" s="1">
        <v>900850150</v>
      </c>
      <c r="O22" s="1" t="s">
        <v>5457</v>
      </c>
      <c r="P22" s="1" t="s">
        <v>5458</v>
      </c>
      <c r="Q22" s="3">
        <v>44986</v>
      </c>
      <c r="R22" s="3">
        <v>44987</v>
      </c>
      <c r="S22" s="3">
        <v>44988</v>
      </c>
      <c r="T22" s="41" t="s">
        <v>612</v>
      </c>
      <c r="U22" s="3"/>
      <c r="V22" s="3"/>
      <c r="W22" s="236"/>
      <c r="X22" s="237">
        <v>8747600</v>
      </c>
      <c r="Y22" s="9">
        <f t="shared" si="0"/>
        <v>0</v>
      </c>
      <c r="Z22" s="34">
        <f t="shared" si="1"/>
        <v>1</v>
      </c>
      <c r="AA22" s="85">
        <v>85465146</v>
      </c>
      <c r="AB22" s="85" t="s">
        <v>4857</v>
      </c>
      <c r="AC22" s="239" t="s">
        <v>196</v>
      </c>
      <c r="AD22" s="85" t="s">
        <v>196</v>
      </c>
      <c r="AE22" s="236"/>
      <c r="AF22" s="238" t="s">
        <v>5459</v>
      </c>
      <c r="AG22" s="85" t="s">
        <v>192</v>
      </c>
      <c r="AH22" s="85" t="s">
        <v>191</v>
      </c>
    </row>
    <row r="23" spans="1:34" s="43" customFormat="1" x14ac:dyDescent="0.2">
      <c r="A23" s="38">
        <v>891780111</v>
      </c>
      <c r="B23" s="38" t="s">
        <v>54</v>
      </c>
      <c r="C23" s="85" t="s">
        <v>57</v>
      </c>
      <c r="D23" s="38" t="s">
        <v>60</v>
      </c>
      <c r="E23" s="39" t="s">
        <v>5460</v>
      </c>
      <c r="F23" s="38" t="s">
        <v>61</v>
      </c>
      <c r="G23" s="85" t="s">
        <v>61</v>
      </c>
      <c r="H23" s="85" t="s">
        <v>73</v>
      </c>
      <c r="I23" s="36">
        <v>17856000</v>
      </c>
      <c r="J23" s="325"/>
      <c r="K23" s="328"/>
      <c r="L23" s="61"/>
      <c r="M23" s="40">
        <f t="shared" si="2"/>
        <v>17856000</v>
      </c>
      <c r="N23" s="39">
        <v>819004091</v>
      </c>
      <c r="O23" s="39" t="s">
        <v>5453</v>
      </c>
      <c r="P23" s="39" t="s">
        <v>5461</v>
      </c>
      <c r="Q23" s="41">
        <v>44986</v>
      </c>
      <c r="R23" s="41">
        <v>44986</v>
      </c>
      <c r="S23" s="41">
        <v>45108</v>
      </c>
      <c r="T23" s="41" t="s">
        <v>612</v>
      </c>
      <c r="U23" s="41"/>
      <c r="V23" s="41"/>
      <c r="W23" s="236"/>
      <c r="X23" s="237">
        <v>13392000</v>
      </c>
      <c r="Y23" s="36">
        <f t="shared" si="0"/>
        <v>4464000</v>
      </c>
      <c r="Z23" s="37">
        <f t="shared" si="1"/>
        <v>0.75</v>
      </c>
      <c r="AA23" s="85">
        <v>72175282</v>
      </c>
      <c r="AB23" s="85" t="s">
        <v>5399</v>
      </c>
      <c r="AC23" s="239" t="s">
        <v>196</v>
      </c>
      <c r="AD23" s="85" t="s">
        <v>196</v>
      </c>
      <c r="AE23" s="236"/>
      <c r="AF23" s="238" t="s">
        <v>5462</v>
      </c>
      <c r="AG23" s="85" t="s">
        <v>192</v>
      </c>
      <c r="AH23" s="85" t="s">
        <v>191</v>
      </c>
    </row>
    <row r="24" spans="1:34" s="4" customFormat="1" x14ac:dyDescent="0.2">
      <c r="A24" s="16">
        <v>891780111</v>
      </c>
      <c r="B24" s="16" t="s">
        <v>54</v>
      </c>
      <c r="C24" s="85" t="s">
        <v>56</v>
      </c>
      <c r="D24" s="16" t="s">
        <v>60</v>
      </c>
      <c r="E24" s="1" t="s">
        <v>5463</v>
      </c>
      <c r="F24" s="16" t="s">
        <v>61</v>
      </c>
      <c r="G24" s="85" t="s">
        <v>61</v>
      </c>
      <c r="H24" s="85" t="s">
        <v>73</v>
      </c>
      <c r="I24" s="9">
        <v>170000000</v>
      </c>
      <c r="J24" s="94">
        <v>1</v>
      </c>
      <c r="K24" s="312">
        <v>80000000</v>
      </c>
      <c r="L24" s="2"/>
      <c r="M24" s="40">
        <f t="shared" si="2"/>
        <v>250000000</v>
      </c>
      <c r="N24" s="1">
        <v>900774850</v>
      </c>
      <c r="O24" s="1" t="s">
        <v>5464</v>
      </c>
      <c r="P24" s="1" t="s">
        <v>5465</v>
      </c>
      <c r="Q24" s="3">
        <v>44987</v>
      </c>
      <c r="R24" s="3">
        <v>44987</v>
      </c>
      <c r="S24" s="3">
        <v>45171</v>
      </c>
      <c r="T24" s="41" t="s">
        <v>612</v>
      </c>
      <c r="U24" s="3"/>
      <c r="V24" s="3"/>
      <c r="W24" s="236">
        <v>45201</v>
      </c>
      <c r="X24" s="237">
        <v>164358371.90000001</v>
      </c>
      <c r="Y24" s="9">
        <f t="shared" si="0"/>
        <v>85641628.099999994</v>
      </c>
      <c r="Z24" s="34">
        <f t="shared" si="1"/>
        <v>0.65743348759999998</v>
      </c>
      <c r="AA24" s="85">
        <v>85465146</v>
      </c>
      <c r="AB24" s="85" t="s">
        <v>4857</v>
      </c>
      <c r="AC24" s="239" t="s">
        <v>196</v>
      </c>
      <c r="AD24" s="85" t="s">
        <v>196</v>
      </c>
      <c r="AE24" s="236">
        <v>44993</v>
      </c>
      <c r="AF24" s="238" t="s">
        <v>5466</v>
      </c>
      <c r="AG24" s="85" t="s">
        <v>192</v>
      </c>
      <c r="AH24" s="85" t="s">
        <v>191</v>
      </c>
    </row>
    <row r="25" spans="1:34" s="4" customFormat="1" x14ac:dyDescent="0.2">
      <c r="A25" s="16">
        <v>891780111</v>
      </c>
      <c r="B25" s="16" t="s">
        <v>54</v>
      </c>
      <c r="C25" s="85" t="s">
        <v>56</v>
      </c>
      <c r="D25" s="16" t="s">
        <v>60</v>
      </c>
      <c r="E25" s="1" t="s">
        <v>5467</v>
      </c>
      <c r="F25" s="16" t="s">
        <v>61</v>
      </c>
      <c r="G25" s="85" t="s">
        <v>61</v>
      </c>
      <c r="H25" s="85" t="s">
        <v>73</v>
      </c>
      <c r="I25" s="9">
        <v>6533200</v>
      </c>
      <c r="J25" s="94"/>
      <c r="K25" s="312"/>
      <c r="L25" s="2"/>
      <c r="M25" s="40">
        <f t="shared" si="2"/>
        <v>6533200</v>
      </c>
      <c r="N25" s="1">
        <v>1082901518</v>
      </c>
      <c r="O25" s="1" t="s">
        <v>5468</v>
      </c>
      <c r="P25" s="1" t="s">
        <v>5469</v>
      </c>
      <c r="Q25" s="3">
        <v>44987</v>
      </c>
      <c r="R25" s="3">
        <v>44987</v>
      </c>
      <c r="S25" s="3">
        <v>44989</v>
      </c>
      <c r="T25" s="41" t="s">
        <v>612</v>
      </c>
      <c r="U25" s="3"/>
      <c r="V25" s="3"/>
      <c r="W25" s="236"/>
      <c r="X25" s="237">
        <v>6293200</v>
      </c>
      <c r="Y25" s="9">
        <f t="shared" si="0"/>
        <v>240000</v>
      </c>
      <c r="Z25" s="34">
        <f t="shared" si="1"/>
        <v>0.9632645564195188</v>
      </c>
      <c r="AA25" s="85">
        <v>85465146</v>
      </c>
      <c r="AB25" s="85" t="s">
        <v>4857</v>
      </c>
      <c r="AC25" s="239" t="s">
        <v>196</v>
      </c>
      <c r="AD25" s="85" t="s">
        <v>196</v>
      </c>
      <c r="AE25" s="236"/>
      <c r="AF25" s="238" t="s">
        <v>5470</v>
      </c>
      <c r="AG25" s="85" t="s">
        <v>192</v>
      </c>
      <c r="AH25" s="85" t="s">
        <v>191</v>
      </c>
    </row>
    <row r="26" spans="1:34" s="4" customFormat="1" x14ac:dyDescent="0.2">
      <c r="A26" s="16">
        <v>891780111</v>
      </c>
      <c r="B26" s="16" t="s">
        <v>54</v>
      </c>
      <c r="C26" s="85" t="s">
        <v>57</v>
      </c>
      <c r="D26" s="16" t="s">
        <v>60</v>
      </c>
      <c r="E26" s="1" t="s">
        <v>5471</v>
      </c>
      <c r="F26" s="16" t="s">
        <v>61</v>
      </c>
      <c r="G26" s="85" t="s">
        <v>61</v>
      </c>
      <c r="H26" s="85" t="s">
        <v>73</v>
      </c>
      <c r="I26" s="9">
        <v>20089036</v>
      </c>
      <c r="J26" s="94"/>
      <c r="K26" s="312"/>
      <c r="L26" s="2"/>
      <c r="M26" s="40">
        <f t="shared" si="2"/>
        <v>20089036</v>
      </c>
      <c r="N26" s="1">
        <v>900246064</v>
      </c>
      <c r="O26" s="1" t="s">
        <v>5472</v>
      </c>
      <c r="P26" s="1" t="s">
        <v>5473</v>
      </c>
      <c r="Q26" s="3">
        <v>44987</v>
      </c>
      <c r="R26" s="3">
        <v>44987</v>
      </c>
      <c r="S26" s="3">
        <v>45109</v>
      </c>
      <c r="T26" s="41" t="s">
        <v>612</v>
      </c>
      <c r="U26" s="3"/>
      <c r="V26" s="3"/>
      <c r="W26" s="236"/>
      <c r="X26" s="237">
        <v>20089036</v>
      </c>
      <c r="Y26" s="9">
        <f t="shared" si="0"/>
        <v>0</v>
      </c>
      <c r="Z26" s="34">
        <f t="shared" si="1"/>
        <v>1</v>
      </c>
      <c r="AA26" s="85">
        <v>72175282</v>
      </c>
      <c r="AB26" s="85" t="s">
        <v>5399</v>
      </c>
      <c r="AC26" s="239" t="s">
        <v>196</v>
      </c>
      <c r="AD26" s="85" t="s">
        <v>196</v>
      </c>
      <c r="AE26" s="236"/>
      <c r="AF26" s="238" t="s">
        <v>5474</v>
      </c>
      <c r="AG26" s="85" t="s">
        <v>192</v>
      </c>
      <c r="AH26" s="85" t="s">
        <v>191</v>
      </c>
    </row>
    <row r="27" spans="1:34" s="4" customFormat="1" x14ac:dyDescent="0.2">
      <c r="A27" s="16">
        <v>891780111</v>
      </c>
      <c r="B27" s="16" t="s">
        <v>54</v>
      </c>
      <c r="C27" s="85" t="s">
        <v>56</v>
      </c>
      <c r="D27" s="16" t="s">
        <v>60</v>
      </c>
      <c r="E27" s="1" t="s">
        <v>5475</v>
      </c>
      <c r="F27" s="16" t="s">
        <v>61</v>
      </c>
      <c r="G27" s="85" t="s">
        <v>61</v>
      </c>
      <c r="H27" s="85" t="s">
        <v>73</v>
      </c>
      <c r="I27" s="9">
        <v>170513120</v>
      </c>
      <c r="J27" s="94"/>
      <c r="K27" s="312"/>
      <c r="L27" s="2"/>
      <c r="M27" s="40">
        <f t="shared" si="2"/>
        <v>170513120</v>
      </c>
      <c r="N27" s="1">
        <v>901572832</v>
      </c>
      <c r="O27" s="1" t="s">
        <v>5476</v>
      </c>
      <c r="P27" s="1" t="s">
        <v>5477</v>
      </c>
      <c r="Q27" s="3">
        <v>44988</v>
      </c>
      <c r="R27" s="3">
        <v>44991</v>
      </c>
      <c r="S27" s="3">
        <v>44992</v>
      </c>
      <c r="T27" s="41" t="s">
        <v>612</v>
      </c>
      <c r="U27" s="3"/>
      <c r="V27" s="3"/>
      <c r="W27" s="236"/>
      <c r="X27" s="237">
        <v>170513120</v>
      </c>
      <c r="Y27" s="9">
        <f t="shared" si="0"/>
        <v>0</v>
      </c>
      <c r="Z27" s="34">
        <f t="shared" si="1"/>
        <v>1</v>
      </c>
      <c r="AA27" s="85">
        <v>85465146</v>
      </c>
      <c r="AB27" s="85" t="s">
        <v>4857</v>
      </c>
      <c r="AC27" s="239" t="s">
        <v>196</v>
      </c>
      <c r="AD27" s="85" t="s">
        <v>196</v>
      </c>
      <c r="AE27" s="236">
        <v>44992</v>
      </c>
      <c r="AF27" s="238" t="s">
        <v>5478</v>
      </c>
      <c r="AG27" s="85" t="s">
        <v>192</v>
      </c>
      <c r="AH27" s="85" t="s">
        <v>191</v>
      </c>
    </row>
    <row r="28" spans="1:34" s="4" customFormat="1" x14ac:dyDescent="0.2">
      <c r="A28" s="16">
        <v>891780111</v>
      </c>
      <c r="B28" s="16" t="s">
        <v>54</v>
      </c>
      <c r="C28" s="85" t="s">
        <v>56</v>
      </c>
      <c r="D28" s="16" t="s">
        <v>60</v>
      </c>
      <c r="E28" s="1" t="s">
        <v>5479</v>
      </c>
      <c r="F28" s="16" t="s">
        <v>61</v>
      </c>
      <c r="G28" s="85" t="s">
        <v>61</v>
      </c>
      <c r="H28" s="85" t="s">
        <v>73</v>
      </c>
      <c r="I28" s="9">
        <v>133446026</v>
      </c>
      <c r="J28" s="94"/>
      <c r="K28" s="312"/>
      <c r="L28" s="2"/>
      <c r="M28" s="40">
        <f t="shared" si="2"/>
        <v>133446026</v>
      </c>
      <c r="N28" s="1">
        <v>860032724</v>
      </c>
      <c r="O28" s="1" t="s">
        <v>5480</v>
      </c>
      <c r="P28" s="1" t="s">
        <v>5481</v>
      </c>
      <c r="Q28" s="3">
        <v>44988</v>
      </c>
      <c r="R28" s="3">
        <v>44992</v>
      </c>
      <c r="S28" s="3">
        <v>44998</v>
      </c>
      <c r="T28" s="41" t="s">
        <v>612</v>
      </c>
      <c r="U28" s="3"/>
      <c r="V28" s="3"/>
      <c r="W28" s="236"/>
      <c r="X28" s="237">
        <v>133446014.52</v>
      </c>
      <c r="Y28" s="9">
        <f t="shared" si="0"/>
        <v>11.480000004172325</v>
      </c>
      <c r="Z28" s="34">
        <f t="shared" si="1"/>
        <v>0.99999991397270982</v>
      </c>
      <c r="AA28" s="85">
        <v>7633815</v>
      </c>
      <c r="AB28" s="85" t="s">
        <v>5425</v>
      </c>
      <c r="AC28" s="239" t="s">
        <v>196</v>
      </c>
      <c r="AD28" s="85" t="s">
        <v>196</v>
      </c>
      <c r="AE28" s="236">
        <v>44993</v>
      </c>
      <c r="AF28" s="238" t="s">
        <v>5482</v>
      </c>
      <c r="AG28" s="85" t="s">
        <v>192</v>
      </c>
      <c r="AH28" s="85" t="s">
        <v>191</v>
      </c>
    </row>
    <row r="29" spans="1:34" s="43" customFormat="1" x14ac:dyDescent="0.2">
      <c r="A29" s="38">
        <v>891780111</v>
      </c>
      <c r="B29" s="38" t="s">
        <v>54</v>
      </c>
      <c r="C29" s="85" t="s">
        <v>56</v>
      </c>
      <c r="D29" s="38" t="s">
        <v>60</v>
      </c>
      <c r="E29" s="39" t="s">
        <v>5483</v>
      </c>
      <c r="F29" s="38" t="s">
        <v>61</v>
      </c>
      <c r="G29" s="85" t="s">
        <v>61</v>
      </c>
      <c r="H29" s="85" t="s">
        <v>73</v>
      </c>
      <c r="I29" s="36">
        <v>135000000</v>
      </c>
      <c r="J29" s="325"/>
      <c r="K29" s="328"/>
      <c r="L29" s="61"/>
      <c r="M29" s="40">
        <f t="shared" si="2"/>
        <v>135000000</v>
      </c>
      <c r="N29" s="39" t="s">
        <v>5484</v>
      </c>
      <c r="O29" s="39" t="s">
        <v>5485</v>
      </c>
      <c r="P29" s="39" t="s">
        <v>5486</v>
      </c>
      <c r="Q29" s="41">
        <v>44991</v>
      </c>
      <c r="R29" s="41">
        <v>45000</v>
      </c>
      <c r="S29" s="41">
        <v>45291</v>
      </c>
      <c r="T29" s="41" t="s">
        <v>612</v>
      </c>
      <c r="U29" s="41"/>
      <c r="V29" s="41"/>
      <c r="W29" s="236"/>
      <c r="X29" s="237">
        <v>73637962.319999993</v>
      </c>
      <c r="Y29" s="36">
        <f t="shared" si="0"/>
        <v>61362037.680000007</v>
      </c>
      <c r="Z29" s="37">
        <f t="shared" si="1"/>
        <v>0.54546638755555554</v>
      </c>
      <c r="AA29" s="85">
        <v>85459497</v>
      </c>
      <c r="AB29" s="85" t="s">
        <v>4837</v>
      </c>
      <c r="AC29" s="239" t="s">
        <v>192</v>
      </c>
      <c r="AD29" s="85" t="s">
        <v>196</v>
      </c>
      <c r="AE29" s="236">
        <v>44993</v>
      </c>
      <c r="AF29" s="238" t="s">
        <v>5487</v>
      </c>
      <c r="AG29" s="85" t="s">
        <v>192</v>
      </c>
      <c r="AH29" s="85" t="s">
        <v>191</v>
      </c>
    </row>
    <row r="30" spans="1:34" s="4" customFormat="1" x14ac:dyDescent="0.2">
      <c r="A30" s="16">
        <v>891780111</v>
      </c>
      <c r="B30" s="16" t="s">
        <v>54</v>
      </c>
      <c r="C30" s="85" t="s">
        <v>57</v>
      </c>
      <c r="D30" s="16" t="s">
        <v>60</v>
      </c>
      <c r="E30" s="1" t="s">
        <v>5488</v>
      </c>
      <c r="F30" s="16" t="s">
        <v>61</v>
      </c>
      <c r="G30" s="85" t="s">
        <v>61</v>
      </c>
      <c r="H30" s="85" t="s">
        <v>73</v>
      </c>
      <c r="I30" s="9">
        <v>13392692</v>
      </c>
      <c r="J30" s="94"/>
      <c r="K30" s="312"/>
      <c r="L30" s="2"/>
      <c r="M30" s="40">
        <f t="shared" si="2"/>
        <v>13392692</v>
      </c>
      <c r="N30" s="1" t="s">
        <v>5489</v>
      </c>
      <c r="O30" s="1" t="s">
        <v>5490</v>
      </c>
      <c r="P30" s="1" t="s">
        <v>5491</v>
      </c>
      <c r="Q30" s="3">
        <v>44991</v>
      </c>
      <c r="R30" s="3">
        <v>44991</v>
      </c>
      <c r="S30" s="3">
        <v>45113</v>
      </c>
      <c r="T30" s="41" t="s">
        <v>612</v>
      </c>
      <c r="U30" s="3"/>
      <c r="V30" s="3"/>
      <c r="W30" s="236"/>
      <c r="X30" s="237">
        <v>10044519</v>
      </c>
      <c r="Y30" s="9">
        <f t="shared" si="0"/>
        <v>3348173</v>
      </c>
      <c r="Z30" s="34">
        <f t="shared" si="1"/>
        <v>0.75</v>
      </c>
      <c r="AA30" s="85">
        <v>72175282</v>
      </c>
      <c r="AB30" s="85" t="s">
        <v>5399</v>
      </c>
      <c r="AC30" s="239" t="s">
        <v>196</v>
      </c>
      <c r="AD30" s="85" t="s">
        <v>196</v>
      </c>
      <c r="AE30" s="236"/>
      <c r="AF30" s="238" t="s">
        <v>5492</v>
      </c>
      <c r="AG30" s="85" t="s">
        <v>192</v>
      </c>
      <c r="AH30" s="85" t="s">
        <v>191</v>
      </c>
    </row>
    <row r="31" spans="1:34" s="4" customFormat="1" x14ac:dyDescent="0.2">
      <c r="A31" s="16">
        <v>891780111</v>
      </c>
      <c r="B31" s="16" t="s">
        <v>54</v>
      </c>
      <c r="C31" s="85" t="s">
        <v>57</v>
      </c>
      <c r="D31" s="16" t="s">
        <v>60</v>
      </c>
      <c r="E31" s="1" t="s">
        <v>5493</v>
      </c>
      <c r="F31" s="16" t="s">
        <v>61</v>
      </c>
      <c r="G31" s="85" t="s">
        <v>61</v>
      </c>
      <c r="H31" s="85" t="s">
        <v>73</v>
      </c>
      <c r="I31" s="9">
        <v>13392692</v>
      </c>
      <c r="J31" s="94"/>
      <c r="K31" s="312"/>
      <c r="L31" s="2"/>
      <c r="M31" s="40">
        <f t="shared" si="2"/>
        <v>13392692</v>
      </c>
      <c r="N31" s="1">
        <v>901146763</v>
      </c>
      <c r="O31" s="1" t="s">
        <v>5494</v>
      </c>
      <c r="P31" s="1" t="s">
        <v>5495</v>
      </c>
      <c r="Q31" s="3">
        <v>44991</v>
      </c>
      <c r="R31" s="3">
        <v>44991</v>
      </c>
      <c r="S31" s="3">
        <v>45113</v>
      </c>
      <c r="T31" s="41" t="s">
        <v>612</v>
      </c>
      <c r="U31" s="3"/>
      <c r="V31" s="3"/>
      <c r="W31" s="236"/>
      <c r="X31" s="237">
        <v>10044519</v>
      </c>
      <c r="Y31" s="9">
        <f t="shared" si="0"/>
        <v>3348173</v>
      </c>
      <c r="Z31" s="34">
        <f t="shared" si="1"/>
        <v>0.75</v>
      </c>
      <c r="AA31" s="85">
        <v>72175282</v>
      </c>
      <c r="AB31" s="85" t="s">
        <v>5399</v>
      </c>
      <c r="AC31" s="239" t="s">
        <v>196</v>
      </c>
      <c r="AD31" s="85" t="s">
        <v>196</v>
      </c>
      <c r="AE31" s="236"/>
      <c r="AF31" s="238" t="s">
        <v>5496</v>
      </c>
      <c r="AG31" s="85" t="s">
        <v>192</v>
      </c>
      <c r="AH31" s="85" t="s">
        <v>191</v>
      </c>
    </row>
    <row r="32" spans="1:34" s="4" customFormat="1" x14ac:dyDescent="0.2">
      <c r="A32" s="16">
        <v>891780111</v>
      </c>
      <c r="B32" s="16" t="s">
        <v>54</v>
      </c>
      <c r="C32" s="85" t="s">
        <v>57</v>
      </c>
      <c r="D32" s="16" t="s">
        <v>60</v>
      </c>
      <c r="E32" s="1" t="s">
        <v>5497</v>
      </c>
      <c r="F32" s="16" t="s">
        <v>61</v>
      </c>
      <c r="G32" s="85" t="s">
        <v>61</v>
      </c>
      <c r="H32" s="85" t="s">
        <v>73</v>
      </c>
      <c r="I32" s="9">
        <v>25446112</v>
      </c>
      <c r="J32" s="94"/>
      <c r="K32" s="312"/>
      <c r="L32" s="2"/>
      <c r="M32" s="40">
        <f t="shared" si="2"/>
        <v>25446112</v>
      </c>
      <c r="N32" s="1" t="s">
        <v>5498</v>
      </c>
      <c r="O32" s="1" t="s">
        <v>5499</v>
      </c>
      <c r="P32" s="1" t="s">
        <v>5500</v>
      </c>
      <c r="Q32" s="3">
        <v>44991</v>
      </c>
      <c r="R32" s="3">
        <v>44991</v>
      </c>
      <c r="S32" s="3">
        <v>45113</v>
      </c>
      <c r="T32" s="41" t="s">
        <v>612</v>
      </c>
      <c r="U32" s="3"/>
      <c r="V32" s="3"/>
      <c r="W32" s="236"/>
      <c r="X32" s="237">
        <v>19084584</v>
      </c>
      <c r="Y32" s="9">
        <f t="shared" si="0"/>
        <v>6361528</v>
      </c>
      <c r="Z32" s="34">
        <f t="shared" si="1"/>
        <v>0.75</v>
      </c>
      <c r="AA32" s="85">
        <v>72175282</v>
      </c>
      <c r="AB32" s="85" t="s">
        <v>5399</v>
      </c>
      <c r="AC32" s="239" t="s">
        <v>196</v>
      </c>
      <c r="AD32" s="85" t="s">
        <v>196</v>
      </c>
      <c r="AE32" s="236"/>
      <c r="AF32" s="238" t="s">
        <v>5501</v>
      </c>
      <c r="AG32" s="85" t="s">
        <v>192</v>
      </c>
      <c r="AH32" s="85" t="s">
        <v>191</v>
      </c>
    </row>
    <row r="33" spans="1:34" s="4" customFormat="1" x14ac:dyDescent="0.2">
      <c r="A33" s="16">
        <v>891780111</v>
      </c>
      <c r="B33" s="16" t="s">
        <v>54</v>
      </c>
      <c r="C33" s="85" t="s">
        <v>57</v>
      </c>
      <c r="D33" s="16" t="s">
        <v>60</v>
      </c>
      <c r="E33" s="1" t="s">
        <v>5502</v>
      </c>
      <c r="F33" s="16" t="s">
        <v>61</v>
      </c>
      <c r="G33" s="85" t="s">
        <v>61</v>
      </c>
      <c r="H33" s="85" t="s">
        <v>73</v>
      </c>
      <c r="I33" s="9">
        <v>18000000</v>
      </c>
      <c r="J33" s="94"/>
      <c r="K33" s="312"/>
      <c r="L33" s="2"/>
      <c r="M33" s="40">
        <f t="shared" si="2"/>
        <v>18000000</v>
      </c>
      <c r="N33" s="1" t="s">
        <v>5503</v>
      </c>
      <c r="O33" s="1" t="s">
        <v>5033</v>
      </c>
      <c r="P33" s="1" t="s">
        <v>5504</v>
      </c>
      <c r="Q33" s="3">
        <v>44992</v>
      </c>
      <c r="R33" s="3">
        <v>44992</v>
      </c>
      <c r="S33" s="3">
        <v>45107</v>
      </c>
      <c r="T33" s="41" t="s">
        <v>612</v>
      </c>
      <c r="U33" s="3"/>
      <c r="V33" s="3"/>
      <c r="W33" s="236"/>
      <c r="X33" s="237">
        <v>12880000</v>
      </c>
      <c r="Y33" s="9">
        <f t="shared" si="0"/>
        <v>5120000</v>
      </c>
      <c r="Z33" s="34">
        <f t="shared" si="1"/>
        <v>0.7155555555555555</v>
      </c>
      <c r="AA33" s="85">
        <v>85152695</v>
      </c>
      <c r="AB33" s="85" t="s">
        <v>4890</v>
      </c>
      <c r="AC33" s="239" t="s">
        <v>196</v>
      </c>
      <c r="AD33" s="85" t="s">
        <v>196</v>
      </c>
      <c r="AE33" s="236">
        <v>44994</v>
      </c>
      <c r="AF33" s="238" t="s">
        <v>5505</v>
      </c>
      <c r="AG33" s="85" t="s">
        <v>192</v>
      </c>
      <c r="AH33" s="85" t="s">
        <v>191</v>
      </c>
    </row>
    <row r="34" spans="1:34" s="4" customFormat="1" x14ac:dyDescent="0.2">
      <c r="A34" s="16">
        <v>891780111</v>
      </c>
      <c r="B34" s="16" t="s">
        <v>54</v>
      </c>
      <c r="C34" s="85" t="s">
        <v>57</v>
      </c>
      <c r="D34" s="16" t="s">
        <v>60</v>
      </c>
      <c r="E34" s="1" t="s">
        <v>5506</v>
      </c>
      <c r="F34" s="16" t="s">
        <v>61</v>
      </c>
      <c r="G34" s="85" t="s">
        <v>61</v>
      </c>
      <c r="H34" s="85" t="s">
        <v>73</v>
      </c>
      <c r="I34" s="9">
        <v>17856920</v>
      </c>
      <c r="J34" s="94"/>
      <c r="K34" s="312"/>
      <c r="L34" s="2"/>
      <c r="M34" s="40">
        <f t="shared" si="2"/>
        <v>17856920</v>
      </c>
      <c r="N34" s="1" t="s">
        <v>5507</v>
      </c>
      <c r="O34" s="1" t="s">
        <v>5508</v>
      </c>
      <c r="P34" s="1" t="s">
        <v>5509</v>
      </c>
      <c r="Q34" s="3">
        <v>44993</v>
      </c>
      <c r="R34" s="3">
        <v>44993</v>
      </c>
      <c r="S34" s="3">
        <v>45115</v>
      </c>
      <c r="T34" s="41" t="s">
        <v>612</v>
      </c>
      <c r="U34" s="3"/>
      <c r="V34" s="3"/>
      <c r="W34" s="236"/>
      <c r="X34" s="237">
        <v>17856920</v>
      </c>
      <c r="Y34" s="9">
        <f t="shared" si="0"/>
        <v>0</v>
      </c>
      <c r="Z34" s="34">
        <f t="shared" si="1"/>
        <v>1</v>
      </c>
      <c r="AA34" s="85">
        <v>72175282</v>
      </c>
      <c r="AB34" s="85" t="s">
        <v>5399</v>
      </c>
      <c r="AC34" s="239" t="s">
        <v>196</v>
      </c>
      <c r="AD34" s="85" t="s">
        <v>196</v>
      </c>
      <c r="AE34" s="236"/>
      <c r="AF34" s="238" t="s">
        <v>5510</v>
      </c>
      <c r="AG34" s="85" t="s">
        <v>192</v>
      </c>
      <c r="AH34" s="85" t="s">
        <v>191</v>
      </c>
    </row>
    <row r="35" spans="1:34" s="43" customFormat="1" x14ac:dyDescent="0.2">
      <c r="A35" s="38">
        <v>891780111</v>
      </c>
      <c r="B35" s="38" t="s">
        <v>54</v>
      </c>
      <c r="C35" s="85" t="s">
        <v>56</v>
      </c>
      <c r="D35" s="38" t="s">
        <v>60</v>
      </c>
      <c r="E35" s="39" t="s">
        <v>5511</v>
      </c>
      <c r="F35" s="38" t="s">
        <v>61</v>
      </c>
      <c r="G35" s="85" t="s">
        <v>61</v>
      </c>
      <c r="H35" s="85" t="s">
        <v>73</v>
      </c>
      <c r="I35" s="36">
        <v>22932000</v>
      </c>
      <c r="J35" s="325"/>
      <c r="K35" s="328"/>
      <c r="L35" s="61"/>
      <c r="M35" s="40">
        <f t="shared" si="2"/>
        <v>22932000</v>
      </c>
      <c r="N35" s="39" t="s">
        <v>5512</v>
      </c>
      <c r="O35" s="39" t="s">
        <v>5513</v>
      </c>
      <c r="P35" s="39" t="s">
        <v>5514</v>
      </c>
      <c r="Q35" s="41">
        <v>44993</v>
      </c>
      <c r="R35" s="41">
        <v>45000</v>
      </c>
      <c r="S35" s="41">
        <v>45001</v>
      </c>
      <c r="T35" s="41" t="s">
        <v>612</v>
      </c>
      <c r="U35" s="41"/>
      <c r="V35" s="41"/>
      <c r="W35" s="236"/>
      <c r="X35" s="237">
        <v>0</v>
      </c>
      <c r="Y35" s="36">
        <f t="shared" si="0"/>
        <v>22932000</v>
      </c>
      <c r="Z35" s="37">
        <f t="shared" si="1"/>
        <v>0</v>
      </c>
      <c r="AA35" s="85">
        <v>7633815</v>
      </c>
      <c r="AB35" s="85" t="s">
        <v>5425</v>
      </c>
      <c r="AC35" s="239" t="s">
        <v>196</v>
      </c>
      <c r="AD35" s="85" t="s">
        <v>196</v>
      </c>
      <c r="AE35" s="236">
        <v>45000</v>
      </c>
      <c r="AF35" s="238" t="s">
        <v>5515</v>
      </c>
      <c r="AG35" s="85" t="s">
        <v>192</v>
      </c>
      <c r="AH35" s="85" t="s">
        <v>191</v>
      </c>
    </row>
    <row r="36" spans="1:34" s="4" customFormat="1" x14ac:dyDescent="0.2">
      <c r="A36" s="16">
        <v>891780111</v>
      </c>
      <c r="B36" s="16" t="s">
        <v>54</v>
      </c>
      <c r="C36" s="85" t="s">
        <v>56</v>
      </c>
      <c r="D36" s="16" t="s">
        <v>60</v>
      </c>
      <c r="E36" s="1" t="s">
        <v>5516</v>
      </c>
      <c r="F36" s="16" t="s">
        <v>61</v>
      </c>
      <c r="G36" s="85" t="s">
        <v>61</v>
      </c>
      <c r="H36" s="85" t="s">
        <v>73</v>
      </c>
      <c r="I36" s="9">
        <v>75712560</v>
      </c>
      <c r="J36" s="94"/>
      <c r="K36" s="312"/>
      <c r="L36" s="2"/>
      <c r="M36" s="40">
        <f t="shared" si="2"/>
        <v>75712560</v>
      </c>
      <c r="N36" s="1" t="s">
        <v>5517</v>
      </c>
      <c r="O36" s="1" t="s">
        <v>5518</v>
      </c>
      <c r="P36" s="1" t="s">
        <v>5519</v>
      </c>
      <c r="Q36" s="3">
        <v>44994</v>
      </c>
      <c r="R36" s="3">
        <v>44994</v>
      </c>
      <c r="S36" s="3">
        <v>44995</v>
      </c>
      <c r="T36" s="41" t="s">
        <v>612</v>
      </c>
      <c r="U36" s="3"/>
      <c r="V36" s="3"/>
      <c r="W36" s="236"/>
      <c r="X36" s="237">
        <v>75712560</v>
      </c>
      <c r="Y36" s="9">
        <f t="shared" si="0"/>
        <v>0</v>
      </c>
      <c r="Z36" s="34">
        <f t="shared" si="1"/>
        <v>1</v>
      </c>
      <c r="AA36" s="85">
        <v>85465146</v>
      </c>
      <c r="AB36" s="85" t="s">
        <v>4857</v>
      </c>
      <c r="AC36" s="239" t="s">
        <v>196</v>
      </c>
      <c r="AD36" s="85" t="s">
        <v>196</v>
      </c>
      <c r="AE36" s="236">
        <v>44998</v>
      </c>
      <c r="AF36" s="238" t="s">
        <v>5520</v>
      </c>
      <c r="AG36" s="85" t="s">
        <v>192</v>
      </c>
      <c r="AH36" s="85" t="s">
        <v>191</v>
      </c>
    </row>
    <row r="37" spans="1:34" s="4" customFormat="1" x14ac:dyDescent="0.2">
      <c r="A37" s="16">
        <v>891780111</v>
      </c>
      <c r="B37" s="16" t="s">
        <v>54</v>
      </c>
      <c r="C37" s="85" t="s">
        <v>56</v>
      </c>
      <c r="D37" s="16" t="s">
        <v>60</v>
      </c>
      <c r="E37" s="1" t="s">
        <v>5521</v>
      </c>
      <c r="F37" s="16" t="s">
        <v>61</v>
      </c>
      <c r="G37" s="85" t="s">
        <v>61</v>
      </c>
      <c r="H37" s="85" t="s">
        <v>73</v>
      </c>
      <c r="I37" s="9">
        <v>50000000</v>
      </c>
      <c r="J37" s="94"/>
      <c r="K37" s="312"/>
      <c r="L37" s="2"/>
      <c r="M37" s="40">
        <f t="shared" si="2"/>
        <v>50000000</v>
      </c>
      <c r="N37" s="1" t="s">
        <v>5522</v>
      </c>
      <c r="O37" s="1" t="s">
        <v>5523</v>
      </c>
      <c r="P37" s="1" t="s">
        <v>5524</v>
      </c>
      <c r="Q37" s="3">
        <v>44995</v>
      </c>
      <c r="R37" s="3">
        <v>45009</v>
      </c>
      <c r="S37" s="3">
        <v>45291</v>
      </c>
      <c r="T37" s="41" t="s">
        <v>612</v>
      </c>
      <c r="U37" s="3"/>
      <c r="V37" s="3"/>
      <c r="W37" s="236"/>
      <c r="X37" s="237">
        <v>15000000</v>
      </c>
      <c r="Y37" s="9">
        <f t="shared" si="0"/>
        <v>35000000</v>
      </c>
      <c r="Z37" s="34">
        <f t="shared" si="1"/>
        <v>0.3</v>
      </c>
      <c r="AA37" s="85">
        <v>85459497</v>
      </c>
      <c r="AB37" s="85" t="s">
        <v>4837</v>
      </c>
      <c r="AC37" s="239" t="s">
        <v>192</v>
      </c>
      <c r="AD37" s="85" t="s">
        <v>196</v>
      </c>
      <c r="AE37" s="236">
        <v>45006</v>
      </c>
      <c r="AF37" s="238" t="s">
        <v>5525</v>
      </c>
      <c r="AG37" s="85" t="s">
        <v>192</v>
      </c>
      <c r="AH37" s="85" t="s">
        <v>191</v>
      </c>
    </row>
    <row r="38" spans="1:34" s="4" customFormat="1" x14ac:dyDescent="0.2">
      <c r="A38" s="16">
        <v>891780111</v>
      </c>
      <c r="B38" s="16" t="s">
        <v>54</v>
      </c>
      <c r="C38" s="85" t="s">
        <v>56</v>
      </c>
      <c r="D38" s="16" t="s">
        <v>60</v>
      </c>
      <c r="E38" s="1" t="s">
        <v>5526</v>
      </c>
      <c r="F38" s="16" t="s">
        <v>61</v>
      </c>
      <c r="G38" s="85" t="s">
        <v>61</v>
      </c>
      <c r="H38" s="85" t="s">
        <v>73</v>
      </c>
      <c r="I38" s="9">
        <v>46897000</v>
      </c>
      <c r="J38" s="94"/>
      <c r="K38" s="312"/>
      <c r="L38" s="2"/>
      <c r="M38" s="40">
        <f t="shared" si="2"/>
        <v>46897000</v>
      </c>
      <c r="N38" s="1" t="s">
        <v>5527</v>
      </c>
      <c r="O38" s="1" t="s">
        <v>5528</v>
      </c>
      <c r="P38" s="1" t="s">
        <v>5529</v>
      </c>
      <c r="Q38" s="3">
        <v>44995</v>
      </c>
      <c r="R38" s="3">
        <v>44995</v>
      </c>
      <c r="S38" s="3">
        <v>45009</v>
      </c>
      <c r="T38" s="41" t="s">
        <v>612</v>
      </c>
      <c r="U38" s="3"/>
      <c r="V38" s="3"/>
      <c r="W38" s="236"/>
      <c r="X38" s="237">
        <v>46897000</v>
      </c>
      <c r="Y38" s="9">
        <f t="shared" si="0"/>
        <v>0</v>
      </c>
      <c r="Z38" s="34">
        <f t="shared" si="1"/>
        <v>1</v>
      </c>
      <c r="AA38" s="85">
        <v>85465146</v>
      </c>
      <c r="AB38" s="240" t="s">
        <v>4857</v>
      </c>
      <c r="AC38" s="241" t="s">
        <v>196</v>
      </c>
      <c r="AD38" s="85" t="s">
        <v>196</v>
      </c>
      <c r="AE38" s="236">
        <v>44995</v>
      </c>
      <c r="AF38" s="238" t="s">
        <v>5530</v>
      </c>
      <c r="AG38" s="85" t="s">
        <v>192</v>
      </c>
      <c r="AH38" s="85" t="s">
        <v>191</v>
      </c>
    </row>
    <row r="39" spans="1:34" s="4" customFormat="1" x14ac:dyDescent="0.2">
      <c r="A39" s="16">
        <v>891780111</v>
      </c>
      <c r="B39" s="16" t="s">
        <v>54</v>
      </c>
      <c r="C39" s="85" t="s">
        <v>57</v>
      </c>
      <c r="D39" s="16" t="s">
        <v>60</v>
      </c>
      <c r="E39" s="1" t="s">
        <v>5531</v>
      </c>
      <c r="F39" s="16" t="s">
        <v>61</v>
      </c>
      <c r="G39" s="85" t="s">
        <v>61</v>
      </c>
      <c r="H39" s="85" t="s">
        <v>73</v>
      </c>
      <c r="I39" s="9">
        <v>20751696</v>
      </c>
      <c r="J39" s="94"/>
      <c r="K39" s="312"/>
      <c r="L39" s="2"/>
      <c r="M39" s="40">
        <f t="shared" si="2"/>
        <v>20751696</v>
      </c>
      <c r="N39" s="1" t="s">
        <v>5532</v>
      </c>
      <c r="O39" s="1" t="s">
        <v>5533</v>
      </c>
      <c r="P39" s="1" t="s">
        <v>5534</v>
      </c>
      <c r="Q39" s="3">
        <v>44995</v>
      </c>
      <c r="R39" s="3">
        <v>44995</v>
      </c>
      <c r="S39" s="3">
        <v>45117</v>
      </c>
      <c r="T39" s="41" t="s">
        <v>612</v>
      </c>
      <c r="U39" s="3"/>
      <c r="V39" s="3"/>
      <c r="W39" s="236"/>
      <c r="X39" s="237">
        <v>20751696</v>
      </c>
      <c r="Y39" s="9">
        <f t="shared" si="0"/>
        <v>0</v>
      </c>
      <c r="Z39" s="34">
        <f t="shared" si="1"/>
        <v>1</v>
      </c>
      <c r="AA39" s="85">
        <v>72175282</v>
      </c>
      <c r="AB39" s="85" t="s">
        <v>5399</v>
      </c>
      <c r="AC39" s="239" t="s">
        <v>196</v>
      </c>
      <c r="AD39" s="85" t="s">
        <v>196</v>
      </c>
      <c r="AE39" s="236"/>
      <c r="AF39" s="238" t="s">
        <v>5535</v>
      </c>
      <c r="AG39" s="85" t="s">
        <v>192</v>
      </c>
      <c r="AH39" s="85" t="s">
        <v>191</v>
      </c>
    </row>
    <row r="40" spans="1:34" s="4" customFormat="1" x14ac:dyDescent="0.2">
      <c r="A40" s="16">
        <v>891780111</v>
      </c>
      <c r="B40" s="16" t="s">
        <v>54</v>
      </c>
      <c r="C40" s="85" t="s">
        <v>56</v>
      </c>
      <c r="D40" s="16" t="s">
        <v>60</v>
      </c>
      <c r="E40" s="1" t="s">
        <v>5536</v>
      </c>
      <c r="F40" s="16" t="s">
        <v>61</v>
      </c>
      <c r="G40" s="85" t="s">
        <v>61</v>
      </c>
      <c r="H40" s="85" t="s">
        <v>73</v>
      </c>
      <c r="I40" s="9">
        <v>73012771</v>
      </c>
      <c r="J40" s="94"/>
      <c r="K40" s="312"/>
      <c r="L40" s="2"/>
      <c r="M40" s="40">
        <f t="shared" si="2"/>
        <v>73012771</v>
      </c>
      <c r="N40" s="1" t="s">
        <v>5537</v>
      </c>
      <c r="O40" s="1" t="s">
        <v>5538</v>
      </c>
      <c r="P40" s="1" t="s">
        <v>5539</v>
      </c>
      <c r="Q40" s="3">
        <v>44998</v>
      </c>
      <c r="R40" s="3">
        <v>44998</v>
      </c>
      <c r="S40" s="3">
        <v>45304</v>
      </c>
      <c r="T40" s="41" t="s">
        <v>612</v>
      </c>
      <c r="U40" s="3"/>
      <c r="V40" s="3"/>
      <c r="W40" s="236"/>
      <c r="X40" s="237">
        <v>56428586.200000003</v>
      </c>
      <c r="Y40" s="9">
        <f t="shared" si="0"/>
        <v>16584184.799999997</v>
      </c>
      <c r="Z40" s="34">
        <f t="shared" si="1"/>
        <v>0.77285912350868047</v>
      </c>
      <c r="AA40" s="85">
        <v>57297693</v>
      </c>
      <c r="AB40" s="85" t="s">
        <v>5446</v>
      </c>
      <c r="AC40" s="239" t="s">
        <v>196</v>
      </c>
      <c r="AD40" s="85" t="s">
        <v>196</v>
      </c>
      <c r="AE40" s="236">
        <v>45000</v>
      </c>
      <c r="AF40" s="238" t="s">
        <v>5540</v>
      </c>
      <c r="AG40" s="85" t="s">
        <v>192</v>
      </c>
      <c r="AH40" s="85" t="s">
        <v>191</v>
      </c>
    </row>
    <row r="41" spans="1:34" s="43" customFormat="1" x14ac:dyDescent="0.2">
      <c r="A41" s="38">
        <v>891780111</v>
      </c>
      <c r="B41" s="38" t="s">
        <v>54</v>
      </c>
      <c r="C41" s="85" t="s">
        <v>57</v>
      </c>
      <c r="D41" s="38" t="s">
        <v>60</v>
      </c>
      <c r="E41" s="39" t="s">
        <v>5541</v>
      </c>
      <c r="F41" s="38" t="s">
        <v>61</v>
      </c>
      <c r="G41" s="85" t="s">
        <v>61</v>
      </c>
      <c r="H41" s="85" t="s">
        <v>73</v>
      </c>
      <c r="I41" s="36">
        <v>14455600</v>
      </c>
      <c r="J41" s="325"/>
      <c r="K41" s="328"/>
      <c r="L41" s="61"/>
      <c r="M41" s="40">
        <f t="shared" si="2"/>
        <v>14455600</v>
      </c>
      <c r="N41" s="39" t="s">
        <v>5542</v>
      </c>
      <c r="O41" s="39" t="s">
        <v>5543</v>
      </c>
      <c r="P41" s="39" t="s">
        <v>5544</v>
      </c>
      <c r="Q41" s="41">
        <v>44998</v>
      </c>
      <c r="R41" s="41">
        <v>44998</v>
      </c>
      <c r="S41" s="41">
        <v>45120</v>
      </c>
      <c r="T41" s="41" t="s">
        <v>612</v>
      </c>
      <c r="U41" s="41"/>
      <c r="V41" s="41"/>
      <c r="W41" s="236"/>
      <c r="X41" s="237">
        <v>10841700</v>
      </c>
      <c r="Y41" s="36">
        <f>M41-X41</f>
        <v>3613900</v>
      </c>
      <c r="Z41" s="37">
        <f t="shared" si="1"/>
        <v>0.75</v>
      </c>
      <c r="AA41" s="85">
        <v>72175282</v>
      </c>
      <c r="AB41" s="85" t="s">
        <v>5399</v>
      </c>
      <c r="AC41" s="239" t="s">
        <v>196</v>
      </c>
      <c r="AD41" s="85" t="s">
        <v>196</v>
      </c>
      <c r="AE41" s="236"/>
      <c r="AF41" s="238" t="s">
        <v>5545</v>
      </c>
      <c r="AG41" s="85" t="s">
        <v>192</v>
      </c>
      <c r="AH41" s="85" t="s">
        <v>191</v>
      </c>
    </row>
    <row r="42" spans="1:34" s="4" customFormat="1" x14ac:dyDescent="0.2">
      <c r="A42" s="16">
        <v>891780111</v>
      </c>
      <c r="B42" s="16" t="s">
        <v>54</v>
      </c>
      <c r="C42" s="85" t="s">
        <v>57</v>
      </c>
      <c r="D42" s="16" t="s">
        <v>60</v>
      </c>
      <c r="E42" s="1" t="s">
        <v>5546</v>
      </c>
      <c r="F42" s="16" t="s">
        <v>61</v>
      </c>
      <c r="G42" s="85" t="s">
        <v>61</v>
      </c>
      <c r="H42" s="85" t="s">
        <v>73</v>
      </c>
      <c r="I42" s="9">
        <v>32000000</v>
      </c>
      <c r="J42" s="94"/>
      <c r="K42" s="312"/>
      <c r="L42" s="2"/>
      <c r="M42" s="40">
        <f t="shared" si="2"/>
        <v>32000000</v>
      </c>
      <c r="N42" s="1" t="s">
        <v>5547</v>
      </c>
      <c r="O42" s="1" t="s">
        <v>5548</v>
      </c>
      <c r="P42" s="1" t="s">
        <v>5549</v>
      </c>
      <c r="Q42" s="3">
        <v>44998</v>
      </c>
      <c r="R42" s="3">
        <v>44998</v>
      </c>
      <c r="S42" s="3">
        <v>45120</v>
      </c>
      <c r="T42" s="41" t="s">
        <v>612</v>
      </c>
      <c r="U42" s="3"/>
      <c r="V42" s="3"/>
      <c r="W42" s="236"/>
      <c r="X42" s="237">
        <v>32000000</v>
      </c>
      <c r="Y42" s="9">
        <f t="shared" si="0"/>
        <v>0</v>
      </c>
      <c r="Z42" s="34">
        <f t="shared" si="1"/>
        <v>1</v>
      </c>
      <c r="AA42" s="85">
        <v>72175282</v>
      </c>
      <c r="AB42" s="85" t="s">
        <v>5399</v>
      </c>
      <c r="AC42" s="239" t="s">
        <v>196</v>
      </c>
      <c r="AD42" s="85" t="s">
        <v>196</v>
      </c>
      <c r="AE42" s="236"/>
      <c r="AF42" s="238" t="s">
        <v>5550</v>
      </c>
      <c r="AG42" s="85" t="s">
        <v>192</v>
      </c>
      <c r="AH42" s="85" t="s">
        <v>191</v>
      </c>
    </row>
    <row r="43" spans="1:34" s="4" customFormat="1" x14ac:dyDescent="0.2">
      <c r="A43" s="16">
        <v>891780111</v>
      </c>
      <c r="B43" s="16" t="s">
        <v>54</v>
      </c>
      <c r="C43" s="85" t="s">
        <v>56</v>
      </c>
      <c r="D43" s="16" t="s">
        <v>60</v>
      </c>
      <c r="E43" s="1" t="s">
        <v>5551</v>
      </c>
      <c r="F43" s="16" t="s">
        <v>61</v>
      </c>
      <c r="G43" s="85" t="s">
        <v>61</v>
      </c>
      <c r="H43" s="85" t="s">
        <v>73</v>
      </c>
      <c r="I43" s="9">
        <v>11778000</v>
      </c>
      <c r="J43" s="94"/>
      <c r="K43" s="312"/>
      <c r="L43" s="2"/>
      <c r="M43" s="40">
        <f t="shared" si="2"/>
        <v>11778000</v>
      </c>
      <c r="N43" s="1" t="s">
        <v>5552</v>
      </c>
      <c r="O43" s="1" t="s">
        <v>5553</v>
      </c>
      <c r="P43" s="1" t="s">
        <v>5554</v>
      </c>
      <c r="Q43" s="3">
        <v>44999</v>
      </c>
      <c r="R43" s="3">
        <v>44999</v>
      </c>
      <c r="S43" s="3">
        <v>45006</v>
      </c>
      <c r="T43" s="41" t="s">
        <v>612</v>
      </c>
      <c r="U43" s="3"/>
      <c r="V43" s="3"/>
      <c r="W43" s="236"/>
      <c r="X43" s="237">
        <v>11778000</v>
      </c>
      <c r="Y43" s="9">
        <f t="shared" si="0"/>
        <v>0</v>
      </c>
      <c r="Z43" s="34">
        <f t="shared" si="1"/>
        <v>1</v>
      </c>
      <c r="AA43" s="85">
        <v>12560219</v>
      </c>
      <c r="AB43" s="85" t="s">
        <v>516</v>
      </c>
      <c r="AC43" s="239" t="s">
        <v>196</v>
      </c>
      <c r="AD43" s="85" t="s">
        <v>196</v>
      </c>
      <c r="AE43" s="236"/>
      <c r="AF43" s="238" t="s">
        <v>5555</v>
      </c>
      <c r="AG43" s="85" t="s">
        <v>192</v>
      </c>
      <c r="AH43" s="85" t="s">
        <v>191</v>
      </c>
    </row>
    <row r="44" spans="1:34" s="4" customFormat="1" x14ac:dyDescent="0.2">
      <c r="A44" s="16">
        <v>891780111</v>
      </c>
      <c r="B44" s="16" t="s">
        <v>54</v>
      </c>
      <c r="C44" s="85" t="s">
        <v>56</v>
      </c>
      <c r="D44" s="16" t="s">
        <v>60</v>
      </c>
      <c r="E44" s="1" t="s">
        <v>5556</v>
      </c>
      <c r="F44" s="16" t="s">
        <v>61</v>
      </c>
      <c r="G44" s="85" t="s">
        <v>61</v>
      </c>
      <c r="H44" s="85" t="s">
        <v>73</v>
      </c>
      <c r="I44" s="9">
        <v>9994000</v>
      </c>
      <c r="J44" s="94"/>
      <c r="K44" s="312"/>
      <c r="L44" s="2"/>
      <c r="M44" s="40">
        <f t="shared" si="2"/>
        <v>9994000</v>
      </c>
      <c r="N44" s="1" t="s">
        <v>5552</v>
      </c>
      <c r="O44" s="1" t="s">
        <v>5553</v>
      </c>
      <c r="P44" s="1" t="s">
        <v>5557</v>
      </c>
      <c r="Q44" s="3">
        <v>44999</v>
      </c>
      <c r="R44" s="3">
        <v>44999</v>
      </c>
      <c r="S44" s="3">
        <v>45089</v>
      </c>
      <c r="T44" s="41" t="s">
        <v>612</v>
      </c>
      <c r="U44" s="3"/>
      <c r="V44" s="3"/>
      <c r="W44" s="236"/>
      <c r="X44" s="237">
        <v>9994000</v>
      </c>
      <c r="Y44" s="9">
        <f t="shared" si="0"/>
        <v>0</v>
      </c>
      <c r="Z44" s="34">
        <f t="shared" si="1"/>
        <v>1</v>
      </c>
      <c r="AA44" s="85">
        <v>21400608</v>
      </c>
      <c r="AB44" s="240" t="s">
        <v>5558</v>
      </c>
      <c r="AC44" s="241" t="s">
        <v>196</v>
      </c>
      <c r="AD44" s="85" t="s">
        <v>196</v>
      </c>
      <c r="AE44" s="236"/>
      <c r="AF44" s="238" t="s">
        <v>5559</v>
      </c>
      <c r="AG44" s="85" t="s">
        <v>192</v>
      </c>
      <c r="AH44" s="85" t="s">
        <v>191</v>
      </c>
    </row>
    <row r="45" spans="1:34" s="4" customFormat="1" x14ac:dyDescent="0.2">
      <c r="A45" s="16">
        <v>891780111</v>
      </c>
      <c r="B45" s="16" t="s">
        <v>54</v>
      </c>
      <c r="C45" s="85" t="s">
        <v>57</v>
      </c>
      <c r="D45" s="16" t="s">
        <v>60</v>
      </c>
      <c r="E45" s="1" t="s">
        <v>5560</v>
      </c>
      <c r="F45" s="16" t="s">
        <v>61</v>
      </c>
      <c r="G45" s="85" t="s">
        <v>61</v>
      </c>
      <c r="H45" s="85" t="s">
        <v>73</v>
      </c>
      <c r="I45" s="9">
        <v>35713840</v>
      </c>
      <c r="J45" s="94"/>
      <c r="K45" s="312"/>
      <c r="L45" s="2"/>
      <c r="M45" s="40">
        <f t="shared" si="2"/>
        <v>35713840</v>
      </c>
      <c r="N45" s="1" t="s">
        <v>5561</v>
      </c>
      <c r="O45" s="1" t="s">
        <v>5562</v>
      </c>
      <c r="P45" s="1" t="s">
        <v>5563</v>
      </c>
      <c r="Q45" s="3">
        <v>44999</v>
      </c>
      <c r="R45" s="3">
        <v>44999</v>
      </c>
      <c r="S45" s="3">
        <v>45121</v>
      </c>
      <c r="T45" s="41" t="s">
        <v>612</v>
      </c>
      <c r="U45" s="3"/>
      <c r="V45" s="3"/>
      <c r="W45" s="236"/>
      <c r="X45" s="237">
        <v>35713840</v>
      </c>
      <c r="Y45" s="9">
        <f t="shared" si="0"/>
        <v>0</v>
      </c>
      <c r="Z45" s="34">
        <f t="shared" si="1"/>
        <v>1</v>
      </c>
      <c r="AA45" s="85">
        <v>72175282</v>
      </c>
      <c r="AB45" s="85" t="s">
        <v>5399</v>
      </c>
      <c r="AC45" s="239" t="s">
        <v>196</v>
      </c>
      <c r="AD45" s="85" t="s">
        <v>196</v>
      </c>
      <c r="AE45" s="236"/>
      <c r="AF45" s="238" t="s">
        <v>5564</v>
      </c>
      <c r="AG45" s="85" t="s">
        <v>192</v>
      </c>
      <c r="AH45" s="85" t="s">
        <v>191</v>
      </c>
    </row>
    <row r="46" spans="1:34" s="4" customFormat="1" x14ac:dyDescent="0.2">
      <c r="A46" s="16">
        <v>891780111</v>
      </c>
      <c r="B46" s="16" t="s">
        <v>54</v>
      </c>
      <c r="C46" s="85" t="s">
        <v>57</v>
      </c>
      <c r="D46" s="16" t="s">
        <v>60</v>
      </c>
      <c r="E46" s="1" t="s">
        <v>5565</v>
      </c>
      <c r="F46" s="16" t="s">
        <v>61</v>
      </c>
      <c r="G46" s="85" t="s">
        <v>61</v>
      </c>
      <c r="H46" s="85" t="s">
        <v>73</v>
      </c>
      <c r="I46" s="9">
        <v>7589188</v>
      </c>
      <c r="J46" s="94"/>
      <c r="K46" s="312"/>
      <c r="L46" s="2"/>
      <c r="M46" s="40">
        <f t="shared" si="2"/>
        <v>7589188</v>
      </c>
      <c r="N46" s="1" t="s">
        <v>5566</v>
      </c>
      <c r="O46" s="1" t="s">
        <v>5567</v>
      </c>
      <c r="P46" s="1" t="s">
        <v>5568</v>
      </c>
      <c r="Q46" s="3">
        <v>44999</v>
      </c>
      <c r="R46" s="3">
        <v>44999</v>
      </c>
      <c r="S46" s="3">
        <v>45121</v>
      </c>
      <c r="T46" s="41" t="s">
        <v>612</v>
      </c>
      <c r="U46" s="3"/>
      <c r="V46" s="3"/>
      <c r="W46" s="236"/>
      <c r="X46" s="237">
        <v>7589188</v>
      </c>
      <c r="Y46" s="9">
        <f t="shared" si="0"/>
        <v>0</v>
      </c>
      <c r="Z46" s="34">
        <f t="shared" si="1"/>
        <v>1</v>
      </c>
      <c r="AA46" s="85">
        <v>72175282</v>
      </c>
      <c r="AB46" s="85" t="s">
        <v>5399</v>
      </c>
      <c r="AC46" s="239" t="s">
        <v>196</v>
      </c>
      <c r="AD46" s="85" t="s">
        <v>196</v>
      </c>
      <c r="AE46" s="236"/>
      <c r="AF46" s="238" t="s">
        <v>5569</v>
      </c>
      <c r="AG46" s="85" t="s">
        <v>192</v>
      </c>
      <c r="AH46" s="85" t="s">
        <v>191</v>
      </c>
    </row>
    <row r="47" spans="1:34" s="43" customFormat="1" x14ac:dyDescent="0.2">
      <c r="A47" s="38">
        <v>891780111</v>
      </c>
      <c r="B47" s="38" t="s">
        <v>54</v>
      </c>
      <c r="C47" s="85" t="s">
        <v>56</v>
      </c>
      <c r="D47" s="38" t="s">
        <v>60</v>
      </c>
      <c r="E47" s="39" t="s">
        <v>5570</v>
      </c>
      <c r="F47" s="38" t="s">
        <v>61</v>
      </c>
      <c r="G47" s="85" t="s">
        <v>61</v>
      </c>
      <c r="H47" s="85" t="s">
        <v>73</v>
      </c>
      <c r="I47" s="36">
        <v>175910000</v>
      </c>
      <c r="J47" s="325"/>
      <c r="K47" s="328"/>
      <c r="L47" s="61"/>
      <c r="M47" s="40">
        <f t="shared" si="2"/>
        <v>175910000</v>
      </c>
      <c r="N47" s="39" t="s">
        <v>5527</v>
      </c>
      <c r="O47" s="39" t="s">
        <v>5528</v>
      </c>
      <c r="P47" s="39" t="s">
        <v>5571</v>
      </c>
      <c r="Q47" s="41">
        <v>45001</v>
      </c>
      <c r="R47" s="41">
        <v>45001</v>
      </c>
      <c r="S47" s="41">
        <v>45008</v>
      </c>
      <c r="T47" s="41" t="s">
        <v>612</v>
      </c>
      <c r="U47" s="41"/>
      <c r="V47" s="41"/>
      <c r="W47" s="236"/>
      <c r="X47" s="237">
        <v>0</v>
      </c>
      <c r="Y47" s="36">
        <f t="shared" si="0"/>
        <v>175910000</v>
      </c>
      <c r="Z47" s="37">
        <f t="shared" si="1"/>
        <v>0</v>
      </c>
      <c r="AA47" s="85">
        <v>85465146</v>
      </c>
      <c r="AB47" s="85" t="s">
        <v>4857</v>
      </c>
      <c r="AC47" s="239" t="s">
        <v>196</v>
      </c>
      <c r="AD47" s="85" t="s">
        <v>196</v>
      </c>
      <c r="AE47" s="236">
        <v>45002</v>
      </c>
      <c r="AF47" s="238" t="s">
        <v>5572</v>
      </c>
      <c r="AG47" s="85" t="s">
        <v>192</v>
      </c>
      <c r="AH47" s="85" t="s">
        <v>191</v>
      </c>
    </row>
    <row r="48" spans="1:34" s="4" customFormat="1" x14ac:dyDescent="0.2">
      <c r="A48" s="16">
        <v>891780111</v>
      </c>
      <c r="B48" s="16" t="s">
        <v>54</v>
      </c>
      <c r="C48" s="85" t="s">
        <v>57</v>
      </c>
      <c r="D48" s="16" t="s">
        <v>60</v>
      </c>
      <c r="E48" s="1" t="s">
        <v>5573</v>
      </c>
      <c r="F48" s="16" t="s">
        <v>61</v>
      </c>
      <c r="G48" s="85" t="s">
        <v>61</v>
      </c>
      <c r="H48" s="85" t="s">
        <v>73</v>
      </c>
      <c r="I48" s="9">
        <v>8304000</v>
      </c>
      <c r="J48" s="94"/>
      <c r="K48" s="312"/>
      <c r="L48" s="2"/>
      <c r="M48" s="40">
        <f t="shared" si="2"/>
        <v>8304000</v>
      </c>
      <c r="N48" s="1" t="s">
        <v>5574</v>
      </c>
      <c r="O48" s="1" t="s">
        <v>5575</v>
      </c>
      <c r="P48" s="1" t="s">
        <v>5576</v>
      </c>
      <c r="Q48" s="3">
        <v>45003</v>
      </c>
      <c r="R48" s="3">
        <v>45003</v>
      </c>
      <c r="S48" s="3">
        <v>45125</v>
      </c>
      <c r="T48" s="41" t="s">
        <v>612</v>
      </c>
      <c r="U48" s="3"/>
      <c r="V48" s="3"/>
      <c r="W48" s="236"/>
      <c r="X48" s="237">
        <v>8304000</v>
      </c>
      <c r="Y48" s="9">
        <f t="shared" si="0"/>
        <v>0</v>
      </c>
      <c r="Z48" s="34">
        <f t="shared" si="1"/>
        <v>1</v>
      </c>
      <c r="AA48" s="85">
        <v>72175282</v>
      </c>
      <c r="AB48" s="85" t="s">
        <v>5399</v>
      </c>
      <c r="AC48" s="239" t="s">
        <v>196</v>
      </c>
      <c r="AD48" s="85" t="s">
        <v>196</v>
      </c>
      <c r="AE48" s="236"/>
      <c r="AF48" s="238" t="s">
        <v>5577</v>
      </c>
      <c r="AG48" s="85" t="s">
        <v>192</v>
      </c>
      <c r="AH48" s="85" t="s">
        <v>191</v>
      </c>
    </row>
    <row r="49" spans="1:34" s="4" customFormat="1" x14ac:dyDescent="0.2">
      <c r="A49" s="16">
        <v>891780111</v>
      </c>
      <c r="B49" s="16" t="s">
        <v>54</v>
      </c>
      <c r="C49" s="85" t="s">
        <v>57</v>
      </c>
      <c r="D49" s="16" t="s">
        <v>60</v>
      </c>
      <c r="E49" s="1" t="s">
        <v>5578</v>
      </c>
      <c r="F49" s="16" t="s">
        <v>61</v>
      </c>
      <c r="G49" s="85" t="s">
        <v>61</v>
      </c>
      <c r="H49" s="85" t="s">
        <v>73</v>
      </c>
      <c r="I49" s="9">
        <v>17438400</v>
      </c>
      <c r="J49" s="94"/>
      <c r="K49" s="312"/>
      <c r="L49" s="2"/>
      <c r="M49" s="40">
        <f t="shared" si="2"/>
        <v>17438400</v>
      </c>
      <c r="N49" s="1" t="s">
        <v>5579</v>
      </c>
      <c r="O49" s="1" t="s">
        <v>5580</v>
      </c>
      <c r="P49" s="1" t="s">
        <v>5581</v>
      </c>
      <c r="Q49" s="3">
        <v>45003</v>
      </c>
      <c r="R49" s="3">
        <v>45003</v>
      </c>
      <c r="S49" s="3">
        <v>45125</v>
      </c>
      <c r="T49" s="41" t="s">
        <v>612</v>
      </c>
      <c r="U49" s="3"/>
      <c r="V49" s="3"/>
      <c r="W49" s="236"/>
      <c r="X49" s="237">
        <v>8719200</v>
      </c>
      <c r="Y49" s="9">
        <f t="shared" si="0"/>
        <v>8719200</v>
      </c>
      <c r="Z49" s="34">
        <f t="shared" si="1"/>
        <v>0.5</v>
      </c>
      <c r="AA49" s="85">
        <v>72175282</v>
      </c>
      <c r="AB49" s="85" t="s">
        <v>5399</v>
      </c>
      <c r="AC49" s="239" t="s">
        <v>196</v>
      </c>
      <c r="AD49" s="85" t="s">
        <v>196</v>
      </c>
      <c r="AE49" s="236"/>
      <c r="AF49" s="238" t="s">
        <v>5582</v>
      </c>
      <c r="AG49" s="85" t="s">
        <v>192</v>
      </c>
      <c r="AH49" s="85" t="s">
        <v>191</v>
      </c>
    </row>
    <row r="50" spans="1:34" s="4" customFormat="1" x14ac:dyDescent="0.2">
      <c r="A50" s="16">
        <v>891780111</v>
      </c>
      <c r="B50" s="16" t="s">
        <v>54</v>
      </c>
      <c r="C50" s="85" t="s">
        <v>56</v>
      </c>
      <c r="D50" s="16" t="s">
        <v>60</v>
      </c>
      <c r="E50" s="1" t="s">
        <v>5583</v>
      </c>
      <c r="F50" s="16" t="s">
        <v>61</v>
      </c>
      <c r="G50" s="85" t="s">
        <v>61</v>
      </c>
      <c r="H50" s="85" t="s">
        <v>73</v>
      </c>
      <c r="I50" s="9">
        <v>71700000</v>
      </c>
      <c r="J50" s="94"/>
      <c r="K50" s="312"/>
      <c r="L50" s="2"/>
      <c r="M50" s="40">
        <f t="shared" si="2"/>
        <v>71700000</v>
      </c>
      <c r="N50" s="1" t="s">
        <v>5584</v>
      </c>
      <c r="O50" s="1" t="s">
        <v>5585</v>
      </c>
      <c r="P50" s="1" t="s">
        <v>5586</v>
      </c>
      <c r="Q50" s="3">
        <v>45007</v>
      </c>
      <c r="R50" s="3">
        <v>45027</v>
      </c>
      <c r="S50" s="3">
        <v>45291</v>
      </c>
      <c r="T50" s="41" t="s">
        <v>612</v>
      </c>
      <c r="U50" s="3"/>
      <c r="V50" s="3"/>
      <c r="W50" s="236"/>
      <c r="X50" s="237">
        <v>48639227</v>
      </c>
      <c r="Y50" s="9">
        <f t="shared" si="0"/>
        <v>23060773</v>
      </c>
      <c r="Z50" s="34">
        <f t="shared" si="1"/>
        <v>0.67837136680613663</v>
      </c>
      <c r="AA50" s="85">
        <v>85459497</v>
      </c>
      <c r="AB50" s="85" t="s">
        <v>4837</v>
      </c>
      <c r="AC50" s="85" t="s">
        <v>196</v>
      </c>
      <c r="AD50" s="85" t="s">
        <v>196</v>
      </c>
      <c r="AE50" s="236">
        <v>45027</v>
      </c>
      <c r="AF50" s="238" t="s">
        <v>5587</v>
      </c>
      <c r="AG50" s="85" t="s">
        <v>192</v>
      </c>
      <c r="AH50" s="85" t="s">
        <v>191</v>
      </c>
    </row>
    <row r="51" spans="1:34" s="4" customFormat="1" x14ac:dyDescent="0.2">
      <c r="A51" s="16">
        <v>891780111</v>
      </c>
      <c r="B51" s="16" t="s">
        <v>54</v>
      </c>
      <c r="C51" s="85" t="s">
        <v>56</v>
      </c>
      <c r="D51" s="16" t="s">
        <v>60</v>
      </c>
      <c r="E51" s="1" t="s">
        <v>5588</v>
      </c>
      <c r="F51" s="16" t="s">
        <v>61</v>
      </c>
      <c r="G51" s="85" t="s">
        <v>61</v>
      </c>
      <c r="H51" s="85" t="s">
        <v>73</v>
      </c>
      <c r="I51" s="9">
        <v>100000000</v>
      </c>
      <c r="J51" s="94"/>
      <c r="K51" s="312"/>
      <c r="L51" s="2"/>
      <c r="M51" s="40">
        <f t="shared" si="2"/>
        <v>100000000</v>
      </c>
      <c r="N51" s="1" t="s">
        <v>5589</v>
      </c>
      <c r="O51" s="1" t="s">
        <v>5590</v>
      </c>
      <c r="P51" s="1" t="s">
        <v>5591</v>
      </c>
      <c r="Q51" s="3">
        <v>45007</v>
      </c>
      <c r="R51" s="3">
        <v>45027</v>
      </c>
      <c r="S51" s="3">
        <v>45107</v>
      </c>
      <c r="T51" s="41" t="s">
        <v>612</v>
      </c>
      <c r="U51" s="3"/>
      <c r="V51" s="3"/>
      <c r="W51" s="236"/>
      <c r="X51" s="237">
        <v>99964535.090000004</v>
      </c>
      <c r="Y51" s="9">
        <f t="shared" si="0"/>
        <v>35464.909999996424</v>
      </c>
      <c r="Z51" s="34">
        <f t="shared" si="1"/>
        <v>0.99964535090000006</v>
      </c>
      <c r="AA51" s="85">
        <v>85459497</v>
      </c>
      <c r="AB51" s="85" t="s">
        <v>4837</v>
      </c>
      <c r="AC51" s="85" t="s">
        <v>196</v>
      </c>
      <c r="AD51" s="85" t="s">
        <v>196</v>
      </c>
      <c r="AE51" s="236">
        <v>45027</v>
      </c>
      <c r="AF51" s="238" t="s">
        <v>5592</v>
      </c>
      <c r="AG51" s="85" t="s">
        <v>192</v>
      </c>
      <c r="AH51" s="85" t="s">
        <v>191</v>
      </c>
    </row>
    <row r="52" spans="1:34" s="4" customFormat="1" x14ac:dyDescent="0.2">
      <c r="A52" s="16">
        <v>891780111</v>
      </c>
      <c r="B52" s="16" t="s">
        <v>54</v>
      </c>
      <c r="C52" s="85" t="s">
        <v>56</v>
      </c>
      <c r="D52" s="16" t="s">
        <v>60</v>
      </c>
      <c r="E52" s="1" t="s">
        <v>5593</v>
      </c>
      <c r="F52" s="16" t="s">
        <v>61</v>
      </c>
      <c r="G52" s="85" t="s">
        <v>61</v>
      </c>
      <c r="H52" s="85" t="s">
        <v>73</v>
      </c>
      <c r="I52" s="9">
        <v>8900667</v>
      </c>
      <c r="J52" s="94"/>
      <c r="K52" s="312"/>
      <c r="L52" s="2"/>
      <c r="M52" s="40">
        <f t="shared" si="2"/>
        <v>8900667</v>
      </c>
      <c r="N52" s="1" t="s">
        <v>5594</v>
      </c>
      <c r="O52" s="1" t="s">
        <v>5595</v>
      </c>
      <c r="P52" s="1" t="s">
        <v>5596</v>
      </c>
      <c r="Q52" s="3">
        <v>45007</v>
      </c>
      <c r="R52" s="3">
        <v>45008</v>
      </c>
      <c r="S52" s="3">
        <v>45374</v>
      </c>
      <c r="T52" s="41" t="s">
        <v>612</v>
      </c>
      <c r="U52" s="3"/>
      <c r="V52" s="3"/>
      <c r="W52" s="236"/>
      <c r="X52" s="237">
        <v>3677670.24</v>
      </c>
      <c r="Y52" s="9">
        <f t="shared" si="0"/>
        <v>5222996.76</v>
      </c>
      <c r="Z52" s="34">
        <f t="shared" si="1"/>
        <v>0.41319040921315225</v>
      </c>
      <c r="AA52" s="85">
        <v>85459497</v>
      </c>
      <c r="AB52" s="85" t="s">
        <v>4837</v>
      </c>
      <c r="AC52" s="85" t="s">
        <v>196</v>
      </c>
      <c r="AD52" s="85" t="s">
        <v>196</v>
      </c>
      <c r="AE52" s="236">
        <v>45009</v>
      </c>
      <c r="AF52" s="238" t="s">
        <v>5597</v>
      </c>
      <c r="AG52" s="85" t="s">
        <v>192</v>
      </c>
      <c r="AH52" s="85" t="s">
        <v>191</v>
      </c>
    </row>
    <row r="53" spans="1:34" s="43" customFormat="1" x14ac:dyDescent="0.2">
      <c r="A53" s="38">
        <v>891780111</v>
      </c>
      <c r="B53" s="38" t="s">
        <v>54</v>
      </c>
      <c r="C53" s="85" t="s">
        <v>56</v>
      </c>
      <c r="D53" s="38" t="s">
        <v>60</v>
      </c>
      <c r="E53" s="39" t="s">
        <v>5598</v>
      </c>
      <c r="F53" s="38" t="s">
        <v>61</v>
      </c>
      <c r="G53" s="85" t="s">
        <v>61</v>
      </c>
      <c r="H53" s="85" t="s">
        <v>73</v>
      </c>
      <c r="I53" s="36">
        <v>65000000</v>
      </c>
      <c r="J53" s="325"/>
      <c r="K53" s="328"/>
      <c r="L53" s="61"/>
      <c r="M53" s="40">
        <f t="shared" si="2"/>
        <v>65000000</v>
      </c>
      <c r="N53" s="39" t="s">
        <v>5599</v>
      </c>
      <c r="O53" s="39" t="s">
        <v>5600</v>
      </c>
      <c r="P53" s="39" t="s">
        <v>5601</v>
      </c>
      <c r="Q53" s="41">
        <v>45007</v>
      </c>
      <c r="R53" s="41">
        <v>45007</v>
      </c>
      <c r="S53" s="41">
        <v>45291</v>
      </c>
      <c r="T53" s="41" t="s">
        <v>612</v>
      </c>
      <c r="U53" s="41"/>
      <c r="V53" s="41"/>
      <c r="W53" s="236"/>
      <c r="X53" s="237">
        <v>6360000</v>
      </c>
      <c r="Y53" s="36">
        <f t="shared" si="0"/>
        <v>58640000</v>
      </c>
      <c r="Z53" s="37">
        <f t="shared" si="1"/>
        <v>9.7846153846153847E-2</v>
      </c>
      <c r="AA53" s="85">
        <v>85466528</v>
      </c>
      <c r="AB53" s="85" t="s">
        <v>5602</v>
      </c>
      <c r="AC53" s="85" t="s">
        <v>196</v>
      </c>
      <c r="AD53" s="85" t="s">
        <v>196</v>
      </c>
      <c r="AE53" s="236"/>
      <c r="AF53" s="238" t="s">
        <v>5603</v>
      </c>
      <c r="AG53" s="85" t="s">
        <v>192</v>
      </c>
      <c r="AH53" s="85" t="s">
        <v>191</v>
      </c>
    </row>
    <row r="54" spans="1:34" s="4" customFormat="1" x14ac:dyDescent="0.2">
      <c r="A54" s="16">
        <v>891780111</v>
      </c>
      <c r="B54" s="16" t="s">
        <v>54</v>
      </c>
      <c r="C54" s="85" t="s">
        <v>56</v>
      </c>
      <c r="D54" s="16" t="s">
        <v>60</v>
      </c>
      <c r="E54" s="1" t="s">
        <v>5604</v>
      </c>
      <c r="F54" s="16" t="s">
        <v>61</v>
      </c>
      <c r="G54" s="85" t="s">
        <v>61</v>
      </c>
      <c r="H54" s="85" t="s">
        <v>73</v>
      </c>
      <c r="I54" s="9">
        <v>26905900</v>
      </c>
      <c r="J54" s="94"/>
      <c r="K54" s="312"/>
      <c r="L54" s="2"/>
      <c r="M54" s="40">
        <f t="shared" si="2"/>
        <v>26905900</v>
      </c>
      <c r="N54" s="1" t="s">
        <v>5605</v>
      </c>
      <c r="O54" s="1" t="s">
        <v>5606</v>
      </c>
      <c r="P54" s="1" t="s">
        <v>5607</v>
      </c>
      <c r="Q54" s="3">
        <v>45009</v>
      </c>
      <c r="R54" s="3">
        <v>45012</v>
      </c>
      <c r="S54" s="3">
        <v>45056</v>
      </c>
      <c r="T54" s="41" t="s">
        <v>612</v>
      </c>
      <c r="U54" s="3"/>
      <c r="V54" s="3"/>
      <c r="W54" s="236"/>
      <c r="X54" s="237">
        <v>26905900</v>
      </c>
      <c r="Y54" s="9">
        <f t="shared" si="0"/>
        <v>0</v>
      </c>
      <c r="Z54" s="34">
        <f t="shared" si="1"/>
        <v>1</v>
      </c>
      <c r="AA54" s="85">
        <v>57297693</v>
      </c>
      <c r="AB54" s="85" t="s">
        <v>5446</v>
      </c>
      <c r="AC54" s="85" t="s">
        <v>196</v>
      </c>
      <c r="AD54" s="85" t="s">
        <v>196</v>
      </c>
      <c r="AE54" s="236">
        <v>45015</v>
      </c>
      <c r="AF54" s="238" t="s">
        <v>5608</v>
      </c>
      <c r="AG54" s="85" t="s">
        <v>192</v>
      </c>
      <c r="AH54" s="85" t="s">
        <v>191</v>
      </c>
    </row>
    <row r="55" spans="1:34" s="4" customFormat="1" x14ac:dyDescent="0.2">
      <c r="A55" s="16">
        <v>891780111</v>
      </c>
      <c r="B55" s="16" t="s">
        <v>54</v>
      </c>
      <c r="C55" s="85" t="s">
        <v>56</v>
      </c>
      <c r="D55" s="16" t="s">
        <v>60</v>
      </c>
      <c r="E55" s="1" t="s">
        <v>5609</v>
      </c>
      <c r="F55" s="16" t="s">
        <v>61</v>
      </c>
      <c r="G55" s="85" t="s">
        <v>61</v>
      </c>
      <c r="H55" s="85" t="s">
        <v>73</v>
      </c>
      <c r="I55" s="9">
        <v>2000000</v>
      </c>
      <c r="J55" s="94"/>
      <c r="K55" s="312"/>
      <c r="L55" s="2"/>
      <c r="M55" s="40">
        <f t="shared" si="2"/>
        <v>2000000</v>
      </c>
      <c r="N55" s="1" t="s">
        <v>5498</v>
      </c>
      <c r="O55" s="1" t="s">
        <v>5499</v>
      </c>
      <c r="P55" s="1" t="s">
        <v>5610</v>
      </c>
      <c r="Q55" s="3">
        <v>45010</v>
      </c>
      <c r="R55" s="3">
        <v>45012</v>
      </c>
      <c r="S55" s="3">
        <v>45012</v>
      </c>
      <c r="T55" s="41" t="s">
        <v>612</v>
      </c>
      <c r="U55" s="3"/>
      <c r="V55" s="3"/>
      <c r="W55" s="236"/>
      <c r="X55" s="237">
        <v>2000000</v>
      </c>
      <c r="Y55" s="9">
        <f t="shared" si="0"/>
        <v>0</v>
      </c>
      <c r="Z55" s="34">
        <f t="shared" si="1"/>
        <v>1</v>
      </c>
      <c r="AA55" s="85">
        <v>72175282</v>
      </c>
      <c r="AB55" s="85" t="s">
        <v>5399</v>
      </c>
      <c r="AC55" s="85" t="s">
        <v>196</v>
      </c>
      <c r="AD55" s="85" t="s">
        <v>196</v>
      </c>
      <c r="AE55" s="236"/>
      <c r="AF55" s="238" t="s">
        <v>5611</v>
      </c>
      <c r="AG55" s="85" t="s">
        <v>192</v>
      </c>
      <c r="AH55" s="85" t="s">
        <v>191</v>
      </c>
    </row>
    <row r="56" spans="1:34" s="4" customFormat="1" x14ac:dyDescent="0.2">
      <c r="A56" s="16">
        <v>891780111</v>
      </c>
      <c r="B56" s="16" t="s">
        <v>54</v>
      </c>
      <c r="C56" s="85" t="s">
        <v>56</v>
      </c>
      <c r="D56" s="16" t="s">
        <v>60</v>
      </c>
      <c r="E56" s="1" t="s">
        <v>5612</v>
      </c>
      <c r="F56" s="16" t="s">
        <v>61</v>
      </c>
      <c r="G56" s="85" t="s">
        <v>61</v>
      </c>
      <c r="H56" s="85" t="s">
        <v>73</v>
      </c>
      <c r="I56" s="9">
        <v>2000000</v>
      </c>
      <c r="J56" s="94"/>
      <c r="K56" s="312"/>
      <c r="L56" s="2"/>
      <c r="M56" s="40">
        <f t="shared" si="2"/>
        <v>2000000</v>
      </c>
      <c r="N56" s="1">
        <v>819004091</v>
      </c>
      <c r="O56" s="1" t="s">
        <v>5613</v>
      </c>
      <c r="P56" s="1" t="s">
        <v>5614</v>
      </c>
      <c r="Q56" s="3">
        <v>45010</v>
      </c>
      <c r="R56" s="3">
        <v>45014</v>
      </c>
      <c r="S56" s="3">
        <v>45014</v>
      </c>
      <c r="T56" s="41" t="s">
        <v>612</v>
      </c>
      <c r="U56" s="3"/>
      <c r="V56" s="3"/>
      <c r="W56" s="236"/>
      <c r="X56" s="237">
        <v>2000000</v>
      </c>
      <c r="Y56" s="9">
        <f t="shared" si="0"/>
        <v>0</v>
      </c>
      <c r="Z56" s="34">
        <f t="shared" si="1"/>
        <v>1</v>
      </c>
      <c r="AA56" s="85">
        <v>72175282</v>
      </c>
      <c r="AB56" s="85" t="s">
        <v>5399</v>
      </c>
      <c r="AC56" s="85" t="s">
        <v>196</v>
      </c>
      <c r="AD56" s="85" t="s">
        <v>196</v>
      </c>
      <c r="AE56" s="236"/>
      <c r="AF56" s="238" t="s">
        <v>5615</v>
      </c>
      <c r="AG56" s="85" t="s">
        <v>192</v>
      </c>
      <c r="AH56" s="85" t="s">
        <v>191</v>
      </c>
    </row>
    <row r="57" spans="1:34" s="4" customFormat="1" x14ac:dyDescent="0.2">
      <c r="A57" s="16">
        <v>891780111</v>
      </c>
      <c r="B57" s="16" t="s">
        <v>54</v>
      </c>
      <c r="C57" s="85" t="s">
        <v>56</v>
      </c>
      <c r="D57" s="16" t="s">
        <v>60</v>
      </c>
      <c r="E57" s="1" t="s">
        <v>5616</v>
      </c>
      <c r="F57" s="16" t="s">
        <v>61</v>
      </c>
      <c r="G57" s="85" t="s">
        <v>61</v>
      </c>
      <c r="H57" s="85" t="s">
        <v>73</v>
      </c>
      <c r="I57" s="9">
        <v>25000000</v>
      </c>
      <c r="J57" s="94"/>
      <c r="K57" s="312"/>
      <c r="L57" s="2"/>
      <c r="M57" s="40">
        <f t="shared" si="2"/>
        <v>25000000</v>
      </c>
      <c r="N57" s="1" t="s">
        <v>5617</v>
      </c>
      <c r="O57" s="1" t="s">
        <v>5618</v>
      </c>
      <c r="P57" s="1" t="s">
        <v>5619</v>
      </c>
      <c r="Q57" s="3">
        <v>45012</v>
      </c>
      <c r="R57" s="3">
        <v>45012</v>
      </c>
      <c r="S57" s="3">
        <v>45291</v>
      </c>
      <c r="T57" s="41" t="s">
        <v>612</v>
      </c>
      <c r="U57" s="3"/>
      <c r="V57" s="3"/>
      <c r="W57" s="236"/>
      <c r="X57" s="237">
        <v>24997750</v>
      </c>
      <c r="Y57" s="9">
        <f t="shared" si="0"/>
        <v>2250</v>
      </c>
      <c r="Z57" s="34">
        <f t="shared" si="1"/>
        <v>0.99990999999999997</v>
      </c>
      <c r="AA57" s="85">
        <v>72175282</v>
      </c>
      <c r="AB57" s="85" t="s">
        <v>5399</v>
      </c>
      <c r="AC57" s="85" t="s">
        <v>196</v>
      </c>
      <c r="AD57" s="85" t="s">
        <v>196</v>
      </c>
      <c r="AE57" s="236"/>
      <c r="AF57" s="238" t="s">
        <v>5620</v>
      </c>
      <c r="AG57" s="85" t="s">
        <v>192</v>
      </c>
      <c r="AH57" s="85" t="s">
        <v>191</v>
      </c>
    </row>
    <row r="58" spans="1:34" s="4" customFormat="1" x14ac:dyDescent="0.2">
      <c r="A58" s="16">
        <v>891780111</v>
      </c>
      <c r="B58" s="16" t="s">
        <v>54</v>
      </c>
      <c r="C58" s="85" t="s">
        <v>56</v>
      </c>
      <c r="D58" s="16" t="s">
        <v>60</v>
      </c>
      <c r="E58" s="1" t="s">
        <v>5621</v>
      </c>
      <c r="F58" s="16" t="s">
        <v>61</v>
      </c>
      <c r="G58" s="85" t="s">
        <v>61</v>
      </c>
      <c r="H58" s="85" t="s">
        <v>73</v>
      </c>
      <c r="I58" s="9">
        <v>14329133</v>
      </c>
      <c r="J58" s="94"/>
      <c r="K58" s="312"/>
      <c r="L58" s="2"/>
      <c r="M58" s="40">
        <f t="shared" si="2"/>
        <v>14329133</v>
      </c>
      <c r="N58" s="1" t="s">
        <v>5622</v>
      </c>
      <c r="O58" s="1" t="s">
        <v>5623</v>
      </c>
      <c r="P58" s="1" t="s">
        <v>5624</v>
      </c>
      <c r="Q58" s="3">
        <v>45012</v>
      </c>
      <c r="R58" s="3">
        <v>45014</v>
      </c>
      <c r="S58" s="3">
        <v>45380</v>
      </c>
      <c r="T58" s="41" t="s">
        <v>612</v>
      </c>
      <c r="U58" s="3"/>
      <c r="V58" s="3"/>
      <c r="W58" s="236"/>
      <c r="X58" s="237">
        <v>0</v>
      </c>
      <c r="Y58" s="9">
        <f t="shared" si="0"/>
        <v>14329133</v>
      </c>
      <c r="Z58" s="34">
        <f t="shared" si="1"/>
        <v>0</v>
      </c>
      <c r="AA58" s="85">
        <v>85459497</v>
      </c>
      <c r="AB58" s="85" t="s">
        <v>4837</v>
      </c>
      <c r="AC58" s="85" t="s">
        <v>196</v>
      </c>
      <c r="AD58" s="85" t="s">
        <v>196</v>
      </c>
      <c r="AE58" s="236">
        <v>45016</v>
      </c>
      <c r="AF58" s="238" t="s">
        <v>5625</v>
      </c>
      <c r="AG58" s="85" t="s">
        <v>192</v>
      </c>
      <c r="AH58" s="85" t="s">
        <v>191</v>
      </c>
    </row>
    <row r="59" spans="1:34" s="43" customFormat="1" x14ac:dyDescent="0.2">
      <c r="A59" s="38">
        <v>891780111</v>
      </c>
      <c r="B59" s="38" t="s">
        <v>54</v>
      </c>
      <c r="C59" s="85" t="s">
        <v>56</v>
      </c>
      <c r="D59" s="38" t="s">
        <v>60</v>
      </c>
      <c r="E59" s="39" t="s">
        <v>5626</v>
      </c>
      <c r="F59" s="38" t="s">
        <v>61</v>
      </c>
      <c r="G59" s="85" t="s">
        <v>61</v>
      </c>
      <c r="H59" s="85" t="s">
        <v>73</v>
      </c>
      <c r="I59" s="36">
        <v>87000000</v>
      </c>
      <c r="J59" s="325"/>
      <c r="K59" s="328"/>
      <c r="L59" s="61"/>
      <c r="M59" s="40">
        <f t="shared" si="2"/>
        <v>87000000</v>
      </c>
      <c r="N59" s="39" t="s">
        <v>5627</v>
      </c>
      <c r="O59" s="39" t="s">
        <v>5628</v>
      </c>
      <c r="P59" s="39" t="s">
        <v>5629</v>
      </c>
      <c r="Q59" s="41">
        <v>45013</v>
      </c>
      <c r="R59" s="41">
        <v>45014</v>
      </c>
      <c r="S59" s="41">
        <v>45020</v>
      </c>
      <c r="T59" s="41" t="s">
        <v>612</v>
      </c>
      <c r="U59" s="41"/>
      <c r="V59" s="41"/>
      <c r="W59" s="236"/>
      <c r="X59" s="237">
        <v>87000000</v>
      </c>
      <c r="Y59" s="36">
        <f t="shared" si="0"/>
        <v>0</v>
      </c>
      <c r="Z59" s="37">
        <f t="shared" si="1"/>
        <v>1</v>
      </c>
      <c r="AA59" s="85">
        <v>7633815</v>
      </c>
      <c r="AB59" s="85" t="s">
        <v>5425</v>
      </c>
      <c r="AC59" s="85" t="s">
        <v>196</v>
      </c>
      <c r="AD59" s="85" t="s">
        <v>196</v>
      </c>
      <c r="AE59" s="236">
        <v>45015</v>
      </c>
      <c r="AF59" s="238" t="s">
        <v>5630</v>
      </c>
      <c r="AG59" s="85" t="s">
        <v>192</v>
      </c>
      <c r="AH59" s="85" t="s">
        <v>191</v>
      </c>
    </row>
    <row r="60" spans="1:34" s="4" customFormat="1" x14ac:dyDescent="0.2">
      <c r="A60" s="16">
        <v>891780111</v>
      </c>
      <c r="B60" s="16" t="s">
        <v>54</v>
      </c>
      <c r="C60" s="85" t="s">
        <v>56</v>
      </c>
      <c r="D60" s="16" t="s">
        <v>60</v>
      </c>
      <c r="E60" s="1" t="s">
        <v>5631</v>
      </c>
      <c r="F60" s="16" t="s">
        <v>61</v>
      </c>
      <c r="G60" s="85" t="s">
        <v>61</v>
      </c>
      <c r="H60" s="85" t="s">
        <v>73</v>
      </c>
      <c r="I60" s="9">
        <v>90020000</v>
      </c>
      <c r="J60" s="94"/>
      <c r="K60" s="312"/>
      <c r="L60" s="2"/>
      <c r="M60" s="40">
        <f t="shared" si="2"/>
        <v>90020000</v>
      </c>
      <c r="N60" s="1" t="s">
        <v>5632</v>
      </c>
      <c r="O60" s="1" t="s">
        <v>5633</v>
      </c>
      <c r="P60" s="1" t="s">
        <v>5634</v>
      </c>
      <c r="Q60" s="3">
        <v>45014</v>
      </c>
      <c r="R60" s="3">
        <v>45014</v>
      </c>
      <c r="S60" s="3">
        <v>45020</v>
      </c>
      <c r="T60" s="41" t="s">
        <v>612</v>
      </c>
      <c r="U60" s="3"/>
      <c r="V60" s="3"/>
      <c r="W60" s="236"/>
      <c r="X60" s="237">
        <v>90020000</v>
      </c>
      <c r="Y60" s="9">
        <f t="shared" si="0"/>
        <v>0</v>
      </c>
      <c r="Z60" s="34">
        <f t="shared" si="1"/>
        <v>1</v>
      </c>
      <c r="AA60" s="85">
        <v>7633815</v>
      </c>
      <c r="AB60" s="85" t="s">
        <v>5425</v>
      </c>
      <c r="AC60" s="85" t="s">
        <v>196</v>
      </c>
      <c r="AD60" s="85" t="s">
        <v>196</v>
      </c>
      <c r="AE60" s="236">
        <v>45015</v>
      </c>
      <c r="AF60" s="238" t="s">
        <v>5635</v>
      </c>
      <c r="AG60" s="85" t="s">
        <v>192</v>
      </c>
      <c r="AH60" s="85" t="s">
        <v>191</v>
      </c>
    </row>
    <row r="61" spans="1:34" s="4" customFormat="1" x14ac:dyDescent="0.2">
      <c r="A61" s="16">
        <v>891780111</v>
      </c>
      <c r="B61" s="16" t="s">
        <v>54</v>
      </c>
      <c r="C61" s="85" t="s">
        <v>56</v>
      </c>
      <c r="D61" s="16" t="s">
        <v>60</v>
      </c>
      <c r="E61" s="1" t="s">
        <v>5636</v>
      </c>
      <c r="F61" s="16" t="s">
        <v>61</v>
      </c>
      <c r="G61" s="85" t="s">
        <v>61</v>
      </c>
      <c r="H61" s="85" t="s">
        <v>73</v>
      </c>
      <c r="I61" s="9">
        <v>12342547</v>
      </c>
      <c r="J61" s="94"/>
      <c r="K61" s="312"/>
      <c r="L61" s="2"/>
      <c r="M61" s="40">
        <f t="shared" si="2"/>
        <v>12342547</v>
      </c>
      <c r="N61" s="1" t="s">
        <v>5637</v>
      </c>
      <c r="O61" s="1" t="s">
        <v>5638</v>
      </c>
      <c r="P61" s="1" t="s">
        <v>5639</v>
      </c>
      <c r="Q61" s="3">
        <v>45014</v>
      </c>
      <c r="R61" s="3">
        <v>45026</v>
      </c>
      <c r="S61" s="3">
        <v>45392</v>
      </c>
      <c r="T61" s="41" t="s">
        <v>612</v>
      </c>
      <c r="U61" s="3"/>
      <c r="V61" s="3"/>
      <c r="W61" s="236"/>
      <c r="X61" s="237">
        <v>0</v>
      </c>
      <c r="Y61" s="9">
        <f t="shared" si="0"/>
        <v>12342547</v>
      </c>
      <c r="Z61" s="34">
        <f t="shared" si="1"/>
        <v>0</v>
      </c>
      <c r="AA61" s="85">
        <v>85459497</v>
      </c>
      <c r="AB61" s="85" t="s">
        <v>4837</v>
      </c>
      <c r="AC61" s="85" t="s">
        <v>196</v>
      </c>
      <c r="AD61" s="85" t="s">
        <v>196</v>
      </c>
      <c r="AE61" s="236"/>
      <c r="AF61" s="238" t="s">
        <v>5640</v>
      </c>
      <c r="AG61" s="85" t="s">
        <v>192</v>
      </c>
      <c r="AH61" s="85" t="s">
        <v>191</v>
      </c>
    </row>
    <row r="62" spans="1:34" s="4" customFormat="1" x14ac:dyDescent="0.2">
      <c r="A62" s="16">
        <v>891780111</v>
      </c>
      <c r="B62" s="16" t="s">
        <v>54</v>
      </c>
      <c r="C62" s="85" t="s">
        <v>56</v>
      </c>
      <c r="D62" s="16" t="s">
        <v>60</v>
      </c>
      <c r="E62" s="1" t="s">
        <v>5641</v>
      </c>
      <c r="F62" s="16" t="s">
        <v>61</v>
      </c>
      <c r="G62" s="85" t="s">
        <v>61</v>
      </c>
      <c r="H62" s="85" t="s">
        <v>73</v>
      </c>
      <c r="I62" s="9">
        <v>2000000</v>
      </c>
      <c r="J62" s="94"/>
      <c r="K62" s="312"/>
      <c r="L62" s="2"/>
      <c r="M62" s="40">
        <f t="shared" si="2"/>
        <v>2000000</v>
      </c>
      <c r="N62" s="1" t="s">
        <v>5642</v>
      </c>
      <c r="O62" s="1" t="s">
        <v>5643</v>
      </c>
      <c r="P62" s="1" t="s">
        <v>5644</v>
      </c>
      <c r="Q62" s="3">
        <v>45014</v>
      </c>
      <c r="R62" s="3">
        <v>45026</v>
      </c>
      <c r="S62" s="3">
        <v>45026</v>
      </c>
      <c r="T62" s="41" t="s">
        <v>612</v>
      </c>
      <c r="U62" s="3"/>
      <c r="V62" s="3"/>
      <c r="W62" s="236"/>
      <c r="X62" s="237">
        <v>0</v>
      </c>
      <c r="Y62" s="9">
        <f t="shared" si="0"/>
        <v>2000000</v>
      </c>
      <c r="Z62" s="34">
        <f t="shared" si="1"/>
        <v>0</v>
      </c>
      <c r="AA62" s="85">
        <v>85459497</v>
      </c>
      <c r="AB62" s="85" t="s">
        <v>4837</v>
      </c>
      <c r="AC62" s="85" t="s">
        <v>196</v>
      </c>
      <c r="AD62" s="85" t="s">
        <v>196</v>
      </c>
      <c r="AE62" s="236"/>
      <c r="AF62" s="238" t="s">
        <v>5645</v>
      </c>
      <c r="AG62" s="85" t="s">
        <v>192</v>
      </c>
      <c r="AH62" s="85" t="s">
        <v>191</v>
      </c>
    </row>
    <row r="63" spans="1:34" s="4" customFormat="1" x14ac:dyDescent="0.25">
      <c r="A63" s="16">
        <v>891780111</v>
      </c>
      <c r="B63" s="16" t="s">
        <v>54</v>
      </c>
      <c r="C63" s="85" t="s">
        <v>56</v>
      </c>
      <c r="D63" s="16" t="s">
        <v>60</v>
      </c>
      <c r="E63" s="1" t="s">
        <v>5646</v>
      </c>
      <c r="F63" s="16" t="s">
        <v>61</v>
      </c>
      <c r="G63" s="85" t="s">
        <v>61</v>
      </c>
      <c r="H63" s="85" t="s">
        <v>73</v>
      </c>
      <c r="I63" s="9">
        <v>2000000</v>
      </c>
      <c r="J63" s="94"/>
      <c r="K63" s="312"/>
      <c r="L63" s="2"/>
      <c r="M63" s="40">
        <f t="shared" si="2"/>
        <v>2000000</v>
      </c>
      <c r="N63" s="1" t="s">
        <v>5647</v>
      </c>
      <c r="O63" s="1" t="s">
        <v>5648</v>
      </c>
      <c r="P63" s="1" t="s">
        <v>5649</v>
      </c>
      <c r="Q63" s="3">
        <v>45016</v>
      </c>
      <c r="R63" s="3">
        <v>45016</v>
      </c>
      <c r="S63" s="3">
        <v>45016</v>
      </c>
      <c r="T63" s="41" t="s">
        <v>612</v>
      </c>
      <c r="U63" s="3"/>
      <c r="V63" s="3"/>
      <c r="W63" s="236"/>
      <c r="X63" s="237">
        <v>0</v>
      </c>
      <c r="Y63" s="9">
        <f t="shared" si="0"/>
        <v>2000000</v>
      </c>
      <c r="Z63" s="34">
        <f t="shared" si="1"/>
        <v>0</v>
      </c>
      <c r="AA63" s="85">
        <v>72175282</v>
      </c>
      <c r="AB63" s="85" t="s">
        <v>5399</v>
      </c>
      <c r="AC63" s="85" t="s">
        <v>196</v>
      </c>
      <c r="AD63" s="85" t="s">
        <v>196</v>
      </c>
      <c r="AE63" s="236"/>
      <c r="AF63" s="77" t="s">
        <v>5650</v>
      </c>
      <c r="AG63" s="85" t="s">
        <v>192</v>
      </c>
      <c r="AH63" s="85" t="s">
        <v>191</v>
      </c>
    </row>
    <row r="64" spans="1:34" s="4" customFormat="1" x14ac:dyDescent="0.25">
      <c r="A64" s="16">
        <v>891780111</v>
      </c>
      <c r="B64" s="16" t="s">
        <v>54</v>
      </c>
      <c r="C64" s="85" t="s">
        <v>56</v>
      </c>
      <c r="D64" s="16" t="s">
        <v>60</v>
      </c>
      <c r="E64" s="1" t="s">
        <v>5651</v>
      </c>
      <c r="F64" s="16" t="s">
        <v>61</v>
      </c>
      <c r="G64" s="85" t="s">
        <v>61</v>
      </c>
      <c r="H64" s="85" t="s">
        <v>73</v>
      </c>
      <c r="I64" s="9">
        <v>41000000</v>
      </c>
      <c r="J64" s="94"/>
      <c r="K64" s="312"/>
      <c r="L64" s="2"/>
      <c r="M64" s="40">
        <f t="shared" si="2"/>
        <v>41000000</v>
      </c>
      <c r="N64" s="1" t="s">
        <v>5652</v>
      </c>
      <c r="O64" s="1" t="s">
        <v>5653</v>
      </c>
      <c r="P64" s="1" t="s">
        <v>5654</v>
      </c>
      <c r="Q64" s="3">
        <v>45026</v>
      </c>
      <c r="R64" s="3">
        <v>45026</v>
      </c>
      <c r="S64" s="3">
        <v>45291</v>
      </c>
      <c r="T64" s="41" t="s">
        <v>612</v>
      </c>
      <c r="U64" s="3"/>
      <c r="V64" s="3"/>
      <c r="W64" s="236"/>
      <c r="X64" s="237">
        <v>16112195</v>
      </c>
      <c r="Y64" s="9">
        <f t="shared" si="0"/>
        <v>24887805</v>
      </c>
      <c r="Z64" s="34">
        <f t="shared" si="1"/>
        <v>0.39298036585365853</v>
      </c>
      <c r="AA64" s="85">
        <v>85459497</v>
      </c>
      <c r="AB64" s="85" t="s">
        <v>4837</v>
      </c>
      <c r="AC64" s="85" t="s">
        <v>196</v>
      </c>
      <c r="AD64" s="85" t="s">
        <v>196</v>
      </c>
      <c r="AE64" s="236">
        <v>45027</v>
      </c>
      <c r="AF64" s="77" t="s">
        <v>5655</v>
      </c>
      <c r="AG64" s="85" t="s">
        <v>192</v>
      </c>
      <c r="AH64" s="85" t="s">
        <v>191</v>
      </c>
    </row>
    <row r="65" spans="1:34" s="43" customFormat="1" x14ac:dyDescent="0.25">
      <c r="A65" s="38">
        <v>891780111</v>
      </c>
      <c r="B65" s="38" t="s">
        <v>54</v>
      </c>
      <c r="C65" s="85" t="s">
        <v>56</v>
      </c>
      <c r="D65" s="38" t="s">
        <v>60</v>
      </c>
      <c r="E65" s="39" t="s">
        <v>5656</v>
      </c>
      <c r="F65" s="38" t="s">
        <v>61</v>
      </c>
      <c r="G65" s="85" t="s">
        <v>61</v>
      </c>
      <c r="H65" s="85" t="s">
        <v>73</v>
      </c>
      <c r="I65" s="36">
        <v>40000000</v>
      </c>
      <c r="J65" s="325"/>
      <c r="K65" s="328"/>
      <c r="L65" s="61"/>
      <c r="M65" s="40">
        <f t="shared" si="2"/>
        <v>40000000</v>
      </c>
      <c r="N65" s="39" t="s">
        <v>5657</v>
      </c>
      <c r="O65" s="39" t="s">
        <v>5658</v>
      </c>
      <c r="P65" s="39" t="s">
        <v>5659</v>
      </c>
      <c r="Q65" s="41">
        <v>45028</v>
      </c>
      <c r="R65" s="41">
        <v>45028</v>
      </c>
      <c r="S65" s="41">
        <v>45291</v>
      </c>
      <c r="T65" s="41" t="s">
        <v>612</v>
      </c>
      <c r="U65" s="41"/>
      <c r="V65" s="41"/>
      <c r="W65" s="236"/>
      <c r="X65" s="237">
        <v>24237000</v>
      </c>
      <c r="Y65" s="36">
        <f t="shared" si="0"/>
        <v>15763000</v>
      </c>
      <c r="Z65" s="37">
        <f t="shared" si="1"/>
        <v>0.60592500000000005</v>
      </c>
      <c r="AA65" s="85">
        <v>85459497</v>
      </c>
      <c r="AB65" s="85" t="s">
        <v>4837</v>
      </c>
      <c r="AC65" s="85" t="s">
        <v>196</v>
      </c>
      <c r="AD65" s="85" t="s">
        <v>196</v>
      </c>
      <c r="AE65" s="236"/>
      <c r="AF65" s="77" t="s">
        <v>5660</v>
      </c>
      <c r="AG65" s="85" t="s">
        <v>192</v>
      </c>
      <c r="AH65" s="85" t="s">
        <v>191</v>
      </c>
    </row>
    <row r="66" spans="1:34" s="4" customFormat="1" x14ac:dyDescent="0.25">
      <c r="A66" s="16">
        <v>891780111</v>
      </c>
      <c r="B66" s="16" t="s">
        <v>54</v>
      </c>
      <c r="C66" s="85" t="s">
        <v>56</v>
      </c>
      <c r="D66" s="16" t="s">
        <v>60</v>
      </c>
      <c r="E66" s="1" t="s">
        <v>5661</v>
      </c>
      <c r="F66" s="16" t="s">
        <v>61</v>
      </c>
      <c r="G66" s="85" t="s">
        <v>61</v>
      </c>
      <c r="H66" s="85" t="s">
        <v>73</v>
      </c>
      <c r="I66" s="9">
        <v>50000000</v>
      </c>
      <c r="J66" s="94"/>
      <c r="K66" s="312"/>
      <c r="L66" s="2"/>
      <c r="M66" s="40">
        <f t="shared" si="2"/>
        <v>50000000</v>
      </c>
      <c r="N66" s="1" t="s">
        <v>5662</v>
      </c>
      <c r="O66" s="1" t="s">
        <v>5663</v>
      </c>
      <c r="P66" s="1" t="s">
        <v>5664</v>
      </c>
      <c r="Q66" s="3">
        <v>45029</v>
      </c>
      <c r="R66" s="3">
        <v>45029</v>
      </c>
      <c r="S66" s="3">
        <v>45291</v>
      </c>
      <c r="T66" s="41" t="s">
        <v>612</v>
      </c>
      <c r="U66" s="3"/>
      <c r="V66" s="3"/>
      <c r="W66" s="236"/>
      <c r="X66" s="237">
        <v>26720855</v>
      </c>
      <c r="Y66" s="9">
        <f t="shared" si="0"/>
        <v>23279145</v>
      </c>
      <c r="Z66" s="34">
        <f t="shared" si="1"/>
        <v>0.53441709999999998</v>
      </c>
      <c r="AA66" s="85">
        <v>57400977</v>
      </c>
      <c r="AB66" s="85" t="s">
        <v>4924</v>
      </c>
      <c r="AC66" s="85" t="s">
        <v>196</v>
      </c>
      <c r="AD66" s="85" t="s">
        <v>196</v>
      </c>
      <c r="AE66" s="236"/>
      <c r="AF66" s="77" t="s">
        <v>5665</v>
      </c>
      <c r="AG66" s="85" t="s">
        <v>192</v>
      </c>
      <c r="AH66" s="85" t="s">
        <v>191</v>
      </c>
    </row>
    <row r="67" spans="1:34" s="4" customFormat="1" x14ac:dyDescent="0.25">
      <c r="A67" s="16">
        <v>891780111</v>
      </c>
      <c r="B67" s="16" t="s">
        <v>54</v>
      </c>
      <c r="C67" s="85" t="s">
        <v>56</v>
      </c>
      <c r="D67" s="16" t="s">
        <v>60</v>
      </c>
      <c r="E67" s="1" t="s">
        <v>5666</v>
      </c>
      <c r="F67" s="16" t="s">
        <v>61</v>
      </c>
      <c r="G67" s="85" t="s">
        <v>61</v>
      </c>
      <c r="H67" s="85" t="s">
        <v>73</v>
      </c>
      <c r="I67" s="9">
        <v>100000000</v>
      </c>
      <c r="J67" s="94">
        <v>1</v>
      </c>
      <c r="K67" s="312">
        <v>43698450</v>
      </c>
      <c r="L67" s="2"/>
      <c r="M67" s="40">
        <f t="shared" si="2"/>
        <v>143698450</v>
      </c>
      <c r="N67" s="1" t="s">
        <v>5667</v>
      </c>
      <c r="O67" s="1" t="s">
        <v>5668</v>
      </c>
      <c r="P67" s="1" t="s">
        <v>5669</v>
      </c>
      <c r="Q67" s="3">
        <v>45030</v>
      </c>
      <c r="R67" s="3">
        <v>45030</v>
      </c>
      <c r="S67" s="3">
        <v>45183</v>
      </c>
      <c r="T67" s="41" t="s">
        <v>612</v>
      </c>
      <c r="U67" s="3"/>
      <c r="V67" s="3"/>
      <c r="W67" s="236"/>
      <c r="X67" s="237">
        <v>143383100</v>
      </c>
      <c r="Y67" s="9">
        <f t="shared" si="0"/>
        <v>315350</v>
      </c>
      <c r="Z67" s="34">
        <f t="shared" si="1"/>
        <v>0.99780547389342056</v>
      </c>
      <c r="AA67" s="85">
        <v>57297693</v>
      </c>
      <c r="AB67" s="85" t="s">
        <v>5446</v>
      </c>
      <c r="AC67" s="85" t="s">
        <v>196</v>
      </c>
      <c r="AD67" s="85" t="s">
        <v>196</v>
      </c>
      <c r="AE67" s="236">
        <v>45030</v>
      </c>
      <c r="AF67" s="77" t="s">
        <v>5670</v>
      </c>
      <c r="AG67" s="85" t="s">
        <v>192</v>
      </c>
      <c r="AH67" s="85" t="s">
        <v>191</v>
      </c>
    </row>
    <row r="68" spans="1:34" s="4" customFormat="1" x14ac:dyDescent="0.25">
      <c r="A68" s="16">
        <v>891780111</v>
      </c>
      <c r="B68" s="16" t="s">
        <v>54</v>
      </c>
      <c r="C68" s="85" t="s">
        <v>56</v>
      </c>
      <c r="D68" s="16" t="s">
        <v>60</v>
      </c>
      <c r="E68" s="1" t="s">
        <v>5671</v>
      </c>
      <c r="F68" s="16" t="s">
        <v>61</v>
      </c>
      <c r="G68" s="85" t="s">
        <v>61</v>
      </c>
      <c r="H68" s="85" t="s">
        <v>73</v>
      </c>
      <c r="I68" s="9">
        <v>7000000</v>
      </c>
      <c r="J68" s="94"/>
      <c r="K68" s="312"/>
      <c r="L68" s="2"/>
      <c r="M68" s="40">
        <f t="shared" si="2"/>
        <v>7000000</v>
      </c>
      <c r="N68" s="1" t="s">
        <v>5642</v>
      </c>
      <c r="O68" s="1" t="s">
        <v>5643</v>
      </c>
      <c r="P68" s="1" t="s">
        <v>5672</v>
      </c>
      <c r="Q68" s="3">
        <v>45036</v>
      </c>
      <c r="R68" s="3">
        <v>45043</v>
      </c>
      <c r="S68" s="3">
        <v>45082</v>
      </c>
      <c r="T68" s="41" t="s">
        <v>612</v>
      </c>
      <c r="U68" s="3"/>
      <c r="V68" s="3"/>
      <c r="W68" s="236"/>
      <c r="X68" s="237">
        <v>7000000</v>
      </c>
      <c r="Y68" s="9">
        <f t="shared" si="0"/>
        <v>0</v>
      </c>
      <c r="Z68" s="34">
        <f t="shared" si="1"/>
        <v>1</v>
      </c>
      <c r="AA68" s="85">
        <v>72175282</v>
      </c>
      <c r="AB68" s="85" t="s">
        <v>5399</v>
      </c>
      <c r="AC68" s="85" t="s">
        <v>196</v>
      </c>
      <c r="AD68" s="85" t="s">
        <v>196</v>
      </c>
      <c r="AE68" s="236"/>
      <c r="AF68" s="77" t="s">
        <v>5673</v>
      </c>
      <c r="AG68" s="85" t="s">
        <v>192</v>
      </c>
      <c r="AH68" s="85" t="s">
        <v>191</v>
      </c>
    </row>
    <row r="69" spans="1:34" s="4" customFormat="1" x14ac:dyDescent="0.25">
      <c r="A69" s="16">
        <v>891780111</v>
      </c>
      <c r="B69" s="16" t="s">
        <v>54</v>
      </c>
      <c r="C69" s="85" t="s">
        <v>56</v>
      </c>
      <c r="D69" s="16" t="s">
        <v>60</v>
      </c>
      <c r="E69" s="1" t="s">
        <v>5674</v>
      </c>
      <c r="F69" s="16" t="s">
        <v>61</v>
      </c>
      <c r="G69" s="85" t="s">
        <v>61</v>
      </c>
      <c r="H69" s="85" t="s">
        <v>73</v>
      </c>
      <c r="I69" s="9">
        <v>9000000</v>
      </c>
      <c r="J69" s="94"/>
      <c r="K69" s="312"/>
      <c r="L69" s="2"/>
      <c r="M69" s="40">
        <f t="shared" si="2"/>
        <v>9000000</v>
      </c>
      <c r="N69" s="1" t="s">
        <v>5498</v>
      </c>
      <c r="O69" s="1" t="s">
        <v>5499</v>
      </c>
      <c r="P69" s="1" t="s">
        <v>5675</v>
      </c>
      <c r="Q69" s="3">
        <v>45036</v>
      </c>
      <c r="R69" s="3">
        <v>45040</v>
      </c>
      <c r="S69" s="3">
        <v>45079</v>
      </c>
      <c r="T69" s="41" t="s">
        <v>612</v>
      </c>
      <c r="U69" s="3"/>
      <c r="V69" s="3"/>
      <c r="W69" s="236"/>
      <c r="X69" s="237">
        <v>9000000</v>
      </c>
      <c r="Y69" s="9">
        <f t="shared" si="0"/>
        <v>0</v>
      </c>
      <c r="Z69" s="34">
        <f t="shared" si="1"/>
        <v>1</v>
      </c>
      <c r="AA69" s="85">
        <v>72175282</v>
      </c>
      <c r="AB69" s="85" t="s">
        <v>5399</v>
      </c>
      <c r="AC69" s="85" t="s">
        <v>196</v>
      </c>
      <c r="AD69" s="85" t="s">
        <v>196</v>
      </c>
      <c r="AE69" s="236"/>
      <c r="AF69" s="77" t="s">
        <v>5676</v>
      </c>
      <c r="AG69" s="85" t="s">
        <v>192</v>
      </c>
      <c r="AH69" s="85" t="s">
        <v>191</v>
      </c>
    </row>
    <row r="70" spans="1:34" s="4" customFormat="1" x14ac:dyDescent="0.25">
      <c r="A70" s="16">
        <v>891780111</v>
      </c>
      <c r="B70" s="16" t="s">
        <v>54</v>
      </c>
      <c r="C70" s="85" t="s">
        <v>56</v>
      </c>
      <c r="D70" s="16" t="s">
        <v>60</v>
      </c>
      <c r="E70" s="1" t="s">
        <v>5677</v>
      </c>
      <c r="F70" s="16" t="s">
        <v>61</v>
      </c>
      <c r="G70" s="85" t="s">
        <v>61</v>
      </c>
      <c r="H70" s="85" t="s">
        <v>73</v>
      </c>
      <c r="I70" s="9">
        <v>20000000</v>
      </c>
      <c r="J70" s="94"/>
      <c r="K70" s="312"/>
      <c r="L70" s="2"/>
      <c r="M70" s="40">
        <f t="shared" ref="M70:M178" si="3">+I70+K70-L70</f>
        <v>20000000</v>
      </c>
      <c r="N70" s="1" t="s">
        <v>5678</v>
      </c>
      <c r="O70" s="1" t="s">
        <v>5453</v>
      </c>
      <c r="P70" s="1" t="s">
        <v>5679</v>
      </c>
      <c r="Q70" s="3">
        <v>45036</v>
      </c>
      <c r="R70" s="3">
        <v>45043</v>
      </c>
      <c r="S70" s="3">
        <v>45082</v>
      </c>
      <c r="T70" s="41" t="s">
        <v>612</v>
      </c>
      <c r="U70" s="3"/>
      <c r="V70" s="3"/>
      <c r="W70" s="236"/>
      <c r="X70" s="237">
        <v>20000000</v>
      </c>
      <c r="Y70" s="9">
        <f t="shared" si="0"/>
        <v>0</v>
      </c>
      <c r="Z70" s="34">
        <f t="shared" si="1"/>
        <v>1</v>
      </c>
      <c r="AA70" s="85">
        <v>72175282</v>
      </c>
      <c r="AB70" s="85" t="s">
        <v>5399</v>
      </c>
      <c r="AC70" s="85" t="s">
        <v>196</v>
      </c>
      <c r="AD70" s="85" t="s">
        <v>196</v>
      </c>
      <c r="AE70" s="236"/>
      <c r="AF70" s="77" t="s">
        <v>5680</v>
      </c>
      <c r="AG70" s="85" t="s">
        <v>192</v>
      </c>
      <c r="AH70" s="85" t="s">
        <v>191</v>
      </c>
    </row>
    <row r="71" spans="1:34" s="43" customFormat="1" x14ac:dyDescent="0.25">
      <c r="A71" s="38">
        <v>891780111</v>
      </c>
      <c r="B71" s="38" t="s">
        <v>54</v>
      </c>
      <c r="C71" s="85" t="s">
        <v>56</v>
      </c>
      <c r="D71" s="38" t="s">
        <v>60</v>
      </c>
      <c r="E71" s="39" t="s">
        <v>5681</v>
      </c>
      <c r="F71" s="38" t="s">
        <v>61</v>
      </c>
      <c r="G71" s="85" t="s">
        <v>61</v>
      </c>
      <c r="H71" s="85" t="s">
        <v>73</v>
      </c>
      <c r="I71" s="36">
        <v>6000000</v>
      </c>
      <c r="J71" s="325"/>
      <c r="K71" s="328"/>
      <c r="L71" s="61"/>
      <c r="M71" s="40">
        <f t="shared" si="3"/>
        <v>6000000</v>
      </c>
      <c r="N71" s="39" t="s">
        <v>5647</v>
      </c>
      <c r="O71" s="39" t="s">
        <v>5648</v>
      </c>
      <c r="P71" s="39" t="s">
        <v>5682</v>
      </c>
      <c r="Q71" s="41">
        <v>45036</v>
      </c>
      <c r="R71" s="41">
        <v>45056</v>
      </c>
      <c r="S71" s="41">
        <v>45077</v>
      </c>
      <c r="T71" s="41" t="s">
        <v>612</v>
      </c>
      <c r="U71" s="41"/>
      <c r="V71" s="41"/>
      <c r="W71" s="236"/>
      <c r="X71" s="237">
        <v>6000000</v>
      </c>
      <c r="Y71" s="36">
        <f t="shared" si="0"/>
        <v>0</v>
      </c>
      <c r="Z71" s="37">
        <f t="shared" si="1"/>
        <v>1</v>
      </c>
      <c r="AA71" s="85">
        <v>72175282</v>
      </c>
      <c r="AB71" s="85" t="s">
        <v>5399</v>
      </c>
      <c r="AC71" s="85" t="s">
        <v>196</v>
      </c>
      <c r="AD71" s="85" t="s">
        <v>196</v>
      </c>
      <c r="AE71" s="236"/>
      <c r="AF71" s="77" t="s">
        <v>5683</v>
      </c>
      <c r="AG71" s="85" t="s">
        <v>192</v>
      </c>
      <c r="AH71" s="85" t="s">
        <v>191</v>
      </c>
    </row>
    <row r="72" spans="1:34" s="4" customFormat="1" x14ac:dyDescent="0.25">
      <c r="A72" s="16">
        <v>891780111</v>
      </c>
      <c r="B72" s="16" t="s">
        <v>54</v>
      </c>
      <c r="C72" s="85" t="s">
        <v>56</v>
      </c>
      <c r="D72" s="16" t="s">
        <v>60</v>
      </c>
      <c r="E72" s="1" t="s">
        <v>5684</v>
      </c>
      <c r="F72" s="16" t="s">
        <v>61</v>
      </c>
      <c r="G72" s="85" t="s">
        <v>61</v>
      </c>
      <c r="H72" s="85" t="s">
        <v>73</v>
      </c>
      <c r="I72" s="9">
        <v>119949500</v>
      </c>
      <c r="J72" s="94"/>
      <c r="K72" s="312"/>
      <c r="L72" s="2"/>
      <c r="M72" s="40">
        <f t="shared" si="3"/>
        <v>119949500</v>
      </c>
      <c r="N72" s="1" t="s">
        <v>5685</v>
      </c>
      <c r="O72" s="1" t="s">
        <v>5686</v>
      </c>
      <c r="P72" s="1" t="s">
        <v>5687</v>
      </c>
      <c r="Q72" s="3">
        <v>45036</v>
      </c>
      <c r="R72" s="3">
        <v>45037</v>
      </c>
      <c r="S72" s="3">
        <v>45291</v>
      </c>
      <c r="T72" s="41" t="s">
        <v>612</v>
      </c>
      <c r="U72" s="3"/>
      <c r="V72" s="3"/>
      <c r="W72" s="236"/>
      <c r="X72" s="237">
        <v>82459265</v>
      </c>
      <c r="Y72" s="9">
        <f t="shared" si="0"/>
        <v>37490235</v>
      </c>
      <c r="Z72" s="34">
        <f t="shared" si="1"/>
        <v>0.68744984347579607</v>
      </c>
      <c r="AA72" s="85">
        <v>72175282</v>
      </c>
      <c r="AB72" s="85" t="s">
        <v>5399</v>
      </c>
      <c r="AC72" s="85" t="s">
        <v>196</v>
      </c>
      <c r="AD72" s="85" t="s">
        <v>196</v>
      </c>
      <c r="AE72" s="236">
        <v>45037</v>
      </c>
      <c r="AF72" s="77" t="s">
        <v>5688</v>
      </c>
      <c r="AG72" s="85" t="s">
        <v>192</v>
      </c>
      <c r="AH72" s="85" t="s">
        <v>191</v>
      </c>
    </row>
    <row r="73" spans="1:34" s="4" customFormat="1" x14ac:dyDescent="0.25">
      <c r="A73" s="16">
        <v>891780111</v>
      </c>
      <c r="B73" s="16" t="s">
        <v>54</v>
      </c>
      <c r="C73" s="85" t="s">
        <v>56</v>
      </c>
      <c r="D73" s="16" t="s">
        <v>60</v>
      </c>
      <c r="E73" s="1" t="s">
        <v>5689</v>
      </c>
      <c r="F73" s="16" t="s">
        <v>61</v>
      </c>
      <c r="G73" s="85" t="s">
        <v>61</v>
      </c>
      <c r="H73" s="85" t="s">
        <v>73</v>
      </c>
      <c r="I73" s="9">
        <v>12376000</v>
      </c>
      <c r="J73" s="94"/>
      <c r="K73" s="312"/>
      <c r="L73" s="2"/>
      <c r="M73" s="40">
        <f t="shared" si="3"/>
        <v>12376000</v>
      </c>
      <c r="N73" s="1" t="s">
        <v>5690</v>
      </c>
      <c r="O73" s="1" t="s">
        <v>5691</v>
      </c>
      <c r="P73" s="1" t="s">
        <v>5692</v>
      </c>
      <c r="Q73" s="3">
        <v>45040</v>
      </c>
      <c r="R73" s="3">
        <v>45040</v>
      </c>
      <c r="S73" s="3">
        <v>45084</v>
      </c>
      <c r="T73" s="41" t="s">
        <v>612</v>
      </c>
      <c r="U73" s="3"/>
      <c r="V73" s="3"/>
      <c r="W73" s="236"/>
      <c r="X73" s="237">
        <v>0</v>
      </c>
      <c r="Y73" s="9">
        <f t="shared" si="0"/>
        <v>12376000</v>
      </c>
      <c r="Z73" s="34">
        <f t="shared" si="1"/>
        <v>0</v>
      </c>
      <c r="AA73" s="85">
        <v>57297693</v>
      </c>
      <c r="AB73" s="85" t="s">
        <v>5446</v>
      </c>
      <c r="AC73" s="85" t="s">
        <v>196</v>
      </c>
      <c r="AD73" s="85" t="s">
        <v>196</v>
      </c>
      <c r="AE73" s="236"/>
      <c r="AF73" s="77" t="s">
        <v>5693</v>
      </c>
      <c r="AG73" s="85" t="s">
        <v>192</v>
      </c>
      <c r="AH73" s="85" t="s">
        <v>191</v>
      </c>
    </row>
    <row r="74" spans="1:34" s="4" customFormat="1" x14ac:dyDescent="0.25">
      <c r="A74" s="16">
        <v>891780111</v>
      </c>
      <c r="B74" s="16" t="s">
        <v>54</v>
      </c>
      <c r="C74" s="85" t="s">
        <v>56</v>
      </c>
      <c r="D74" s="16" t="s">
        <v>60</v>
      </c>
      <c r="E74" s="1" t="s">
        <v>5694</v>
      </c>
      <c r="F74" s="16" t="s">
        <v>61</v>
      </c>
      <c r="G74" s="85" t="s">
        <v>61</v>
      </c>
      <c r="H74" s="85" t="s">
        <v>73</v>
      </c>
      <c r="I74" s="9">
        <v>64982000</v>
      </c>
      <c r="J74" s="94"/>
      <c r="K74" s="312"/>
      <c r="L74" s="2"/>
      <c r="M74" s="40">
        <f t="shared" si="3"/>
        <v>64982000</v>
      </c>
      <c r="N74" s="1" t="s">
        <v>5695</v>
      </c>
      <c r="O74" s="1" t="s">
        <v>5696</v>
      </c>
      <c r="P74" s="1" t="s">
        <v>5697</v>
      </c>
      <c r="Q74" s="3">
        <v>45040</v>
      </c>
      <c r="R74" s="3">
        <v>45043</v>
      </c>
      <c r="S74" s="3">
        <v>45082</v>
      </c>
      <c r="T74" s="41" t="s">
        <v>612</v>
      </c>
      <c r="U74" s="3"/>
      <c r="V74" s="3"/>
      <c r="W74" s="236"/>
      <c r="X74" s="237">
        <v>0</v>
      </c>
      <c r="Y74" s="9">
        <f t="shared" si="0"/>
        <v>64982000</v>
      </c>
      <c r="Z74" s="34">
        <f t="shared" si="1"/>
        <v>0</v>
      </c>
      <c r="AA74" s="85">
        <v>72175282</v>
      </c>
      <c r="AB74" s="85" t="s">
        <v>5399</v>
      </c>
      <c r="AC74" s="85" t="s">
        <v>196</v>
      </c>
      <c r="AD74" s="85" t="s">
        <v>196</v>
      </c>
      <c r="AE74" s="236">
        <v>45043</v>
      </c>
      <c r="AF74" s="77" t="s">
        <v>5698</v>
      </c>
      <c r="AG74" s="85" t="s">
        <v>192</v>
      </c>
      <c r="AH74" s="85" t="s">
        <v>191</v>
      </c>
    </row>
    <row r="75" spans="1:34" s="4" customFormat="1" x14ac:dyDescent="0.25">
      <c r="A75" s="16">
        <v>891780111</v>
      </c>
      <c r="B75" s="16" t="s">
        <v>54</v>
      </c>
      <c r="C75" s="85" t="s">
        <v>56</v>
      </c>
      <c r="D75" s="16" t="s">
        <v>60</v>
      </c>
      <c r="E75" s="1" t="s">
        <v>5699</v>
      </c>
      <c r="F75" s="16" t="s">
        <v>61</v>
      </c>
      <c r="G75" s="85" t="s">
        <v>61</v>
      </c>
      <c r="H75" s="85" t="s">
        <v>73</v>
      </c>
      <c r="I75" s="9">
        <v>23079907</v>
      </c>
      <c r="J75" s="94"/>
      <c r="K75" s="312"/>
      <c r="L75" s="2"/>
      <c r="M75" s="40">
        <f t="shared" si="3"/>
        <v>23079907</v>
      </c>
      <c r="N75" s="1" t="s">
        <v>5700</v>
      </c>
      <c r="O75" s="1" t="s">
        <v>5701</v>
      </c>
      <c r="P75" s="1" t="s">
        <v>5702</v>
      </c>
      <c r="Q75" s="3">
        <v>45040</v>
      </c>
      <c r="R75" s="3">
        <v>45048</v>
      </c>
      <c r="S75" s="3">
        <v>45182</v>
      </c>
      <c r="T75" s="41" t="s">
        <v>612</v>
      </c>
      <c r="U75" s="3"/>
      <c r="V75" s="3"/>
      <c r="W75" s="236"/>
      <c r="X75" s="237">
        <v>0</v>
      </c>
      <c r="Y75" s="9">
        <f t="shared" si="0"/>
        <v>23079907</v>
      </c>
      <c r="Z75" s="34">
        <f t="shared" si="1"/>
        <v>0</v>
      </c>
      <c r="AA75" s="85">
        <v>57297693</v>
      </c>
      <c r="AB75" s="85" t="s">
        <v>5446</v>
      </c>
      <c r="AC75" s="85" t="s">
        <v>196</v>
      </c>
      <c r="AD75" s="85" t="s">
        <v>196</v>
      </c>
      <c r="AE75" s="236">
        <v>45048</v>
      </c>
      <c r="AF75" s="77" t="s">
        <v>5703</v>
      </c>
      <c r="AG75" s="85" t="s">
        <v>192</v>
      </c>
      <c r="AH75" s="85" t="s">
        <v>191</v>
      </c>
    </row>
    <row r="76" spans="1:34" s="4" customFormat="1" x14ac:dyDescent="0.2">
      <c r="A76" s="16">
        <v>891780111</v>
      </c>
      <c r="B76" s="16" t="s">
        <v>54</v>
      </c>
      <c r="C76" s="85" t="s">
        <v>56</v>
      </c>
      <c r="D76" s="16" t="s">
        <v>60</v>
      </c>
      <c r="E76" s="1" t="s">
        <v>5704</v>
      </c>
      <c r="F76" s="16" t="s">
        <v>61</v>
      </c>
      <c r="G76" s="85" t="s">
        <v>61</v>
      </c>
      <c r="H76" s="85" t="s">
        <v>73</v>
      </c>
      <c r="I76" s="9">
        <v>78200000</v>
      </c>
      <c r="J76" s="94"/>
      <c r="K76" s="312"/>
      <c r="L76" s="2"/>
      <c r="M76" s="40">
        <f t="shared" si="3"/>
        <v>78200000</v>
      </c>
      <c r="N76" s="1" t="s">
        <v>5705</v>
      </c>
      <c r="O76" s="1" t="s">
        <v>1646</v>
      </c>
      <c r="P76" s="1" t="s">
        <v>5706</v>
      </c>
      <c r="Q76" s="3">
        <v>45044</v>
      </c>
      <c r="R76" s="3">
        <v>45048</v>
      </c>
      <c r="S76" s="3">
        <v>45291</v>
      </c>
      <c r="T76" s="41" t="s">
        <v>612</v>
      </c>
      <c r="U76" s="3"/>
      <c r="V76" s="3"/>
      <c r="W76" s="236"/>
      <c r="X76" s="237">
        <v>31145000</v>
      </c>
      <c r="Y76" s="9">
        <f t="shared" si="0"/>
        <v>47055000</v>
      </c>
      <c r="Z76" s="34">
        <f t="shared" si="1"/>
        <v>0.39827365728900255</v>
      </c>
      <c r="AA76" s="85">
        <v>36665858</v>
      </c>
      <c r="AB76" s="85" t="s">
        <v>5707</v>
      </c>
      <c r="AC76" s="85" t="s">
        <v>196</v>
      </c>
      <c r="AD76" s="85" t="s">
        <v>196</v>
      </c>
      <c r="AE76" s="236">
        <v>45048</v>
      </c>
      <c r="AF76" s="216" t="s">
        <v>5708</v>
      </c>
      <c r="AG76" s="85" t="s">
        <v>192</v>
      </c>
      <c r="AH76" s="85" t="s">
        <v>191</v>
      </c>
    </row>
    <row r="77" spans="1:34" s="43" customFormat="1" x14ac:dyDescent="0.2">
      <c r="A77" s="38">
        <v>891780111</v>
      </c>
      <c r="B77" s="38" t="s">
        <v>54</v>
      </c>
      <c r="C77" s="85" t="s">
        <v>56</v>
      </c>
      <c r="D77" s="38" t="s">
        <v>60</v>
      </c>
      <c r="E77" s="39" t="s">
        <v>5709</v>
      </c>
      <c r="F77" s="38" t="s">
        <v>61</v>
      </c>
      <c r="G77" s="85" t="s">
        <v>61</v>
      </c>
      <c r="H77" s="85" t="s">
        <v>73</v>
      </c>
      <c r="I77" s="36">
        <v>20304375</v>
      </c>
      <c r="J77" s="325"/>
      <c r="K77" s="328"/>
      <c r="L77" s="61"/>
      <c r="M77" s="40">
        <f t="shared" si="3"/>
        <v>20304375</v>
      </c>
      <c r="N77" s="39" t="s">
        <v>5710</v>
      </c>
      <c r="O77" s="39" t="s">
        <v>5711</v>
      </c>
      <c r="P77" s="39" t="s">
        <v>5712</v>
      </c>
      <c r="Q77" s="41">
        <v>45048</v>
      </c>
      <c r="R77" s="41">
        <v>45048</v>
      </c>
      <c r="S77" s="41">
        <v>45138</v>
      </c>
      <c r="T77" s="41" t="s">
        <v>612</v>
      </c>
      <c r="U77" s="41"/>
      <c r="V77" s="41"/>
      <c r="W77" s="236"/>
      <c r="X77" s="237">
        <v>20304375</v>
      </c>
      <c r="Y77" s="36">
        <f t="shared" si="0"/>
        <v>0</v>
      </c>
      <c r="Z77" s="37">
        <f t="shared" si="1"/>
        <v>1</v>
      </c>
      <c r="AA77" s="85">
        <v>57297693</v>
      </c>
      <c r="AB77" s="85" t="s">
        <v>5446</v>
      </c>
      <c r="AC77" s="85" t="s">
        <v>196</v>
      </c>
      <c r="AD77" s="85" t="s">
        <v>196</v>
      </c>
      <c r="AE77" s="236">
        <v>45048</v>
      </c>
      <c r="AF77" s="216" t="s">
        <v>5713</v>
      </c>
      <c r="AG77" s="85" t="s">
        <v>192</v>
      </c>
      <c r="AH77" s="85" t="s">
        <v>191</v>
      </c>
    </row>
    <row r="78" spans="1:34" s="4" customFormat="1" x14ac:dyDescent="0.2">
      <c r="A78" s="16">
        <v>891780111</v>
      </c>
      <c r="B78" s="16" t="s">
        <v>54</v>
      </c>
      <c r="C78" s="85" t="s">
        <v>56</v>
      </c>
      <c r="D78" s="16" t="s">
        <v>60</v>
      </c>
      <c r="E78" s="1" t="s">
        <v>5714</v>
      </c>
      <c r="F78" s="16" t="s">
        <v>61</v>
      </c>
      <c r="G78" s="85" t="s">
        <v>61</v>
      </c>
      <c r="H78" s="85" t="s">
        <v>73</v>
      </c>
      <c r="I78" s="9">
        <v>20000000</v>
      </c>
      <c r="J78" s="94"/>
      <c r="K78" s="312"/>
      <c r="L78" s="2"/>
      <c r="M78" s="40">
        <f t="shared" si="3"/>
        <v>20000000</v>
      </c>
      <c r="N78" s="1" t="s">
        <v>5715</v>
      </c>
      <c r="O78" s="1" t="s">
        <v>5716</v>
      </c>
      <c r="P78" s="1" t="s">
        <v>5717</v>
      </c>
      <c r="Q78" s="3">
        <v>45048</v>
      </c>
      <c r="R78" s="3">
        <v>45048</v>
      </c>
      <c r="S78" s="3">
        <v>45291</v>
      </c>
      <c r="T78" s="41" t="s">
        <v>612</v>
      </c>
      <c r="U78" s="3"/>
      <c r="V78" s="3"/>
      <c r="W78" s="236"/>
      <c r="X78" s="237">
        <v>10313492</v>
      </c>
      <c r="Y78" s="9">
        <f t="shared" si="0"/>
        <v>9686508</v>
      </c>
      <c r="Z78" s="34">
        <f t="shared" si="1"/>
        <v>0.51567459999999998</v>
      </c>
      <c r="AA78" s="85">
        <v>85459497</v>
      </c>
      <c r="AB78" s="85" t="s">
        <v>4837</v>
      </c>
      <c r="AC78" s="85" t="s">
        <v>196</v>
      </c>
      <c r="AD78" s="85" t="s">
        <v>196</v>
      </c>
      <c r="AE78" s="236"/>
      <c r="AF78" s="216" t="s">
        <v>5718</v>
      </c>
      <c r="AG78" s="85" t="s">
        <v>192</v>
      </c>
      <c r="AH78" s="85" t="s">
        <v>191</v>
      </c>
    </row>
    <row r="79" spans="1:34" s="4" customFormat="1" x14ac:dyDescent="0.2">
      <c r="A79" s="16">
        <v>891780111</v>
      </c>
      <c r="B79" s="16" t="s">
        <v>54</v>
      </c>
      <c r="C79" s="85" t="s">
        <v>56</v>
      </c>
      <c r="D79" s="16" t="s">
        <v>60</v>
      </c>
      <c r="E79" s="1" t="s">
        <v>5719</v>
      </c>
      <c r="F79" s="16" t="s">
        <v>61</v>
      </c>
      <c r="G79" s="85" t="s">
        <v>61</v>
      </c>
      <c r="H79" s="85" t="s">
        <v>73</v>
      </c>
      <c r="I79" s="9">
        <v>29757497</v>
      </c>
      <c r="J79" s="94"/>
      <c r="K79" s="312"/>
      <c r="L79" s="2"/>
      <c r="M79" s="40">
        <f t="shared" si="3"/>
        <v>29757497</v>
      </c>
      <c r="N79" s="1" t="s">
        <v>5720</v>
      </c>
      <c r="O79" s="1" t="s">
        <v>5721</v>
      </c>
      <c r="P79" s="1" t="s">
        <v>5722</v>
      </c>
      <c r="Q79" s="3">
        <v>45048</v>
      </c>
      <c r="R79" s="3">
        <v>45048</v>
      </c>
      <c r="S79" s="3">
        <v>45091</v>
      </c>
      <c r="T79" s="41" t="s">
        <v>612</v>
      </c>
      <c r="U79" s="3"/>
      <c r="V79" s="3"/>
      <c r="W79" s="236"/>
      <c r="X79" s="237">
        <v>29757497</v>
      </c>
      <c r="Y79" s="9">
        <f t="shared" si="0"/>
        <v>0</v>
      </c>
      <c r="Z79" s="34">
        <f t="shared" si="1"/>
        <v>1</v>
      </c>
      <c r="AA79" s="85">
        <v>57297693</v>
      </c>
      <c r="AB79" s="85" t="s">
        <v>5446</v>
      </c>
      <c r="AC79" s="85" t="s">
        <v>196</v>
      </c>
      <c r="AD79" s="85" t="s">
        <v>196</v>
      </c>
      <c r="AE79" s="236"/>
      <c r="AF79" s="216" t="s">
        <v>5723</v>
      </c>
      <c r="AG79" s="85" t="s">
        <v>192</v>
      </c>
      <c r="AH79" s="85" t="s">
        <v>191</v>
      </c>
    </row>
    <row r="80" spans="1:34" s="4" customFormat="1" x14ac:dyDescent="0.2">
      <c r="A80" s="16">
        <v>891780111</v>
      </c>
      <c r="B80" s="16" t="s">
        <v>54</v>
      </c>
      <c r="C80" s="85" t="s">
        <v>57</v>
      </c>
      <c r="D80" s="16" t="s">
        <v>60</v>
      </c>
      <c r="E80" s="1" t="s">
        <v>5724</v>
      </c>
      <c r="F80" s="16" t="s">
        <v>61</v>
      </c>
      <c r="G80" s="85" t="s">
        <v>61</v>
      </c>
      <c r="H80" s="85" t="s">
        <v>73</v>
      </c>
      <c r="I80" s="9">
        <v>26000000</v>
      </c>
      <c r="J80" s="94"/>
      <c r="K80" s="312"/>
      <c r="L80" s="2"/>
      <c r="M80" s="40">
        <f t="shared" si="3"/>
        <v>26000000</v>
      </c>
      <c r="N80" s="1" t="s">
        <v>5725</v>
      </c>
      <c r="O80" s="1" t="s">
        <v>5726</v>
      </c>
      <c r="P80" s="1" t="s">
        <v>5727</v>
      </c>
      <c r="Q80" s="3">
        <v>45048</v>
      </c>
      <c r="R80" s="3">
        <v>45048</v>
      </c>
      <c r="S80" s="3">
        <v>45171</v>
      </c>
      <c r="T80" s="41" t="s">
        <v>612</v>
      </c>
      <c r="U80" s="3"/>
      <c r="V80" s="3"/>
      <c r="W80" s="236"/>
      <c r="X80" s="237">
        <v>6500000</v>
      </c>
      <c r="Y80" s="9">
        <f t="shared" si="0"/>
        <v>19500000</v>
      </c>
      <c r="Z80" s="34">
        <f t="shared" si="1"/>
        <v>0.25</v>
      </c>
      <c r="AA80" s="85">
        <v>72175282</v>
      </c>
      <c r="AB80" s="85" t="s">
        <v>5399</v>
      </c>
      <c r="AC80" s="85" t="s">
        <v>196</v>
      </c>
      <c r="AD80" s="85" t="s">
        <v>196</v>
      </c>
      <c r="AE80" s="236"/>
      <c r="AF80" s="216" t="s">
        <v>5728</v>
      </c>
      <c r="AG80" s="85" t="s">
        <v>192</v>
      </c>
      <c r="AH80" s="85" t="s">
        <v>191</v>
      </c>
    </row>
    <row r="81" spans="1:34" s="4" customFormat="1" x14ac:dyDescent="0.2">
      <c r="A81" s="16">
        <v>891780111</v>
      </c>
      <c r="B81" s="16" t="s">
        <v>54</v>
      </c>
      <c r="C81" s="85" t="s">
        <v>56</v>
      </c>
      <c r="D81" s="16" t="s">
        <v>60</v>
      </c>
      <c r="E81" s="1" t="s">
        <v>5729</v>
      </c>
      <c r="F81" s="16" t="s">
        <v>61</v>
      </c>
      <c r="G81" s="85" t="s">
        <v>61</v>
      </c>
      <c r="H81" s="85" t="s">
        <v>73</v>
      </c>
      <c r="I81" s="9">
        <v>10000000</v>
      </c>
      <c r="J81" s="94"/>
      <c r="K81" s="312"/>
      <c r="L81" s="2"/>
      <c r="M81" s="40">
        <f t="shared" si="3"/>
        <v>10000000</v>
      </c>
      <c r="N81" s="1" t="s">
        <v>5730</v>
      </c>
      <c r="O81" s="1" t="s">
        <v>5731</v>
      </c>
      <c r="P81" s="1" t="s">
        <v>5732</v>
      </c>
      <c r="Q81" s="3">
        <v>45048</v>
      </c>
      <c r="R81" s="3">
        <v>45048</v>
      </c>
      <c r="S81" s="3">
        <v>45291</v>
      </c>
      <c r="T81" s="41" t="s">
        <v>612</v>
      </c>
      <c r="U81" s="3"/>
      <c r="V81" s="3"/>
      <c r="W81" s="236"/>
      <c r="X81" s="237">
        <v>9999856</v>
      </c>
      <c r="Y81" s="9">
        <f t="shared" si="0"/>
        <v>144</v>
      </c>
      <c r="Z81" s="34">
        <f t="shared" si="1"/>
        <v>0.99998560000000003</v>
      </c>
      <c r="AA81" s="85">
        <v>85459497</v>
      </c>
      <c r="AB81" s="85" t="s">
        <v>4837</v>
      </c>
      <c r="AC81" s="85" t="s">
        <v>196</v>
      </c>
      <c r="AD81" s="85" t="s">
        <v>196</v>
      </c>
      <c r="AE81" s="236"/>
      <c r="AF81" s="216" t="s">
        <v>5733</v>
      </c>
      <c r="AG81" s="85" t="s">
        <v>192</v>
      </c>
      <c r="AH81" s="85" t="s">
        <v>191</v>
      </c>
    </row>
    <row r="82" spans="1:34" s="4" customFormat="1" x14ac:dyDescent="0.2">
      <c r="A82" s="16">
        <v>891780111</v>
      </c>
      <c r="B82" s="16" t="s">
        <v>54</v>
      </c>
      <c r="C82" s="85" t="s">
        <v>56</v>
      </c>
      <c r="D82" s="16" t="s">
        <v>60</v>
      </c>
      <c r="E82" s="1" t="s">
        <v>5734</v>
      </c>
      <c r="F82" s="16" t="s">
        <v>61</v>
      </c>
      <c r="G82" s="85" t="s">
        <v>61</v>
      </c>
      <c r="H82" s="85" t="s">
        <v>73</v>
      </c>
      <c r="I82" s="9">
        <v>8000000</v>
      </c>
      <c r="J82" s="94"/>
      <c r="K82" s="312"/>
      <c r="L82" s="2"/>
      <c r="M82" s="40">
        <f t="shared" si="3"/>
        <v>8000000</v>
      </c>
      <c r="N82" s="1" t="s">
        <v>5735</v>
      </c>
      <c r="O82" s="1" t="s">
        <v>5736</v>
      </c>
      <c r="P82" s="1" t="s">
        <v>5737</v>
      </c>
      <c r="Q82" s="3">
        <v>45048</v>
      </c>
      <c r="R82" s="3">
        <v>45048</v>
      </c>
      <c r="S82" s="3">
        <v>45087</v>
      </c>
      <c r="T82" s="41" t="s">
        <v>612</v>
      </c>
      <c r="U82" s="3"/>
      <c r="V82" s="3"/>
      <c r="W82" s="236"/>
      <c r="X82" s="237">
        <v>6167900</v>
      </c>
      <c r="Y82" s="9">
        <f t="shared" si="0"/>
        <v>1832100</v>
      </c>
      <c r="Z82" s="34">
        <f t="shared" si="1"/>
        <v>0.77098750000000005</v>
      </c>
      <c r="AA82" s="85">
        <v>72175282</v>
      </c>
      <c r="AB82" s="85" t="s">
        <v>5399</v>
      </c>
      <c r="AC82" s="85" t="s">
        <v>196</v>
      </c>
      <c r="AD82" s="85" t="s">
        <v>196</v>
      </c>
      <c r="AE82" s="236"/>
      <c r="AF82" s="216" t="s">
        <v>5738</v>
      </c>
      <c r="AG82" s="85" t="s">
        <v>192</v>
      </c>
      <c r="AH82" s="85" t="s">
        <v>191</v>
      </c>
    </row>
    <row r="83" spans="1:34" s="43" customFormat="1" x14ac:dyDescent="0.2">
      <c r="A83" s="38">
        <v>891780111</v>
      </c>
      <c r="B83" s="38" t="s">
        <v>54</v>
      </c>
      <c r="C83" s="85" t="s">
        <v>56</v>
      </c>
      <c r="D83" s="38" t="s">
        <v>60</v>
      </c>
      <c r="E83" s="39" t="s">
        <v>5739</v>
      </c>
      <c r="F83" s="38" t="s">
        <v>61</v>
      </c>
      <c r="G83" s="85" t="s">
        <v>61</v>
      </c>
      <c r="H83" s="85" t="s">
        <v>73</v>
      </c>
      <c r="I83" s="36">
        <v>6073000</v>
      </c>
      <c r="J83" s="325"/>
      <c r="K83" s="328"/>
      <c r="L83" s="61"/>
      <c r="M83" s="40">
        <f t="shared" si="3"/>
        <v>6073000</v>
      </c>
      <c r="N83" s="39" t="s">
        <v>5740</v>
      </c>
      <c r="O83" s="39" t="s">
        <v>5741</v>
      </c>
      <c r="P83" s="39" t="s">
        <v>5742</v>
      </c>
      <c r="Q83" s="41">
        <v>45048</v>
      </c>
      <c r="R83" s="41">
        <v>45048</v>
      </c>
      <c r="S83" s="41">
        <v>45291</v>
      </c>
      <c r="T83" s="41" t="s">
        <v>612</v>
      </c>
      <c r="U83" s="41"/>
      <c r="V83" s="41"/>
      <c r="W83" s="236"/>
      <c r="X83" s="237">
        <v>0</v>
      </c>
      <c r="Y83" s="36">
        <f t="shared" si="0"/>
        <v>6073000</v>
      </c>
      <c r="Z83" s="37">
        <f t="shared" si="1"/>
        <v>0</v>
      </c>
      <c r="AA83" s="85">
        <v>57297693</v>
      </c>
      <c r="AB83" s="85" t="s">
        <v>5446</v>
      </c>
      <c r="AC83" s="85" t="s">
        <v>196</v>
      </c>
      <c r="AD83" s="85" t="s">
        <v>196</v>
      </c>
      <c r="AE83" s="236"/>
      <c r="AF83" s="216" t="s">
        <v>5743</v>
      </c>
      <c r="AG83" s="85" t="s">
        <v>192</v>
      </c>
      <c r="AH83" s="85" t="s">
        <v>191</v>
      </c>
    </row>
    <row r="84" spans="1:34" s="4" customFormat="1" x14ac:dyDescent="0.2">
      <c r="A84" s="16">
        <v>891780111</v>
      </c>
      <c r="B84" s="16" t="s">
        <v>54</v>
      </c>
      <c r="C84" s="85" t="s">
        <v>56</v>
      </c>
      <c r="D84" s="16" t="s">
        <v>60</v>
      </c>
      <c r="E84" s="1" t="s">
        <v>5744</v>
      </c>
      <c r="F84" s="16" t="s">
        <v>61</v>
      </c>
      <c r="G84" s="85" t="s">
        <v>61</v>
      </c>
      <c r="H84" s="85" t="s">
        <v>73</v>
      </c>
      <c r="I84" s="9">
        <v>20000000</v>
      </c>
      <c r="J84" s="94"/>
      <c r="K84" s="312"/>
      <c r="L84" s="2"/>
      <c r="M84" s="40">
        <f t="shared" si="3"/>
        <v>20000000</v>
      </c>
      <c r="N84" s="1" t="s">
        <v>5745</v>
      </c>
      <c r="O84" s="1" t="s">
        <v>5746</v>
      </c>
      <c r="P84" s="1" t="s">
        <v>5747</v>
      </c>
      <c r="Q84" s="3">
        <v>45051</v>
      </c>
      <c r="R84" s="3">
        <v>45051</v>
      </c>
      <c r="S84" s="3">
        <v>45080</v>
      </c>
      <c r="T84" s="41" t="s">
        <v>612</v>
      </c>
      <c r="U84" s="3"/>
      <c r="V84" s="3"/>
      <c r="W84" s="236"/>
      <c r="X84" s="237">
        <v>0</v>
      </c>
      <c r="Y84" s="9">
        <f t="shared" si="0"/>
        <v>20000000</v>
      </c>
      <c r="Z84" s="34">
        <f t="shared" si="1"/>
        <v>0</v>
      </c>
      <c r="AA84" s="85">
        <v>72175282</v>
      </c>
      <c r="AB84" s="85" t="s">
        <v>5399</v>
      </c>
      <c r="AC84" s="85" t="s">
        <v>196</v>
      </c>
      <c r="AD84" s="85" t="s">
        <v>196</v>
      </c>
      <c r="AE84" s="236"/>
      <c r="AF84" s="216" t="s">
        <v>5748</v>
      </c>
      <c r="AG84" s="85" t="s">
        <v>192</v>
      </c>
      <c r="AH84" s="85" t="s">
        <v>191</v>
      </c>
    </row>
    <row r="85" spans="1:34" s="4" customFormat="1" x14ac:dyDescent="0.2">
      <c r="A85" s="16">
        <v>891780111</v>
      </c>
      <c r="B85" s="16" t="s">
        <v>54</v>
      </c>
      <c r="C85" s="85" t="s">
        <v>56</v>
      </c>
      <c r="D85" s="16" t="s">
        <v>60</v>
      </c>
      <c r="E85" s="1" t="s">
        <v>5749</v>
      </c>
      <c r="F85" s="16" t="s">
        <v>61</v>
      </c>
      <c r="G85" s="85" t="s">
        <v>61</v>
      </c>
      <c r="H85" s="85" t="s">
        <v>73</v>
      </c>
      <c r="I85" s="9">
        <v>20640550</v>
      </c>
      <c r="J85" s="94"/>
      <c r="K85" s="312"/>
      <c r="L85" s="2"/>
      <c r="M85" s="40">
        <f t="shared" si="3"/>
        <v>20640550</v>
      </c>
      <c r="N85" s="1" t="s">
        <v>5750</v>
      </c>
      <c r="O85" s="1" t="s">
        <v>5751</v>
      </c>
      <c r="P85" s="1" t="s">
        <v>5752</v>
      </c>
      <c r="Q85" s="3">
        <v>45051</v>
      </c>
      <c r="R85" s="3">
        <v>45051</v>
      </c>
      <c r="S85" s="3">
        <v>45097</v>
      </c>
      <c r="T85" s="41" t="s">
        <v>612</v>
      </c>
      <c r="U85" s="3"/>
      <c r="V85" s="3"/>
      <c r="W85" s="236"/>
      <c r="X85" s="237">
        <v>0</v>
      </c>
      <c r="Y85" s="9">
        <f t="shared" si="0"/>
        <v>20640550</v>
      </c>
      <c r="Z85" s="34">
        <f t="shared" si="1"/>
        <v>0</v>
      </c>
      <c r="AA85" s="85">
        <v>57297693</v>
      </c>
      <c r="AB85" s="85" t="s">
        <v>5446</v>
      </c>
      <c r="AC85" s="85" t="s">
        <v>196</v>
      </c>
      <c r="AD85" s="85" t="s">
        <v>196</v>
      </c>
      <c r="AE85" s="236"/>
      <c r="AF85" s="216" t="s">
        <v>5753</v>
      </c>
      <c r="AG85" s="85" t="s">
        <v>192</v>
      </c>
      <c r="AH85" s="85" t="s">
        <v>191</v>
      </c>
    </row>
    <row r="86" spans="1:34" s="4" customFormat="1" x14ac:dyDescent="0.2">
      <c r="A86" s="16">
        <v>891780111</v>
      </c>
      <c r="B86" s="16" t="s">
        <v>54</v>
      </c>
      <c r="C86" s="85" t="s">
        <v>56</v>
      </c>
      <c r="D86" s="16" t="s">
        <v>60</v>
      </c>
      <c r="E86" s="1" t="s">
        <v>5754</v>
      </c>
      <c r="F86" s="16" t="s">
        <v>61</v>
      </c>
      <c r="G86" s="85" t="s">
        <v>61</v>
      </c>
      <c r="H86" s="85" t="s">
        <v>73</v>
      </c>
      <c r="I86" s="9">
        <v>27198640</v>
      </c>
      <c r="J86" s="94"/>
      <c r="K86" s="312"/>
      <c r="L86" s="2"/>
      <c r="M86" s="40">
        <f t="shared" si="3"/>
        <v>27198640</v>
      </c>
      <c r="N86" s="1" t="s">
        <v>5755</v>
      </c>
      <c r="O86" s="1" t="s">
        <v>5756</v>
      </c>
      <c r="P86" s="1" t="s">
        <v>5757</v>
      </c>
      <c r="Q86" s="3">
        <v>45051</v>
      </c>
      <c r="R86" s="3">
        <v>45051</v>
      </c>
      <c r="S86" s="3">
        <v>45052</v>
      </c>
      <c r="T86" s="41" t="s">
        <v>612</v>
      </c>
      <c r="U86" s="3"/>
      <c r="V86" s="3"/>
      <c r="W86" s="236"/>
      <c r="X86" s="237">
        <v>1920672</v>
      </c>
      <c r="Y86" s="9">
        <f t="shared" si="0"/>
        <v>25277968</v>
      </c>
      <c r="Z86" s="34">
        <f t="shared" si="1"/>
        <v>7.0616472000070596E-2</v>
      </c>
      <c r="AA86" s="85">
        <v>85465146</v>
      </c>
      <c r="AB86" s="85" t="s">
        <v>4857</v>
      </c>
      <c r="AC86" s="85" t="s">
        <v>196</v>
      </c>
      <c r="AD86" s="85" t="s">
        <v>196</v>
      </c>
      <c r="AE86" s="236"/>
      <c r="AF86" s="216" t="s">
        <v>5758</v>
      </c>
      <c r="AG86" s="85" t="s">
        <v>192</v>
      </c>
      <c r="AH86" s="85" t="s">
        <v>191</v>
      </c>
    </row>
    <row r="87" spans="1:34" s="4" customFormat="1" x14ac:dyDescent="0.2">
      <c r="A87" s="16">
        <v>891780111</v>
      </c>
      <c r="B87" s="16" t="s">
        <v>54</v>
      </c>
      <c r="C87" s="85" t="s">
        <v>56</v>
      </c>
      <c r="D87" s="16" t="s">
        <v>60</v>
      </c>
      <c r="E87" s="1" t="s">
        <v>5759</v>
      </c>
      <c r="F87" s="16" t="s">
        <v>61</v>
      </c>
      <c r="G87" s="85" t="s">
        <v>61</v>
      </c>
      <c r="H87" s="85" t="s">
        <v>73</v>
      </c>
      <c r="I87" s="9">
        <v>19245454</v>
      </c>
      <c r="J87" s="94"/>
      <c r="K87" s="312"/>
      <c r="L87" s="2"/>
      <c r="M87" s="40">
        <f t="shared" si="3"/>
        <v>19245454</v>
      </c>
      <c r="N87" s="1" t="s">
        <v>5760</v>
      </c>
      <c r="O87" s="1" t="s">
        <v>5761</v>
      </c>
      <c r="P87" s="1" t="s">
        <v>5762</v>
      </c>
      <c r="Q87" s="3">
        <v>45056</v>
      </c>
      <c r="R87" s="3">
        <v>45056</v>
      </c>
      <c r="S87" s="3">
        <v>45077</v>
      </c>
      <c r="T87" s="41" t="s">
        <v>612</v>
      </c>
      <c r="U87" s="3"/>
      <c r="V87" s="3"/>
      <c r="W87" s="236"/>
      <c r="X87" s="237">
        <v>19245454</v>
      </c>
      <c r="Y87" s="9">
        <f t="shared" si="0"/>
        <v>0</v>
      </c>
      <c r="Z87" s="34">
        <f t="shared" si="1"/>
        <v>1</v>
      </c>
      <c r="AA87" s="85">
        <v>57297693</v>
      </c>
      <c r="AB87" s="85" t="s">
        <v>5446</v>
      </c>
      <c r="AC87" s="85" t="s">
        <v>196</v>
      </c>
      <c r="AD87" s="85" t="s">
        <v>196</v>
      </c>
      <c r="AE87" s="236"/>
      <c r="AF87" s="216" t="s">
        <v>5763</v>
      </c>
      <c r="AG87" s="85" t="s">
        <v>192</v>
      </c>
      <c r="AH87" s="85" t="s">
        <v>191</v>
      </c>
    </row>
    <row r="88" spans="1:34" s="4" customFormat="1" x14ac:dyDescent="0.2">
      <c r="A88" s="16">
        <v>891780111</v>
      </c>
      <c r="B88" s="16" t="s">
        <v>54</v>
      </c>
      <c r="C88" s="85" t="s">
        <v>56</v>
      </c>
      <c r="D88" s="16" t="s">
        <v>60</v>
      </c>
      <c r="E88" s="1" t="s">
        <v>5764</v>
      </c>
      <c r="F88" s="16" t="s">
        <v>61</v>
      </c>
      <c r="G88" s="85" t="s">
        <v>61</v>
      </c>
      <c r="H88" s="85" t="s">
        <v>73</v>
      </c>
      <c r="I88" s="9">
        <v>115221750</v>
      </c>
      <c r="J88" s="94"/>
      <c r="K88" s="312"/>
      <c r="L88" s="2"/>
      <c r="M88" s="40">
        <f t="shared" si="3"/>
        <v>115221750</v>
      </c>
      <c r="N88" s="1" t="s">
        <v>5765</v>
      </c>
      <c r="O88" s="1" t="s">
        <v>5766</v>
      </c>
      <c r="P88" s="1" t="s">
        <v>5767</v>
      </c>
      <c r="Q88" s="3">
        <v>45056</v>
      </c>
      <c r="R88" s="3">
        <v>45063</v>
      </c>
      <c r="S88" s="3">
        <v>45064</v>
      </c>
      <c r="T88" s="41" t="s">
        <v>612</v>
      </c>
      <c r="U88" s="3"/>
      <c r="V88" s="3"/>
      <c r="W88" s="236"/>
      <c r="X88" s="237">
        <v>65450000</v>
      </c>
      <c r="Y88" s="9">
        <f t="shared" si="0"/>
        <v>49771750</v>
      </c>
      <c r="Z88" s="34">
        <f t="shared" si="1"/>
        <v>0.56803511489801184</v>
      </c>
      <c r="AA88" s="85">
        <v>85465146</v>
      </c>
      <c r="AB88" s="85" t="s">
        <v>4857</v>
      </c>
      <c r="AC88" s="85" t="s">
        <v>196</v>
      </c>
      <c r="AD88" s="85" t="s">
        <v>196</v>
      </c>
      <c r="AE88" s="236">
        <v>45063</v>
      </c>
      <c r="AF88" s="216" t="s">
        <v>5768</v>
      </c>
      <c r="AG88" s="85" t="s">
        <v>192</v>
      </c>
      <c r="AH88" s="85" t="s">
        <v>191</v>
      </c>
    </row>
    <row r="89" spans="1:34" s="43" customFormat="1" x14ac:dyDescent="0.2">
      <c r="A89" s="38">
        <v>891780111</v>
      </c>
      <c r="B89" s="38" t="s">
        <v>54</v>
      </c>
      <c r="C89" s="85" t="s">
        <v>56</v>
      </c>
      <c r="D89" s="38" t="s">
        <v>60</v>
      </c>
      <c r="E89" s="39" t="s">
        <v>5769</v>
      </c>
      <c r="F89" s="38" t="s">
        <v>61</v>
      </c>
      <c r="G89" s="85" t="s">
        <v>61</v>
      </c>
      <c r="H89" s="85" t="s">
        <v>73</v>
      </c>
      <c r="I89" s="36">
        <v>110000000</v>
      </c>
      <c r="J89" s="325"/>
      <c r="K89" s="328"/>
      <c r="L89" s="61"/>
      <c r="M89" s="40">
        <f t="shared" si="3"/>
        <v>110000000</v>
      </c>
      <c r="N89" s="39" t="s">
        <v>5662</v>
      </c>
      <c r="O89" s="39" t="s">
        <v>5663</v>
      </c>
      <c r="P89" s="39" t="s">
        <v>5770</v>
      </c>
      <c r="Q89" s="41">
        <v>45056</v>
      </c>
      <c r="R89" s="41">
        <v>45057</v>
      </c>
      <c r="S89" s="41">
        <v>45291</v>
      </c>
      <c r="T89" s="41" t="s">
        <v>612</v>
      </c>
      <c r="U89" s="41"/>
      <c r="V89" s="41"/>
      <c r="W89" s="236"/>
      <c r="X89" s="237">
        <v>79199736</v>
      </c>
      <c r="Y89" s="36">
        <f t="shared" si="0"/>
        <v>30800264</v>
      </c>
      <c r="Z89" s="37">
        <f t="shared" si="1"/>
        <v>0.71999760000000002</v>
      </c>
      <c r="AA89" s="85">
        <v>72175282</v>
      </c>
      <c r="AB89" s="85" t="s">
        <v>5399</v>
      </c>
      <c r="AC89" s="85" t="s">
        <v>196</v>
      </c>
      <c r="AD89" s="85" t="s">
        <v>196</v>
      </c>
      <c r="AE89" s="236">
        <v>45057</v>
      </c>
      <c r="AF89" s="216" t="s">
        <v>5771</v>
      </c>
      <c r="AG89" s="85" t="s">
        <v>192</v>
      </c>
      <c r="AH89" s="85" t="s">
        <v>191</v>
      </c>
    </row>
    <row r="90" spans="1:34" s="4" customFormat="1" x14ac:dyDescent="0.2">
      <c r="A90" s="16">
        <v>891780111</v>
      </c>
      <c r="B90" s="16" t="s">
        <v>54</v>
      </c>
      <c r="C90" s="85" t="s">
        <v>56</v>
      </c>
      <c r="D90" s="16" t="s">
        <v>60</v>
      </c>
      <c r="E90" s="1" t="s">
        <v>5772</v>
      </c>
      <c r="F90" s="16" t="s">
        <v>61</v>
      </c>
      <c r="G90" s="85" t="s">
        <v>61</v>
      </c>
      <c r="H90" s="85" t="s">
        <v>73</v>
      </c>
      <c r="I90" s="9">
        <v>26427111</v>
      </c>
      <c r="J90" s="94"/>
      <c r="K90" s="312"/>
      <c r="L90" s="2"/>
      <c r="M90" s="40">
        <f t="shared" si="3"/>
        <v>26427111</v>
      </c>
      <c r="N90" s="1" t="s">
        <v>5773</v>
      </c>
      <c r="O90" s="1" t="s">
        <v>5774</v>
      </c>
      <c r="P90" s="1" t="s">
        <v>5775</v>
      </c>
      <c r="Q90" s="3">
        <v>45057</v>
      </c>
      <c r="R90" s="3">
        <v>45057</v>
      </c>
      <c r="S90" s="3">
        <v>45061</v>
      </c>
      <c r="T90" s="41" t="s">
        <v>612</v>
      </c>
      <c r="U90" s="3"/>
      <c r="V90" s="3"/>
      <c r="W90" s="236"/>
      <c r="X90" s="237">
        <v>0</v>
      </c>
      <c r="Y90" s="9">
        <f t="shared" si="0"/>
        <v>26427111</v>
      </c>
      <c r="Z90" s="34">
        <f t="shared" si="1"/>
        <v>0</v>
      </c>
      <c r="AA90" s="85">
        <v>85465146</v>
      </c>
      <c r="AB90" s="85" t="s">
        <v>4857</v>
      </c>
      <c r="AC90" s="85" t="s">
        <v>196</v>
      </c>
      <c r="AD90" s="85" t="s">
        <v>196</v>
      </c>
      <c r="AE90" s="236"/>
      <c r="AF90" s="216" t="s">
        <v>5776</v>
      </c>
      <c r="AG90" s="85" t="s">
        <v>192</v>
      </c>
      <c r="AH90" s="85" t="s">
        <v>191</v>
      </c>
    </row>
    <row r="91" spans="1:34" s="4" customFormat="1" x14ac:dyDescent="0.2">
      <c r="A91" s="16">
        <v>891780111</v>
      </c>
      <c r="B91" s="16" t="s">
        <v>54</v>
      </c>
      <c r="C91" s="85" t="s">
        <v>56</v>
      </c>
      <c r="D91" s="16" t="s">
        <v>60</v>
      </c>
      <c r="E91" s="1" t="s">
        <v>5777</v>
      </c>
      <c r="F91" s="16" t="s">
        <v>61</v>
      </c>
      <c r="G91" s="85" t="s">
        <v>61</v>
      </c>
      <c r="H91" s="85" t="s">
        <v>73</v>
      </c>
      <c r="I91" s="9">
        <v>11743576</v>
      </c>
      <c r="J91" s="94"/>
      <c r="K91" s="312"/>
      <c r="L91" s="2"/>
      <c r="M91" s="40">
        <f t="shared" si="3"/>
        <v>11743576</v>
      </c>
      <c r="N91" s="1" t="s">
        <v>5778</v>
      </c>
      <c r="O91" s="1" t="s">
        <v>5779</v>
      </c>
      <c r="P91" s="1" t="s">
        <v>5780</v>
      </c>
      <c r="Q91" s="3">
        <v>45061</v>
      </c>
      <c r="R91" s="3">
        <v>45061</v>
      </c>
      <c r="S91" s="3">
        <v>45075</v>
      </c>
      <c r="T91" s="41" t="s">
        <v>612</v>
      </c>
      <c r="U91" s="3"/>
      <c r="V91" s="3"/>
      <c r="W91" s="236"/>
      <c r="X91" s="237">
        <v>11743576</v>
      </c>
      <c r="Y91" s="9">
        <f t="shared" si="0"/>
        <v>0</v>
      </c>
      <c r="Z91" s="34">
        <f t="shared" si="1"/>
        <v>1</v>
      </c>
      <c r="AA91" s="85">
        <v>85465146</v>
      </c>
      <c r="AB91" s="85" t="s">
        <v>4857</v>
      </c>
      <c r="AC91" s="85" t="s">
        <v>196</v>
      </c>
      <c r="AD91" s="85" t="s">
        <v>196</v>
      </c>
      <c r="AE91" s="236"/>
      <c r="AF91" s="216" t="s">
        <v>5781</v>
      </c>
      <c r="AG91" s="85" t="s">
        <v>192</v>
      </c>
      <c r="AH91" s="85" t="s">
        <v>191</v>
      </c>
    </row>
    <row r="92" spans="1:34" s="4" customFormat="1" x14ac:dyDescent="0.2">
      <c r="A92" s="16">
        <v>891780111</v>
      </c>
      <c r="B92" s="16" t="s">
        <v>54</v>
      </c>
      <c r="C92" s="85" t="s">
        <v>57</v>
      </c>
      <c r="D92" s="16" t="s">
        <v>60</v>
      </c>
      <c r="E92" s="1" t="s">
        <v>5782</v>
      </c>
      <c r="F92" s="16" t="s">
        <v>61</v>
      </c>
      <c r="G92" s="85" t="s">
        <v>61</v>
      </c>
      <c r="H92" s="85" t="s">
        <v>73</v>
      </c>
      <c r="I92" s="9">
        <v>6000000</v>
      </c>
      <c r="J92" s="94"/>
      <c r="K92" s="312"/>
      <c r="L92" s="2"/>
      <c r="M92" s="40">
        <f t="shared" si="3"/>
        <v>6000000</v>
      </c>
      <c r="N92" s="1" t="s">
        <v>5498</v>
      </c>
      <c r="O92" s="1" t="s">
        <v>5499</v>
      </c>
      <c r="P92" s="1" t="s">
        <v>5783</v>
      </c>
      <c r="Q92" s="3">
        <v>45061</v>
      </c>
      <c r="R92" s="3">
        <v>45061</v>
      </c>
      <c r="S92" s="3">
        <v>45245</v>
      </c>
      <c r="T92" s="41" t="s">
        <v>612</v>
      </c>
      <c r="U92" s="3"/>
      <c r="V92" s="3"/>
      <c r="W92" s="236"/>
      <c r="X92" s="237"/>
      <c r="Y92" s="9">
        <f t="shared" si="0"/>
        <v>6000000</v>
      </c>
      <c r="Z92" s="34">
        <f t="shared" si="1"/>
        <v>0</v>
      </c>
      <c r="AA92" s="85">
        <v>72175282</v>
      </c>
      <c r="AB92" s="85" t="s">
        <v>5399</v>
      </c>
      <c r="AC92" s="85" t="s">
        <v>196</v>
      </c>
      <c r="AD92" s="85" t="s">
        <v>196</v>
      </c>
      <c r="AE92" s="236"/>
      <c r="AF92" s="216" t="s">
        <v>5784</v>
      </c>
      <c r="AG92" s="85" t="s">
        <v>192</v>
      </c>
      <c r="AH92" s="85" t="s">
        <v>191</v>
      </c>
    </row>
    <row r="93" spans="1:34" s="4" customFormat="1" x14ac:dyDescent="0.2">
      <c r="A93" s="16">
        <v>891780111</v>
      </c>
      <c r="B93" s="16" t="s">
        <v>54</v>
      </c>
      <c r="C93" s="85" t="s">
        <v>56</v>
      </c>
      <c r="D93" s="16" t="s">
        <v>60</v>
      </c>
      <c r="E93" s="1" t="s">
        <v>5785</v>
      </c>
      <c r="F93" s="16" t="s">
        <v>61</v>
      </c>
      <c r="G93" s="85" t="s">
        <v>61</v>
      </c>
      <c r="H93" s="85" t="s">
        <v>73</v>
      </c>
      <c r="I93" s="9">
        <v>15000000</v>
      </c>
      <c r="J93" s="94"/>
      <c r="K93" s="312"/>
      <c r="L93" s="2"/>
      <c r="M93" s="40">
        <f t="shared" si="3"/>
        <v>15000000</v>
      </c>
      <c r="N93" s="1" t="s">
        <v>5786</v>
      </c>
      <c r="O93" s="1" t="s">
        <v>5787</v>
      </c>
      <c r="P93" s="1" t="s">
        <v>5788</v>
      </c>
      <c r="Q93" s="3">
        <v>45063</v>
      </c>
      <c r="R93" s="3">
        <v>45063</v>
      </c>
      <c r="S93" s="3">
        <v>45291</v>
      </c>
      <c r="T93" s="41" t="s">
        <v>612</v>
      </c>
      <c r="U93" s="3"/>
      <c r="V93" s="3"/>
      <c r="W93" s="236"/>
      <c r="X93" s="237">
        <v>0</v>
      </c>
      <c r="Y93" s="9">
        <f t="shared" si="0"/>
        <v>15000000</v>
      </c>
      <c r="Z93" s="34">
        <f t="shared" si="1"/>
        <v>0</v>
      </c>
      <c r="AA93" s="85">
        <v>72221403</v>
      </c>
      <c r="AB93" s="85" t="s">
        <v>2259</v>
      </c>
      <c r="AC93" s="85" t="s">
        <v>196</v>
      </c>
      <c r="AD93" s="85" t="s">
        <v>196</v>
      </c>
      <c r="AE93" s="236"/>
      <c r="AF93" s="216" t="s">
        <v>5789</v>
      </c>
      <c r="AG93" s="85" t="s">
        <v>192</v>
      </c>
      <c r="AH93" s="85" t="s">
        <v>191</v>
      </c>
    </row>
    <row r="94" spans="1:34" s="4" customFormat="1" x14ac:dyDescent="0.2">
      <c r="A94" s="16">
        <v>891780111</v>
      </c>
      <c r="B94" s="16" t="s">
        <v>54</v>
      </c>
      <c r="C94" s="85" t="s">
        <v>56</v>
      </c>
      <c r="D94" s="16" t="s">
        <v>60</v>
      </c>
      <c r="E94" s="1" t="s">
        <v>5790</v>
      </c>
      <c r="F94" s="16" t="s">
        <v>61</v>
      </c>
      <c r="G94" s="85" t="s">
        <v>61</v>
      </c>
      <c r="H94" s="85" t="s">
        <v>73</v>
      </c>
      <c r="I94" s="9">
        <v>3750000</v>
      </c>
      <c r="J94" s="94"/>
      <c r="K94" s="312"/>
      <c r="L94" s="2"/>
      <c r="M94" s="40">
        <f t="shared" si="3"/>
        <v>3750000</v>
      </c>
      <c r="N94" s="1" t="s">
        <v>5791</v>
      </c>
      <c r="O94" s="1" t="s">
        <v>5792</v>
      </c>
      <c r="P94" s="1" t="s">
        <v>5793</v>
      </c>
      <c r="Q94" s="3">
        <v>45064</v>
      </c>
      <c r="R94" s="3">
        <v>45066</v>
      </c>
      <c r="S94" s="3">
        <v>45088</v>
      </c>
      <c r="T94" s="41" t="s">
        <v>612</v>
      </c>
      <c r="U94" s="3"/>
      <c r="V94" s="3"/>
      <c r="W94" s="236"/>
      <c r="X94" s="237">
        <v>0</v>
      </c>
      <c r="Y94" s="9">
        <f t="shared" si="0"/>
        <v>3750000</v>
      </c>
      <c r="Z94" s="34">
        <f t="shared" si="1"/>
        <v>0</v>
      </c>
      <c r="AA94" s="85">
        <v>72175282</v>
      </c>
      <c r="AB94" s="85" t="s">
        <v>5399</v>
      </c>
      <c r="AC94" s="85" t="s">
        <v>196</v>
      </c>
      <c r="AD94" s="85" t="s">
        <v>196</v>
      </c>
      <c r="AE94" s="236"/>
      <c r="AF94" s="216" t="s">
        <v>5794</v>
      </c>
      <c r="AG94" s="85" t="s">
        <v>192</v>
      </c>
      <c r="AH94" s="85" t="s">
        <v>191</v>
      </c>
    </row>
    <row r="95" spans="1:34" s="43" customFormat="1" x14ac:dyDescent="0.25">
      <c r="A95" s="38">
        <v>891780111</v>
      </c>
      <c r="B95" s="38" t="s">
        <v>54</v>
      </c>
      <c r="C95" s="85" t="s">
        <v>56</v>
      </c>
      <c r="D95" s="38" t="s">
        <v>60</v>
      </c>
      <c r="E95" s="39" t="s">
        <v>5795</v>
      </c>
      <c r="F95" s="38" t="s">
        <v>61</v>
      </c>
      <c r="G95" s="85" t="s">
        <v>61</v>
      </c>
      <c r="H95" s="85" t="s">
        <v>73</v>
      </c>
      <c r="I95" s="36">
        <v>1380000</v>
      </c>
      <c r="J95" s="325"/>
      <c r="K95" s="328"/>
      <c r="L95" s="61"/>
      <c r="M95" s="40">
        <f t="shared" si="3"/>
        <v>1380000</v>
      </c>
      <c r="N95" s="39" t="s">
        <v>5796</v>
      </c>
      <c r="O95" s="39" t="s">
        <v>5797</v>
      </c>
      <c r="P95" s="39" t="s">
        <v>5798</v>
      </c>
      <c r="Q95" s="41">
        <v>45075</v>
      </c>
      <c r="R95" s="41">
        <v>45075</v>
      </c>
      <c r="S95" s="41">
        <v>45079</v>
      </c>
      <c r="T95" s="41" t="s">
        <v>612</v>
      </c>
      <c r="U95" s="41"/>
      <c r="V95" s="41"/>
      <c r="W95" s="236"/>
      <c r="X95" s="237">
        <v>1380000</v>
      </c>
      <c r="Y95" s="36">
        <f t="shared" si="0"/>
        <v>0</v>
      </c>
      <c r="Z95" s="37">
        <f t="shared" si="1"/>
        <v>1</v>
      </c>
      <c r="AA95" s="85">
        <v>85465146</v>
      </c>
      <c r="AB95" s="85" t="s">
        <v>4857</v>
      </c>
      <c r="AC95" s="85" t="s">
        <v>196</v>
      </c>
      <c r="AD95" s="85" t="s">
        <v>196</v>
      </c>
      <c r="AE95" s="236"/>
      <c r="AF95" s="77" t="s">
        <v>5799</v>
      </c>
      <c r="AG95" s="85" t="s">
        <v>192</v>
      </c>
      <c r="AH95" s="85" t="s">
        <v>191</v>
      </c>
    </row>
    <row r="96" spans="1:34" s="4" customFormat="1" x14ac:dyDescent="0.2">
      <c r="A96" s="16">
        <v>891780111</v>
      </c>
      <c r="B96" s="16" t="s">
        <v>54</v>
      </c>
      <c r="C96" s="85" t="s">
        <v>56</v>
      </c>
      <c r="D96" s="16" t="s">
        <v>60</v>
      </c>
      <c r="E96" s="1" t="s">
        <v>5800</v>
      </c>
      <c r="F96" s="16" t="s">
        <v>61</v>
      </c>
      <c r="G96" s="85" t="s">
        <v>61</v>
      </c>
      <c r="H96" s="85" t="s">
        <v>73</v>
      </c>
      <c r="I96" s="9">
        <v>100722404</v>
      </c>
      <c r="J96" s="94"/>
      <c r="K96" s="312"/>
      <c r="L96" s="2"/>
      <c r="M96" s="40">
        <f t="shared" si="3"/>
        <v>100722404</v>
      </c>
      <c r="N96" s="1" t="s">
        <v>5710</v>
      </c>
      <c r="O96" s="1" t="s">
        <v>5711</v>
      </c>
      <c r="P96" s="1" t="s">
        <v>5801</v>
      </c>
      <c r="Q96" s="3">
        <v>45077</v>
      </c>
      <c r="R96" s="3">
        <v>45082</v>
      </c>
      <c r="S96" s="3">
        <v>45448</v>
      </c>
      <c r="T96" s="41" t="s">
        <v>612</v>
      </c>
      <c r="U96" s="3"/>
      <c r="V96" s="3"/>
      <c r="W96" s="236"/>
      <c r="X96" s="237">
        <v>40288961</v>
      </c>
      <c r="Y96" s="9">
        <f t="shared" si="0"/>
        <v>60433443</v>
      </c>
      <c r="Z96" s="34">
        <f t="shared" si="1"/>
        <v>0.39999999404303338</v>
      </c>
      <c r="AA96" s="85">
        <v>85459497</v>
      </c>
      <c r="AB96" s="85" t="s">
        <v>4837</v>
      </c>
      <c r="AC96" s="85" t="s">
        <v>192</v>
      </c>
      <c r="AD96" s="85" t="s">
        <v>196</v>
      </c>
      <c r="AE96" s="236">
        <v>45077</v>
      </c>
      <c r="AF96" s="216" t="s">
        <v>5802</v>
      </c>
      <c r="AG96" s="85" t="s">
        <v>192</v>
      </c>
      <c r="AH96" s="85" t="s">
        <v>191</v>
      </c>
    </row>
    <row r="97" spans="1:34" s="4" customFormat="1" x14ac:dyDescent="0.2">
      <c r="A97" s="242">
        <v>891780111</v>
      </c>
      <c r="B97" s="242" t="s">
        <v>54</v>
      </c>
      <c r="C97" s="243" t="s">
        <v>56</v>
      </c>
      <c r="D97" s="242" t="s">
        <v>60</v>
      </c>
      <c r="E97" s="244" t="s">
        <v>5803</v>
      </c>
      <c r="F97" s="242" t="s">
        <v>61</v>
      </c>
      <c r="G97" s="243" t="s">
        <v>61</v>
      </c>
      <c r="H97" s="243" t="s">
        <v>73</v>
      </c>
      <c r="I97" s="245">
        <v>76435827</v>
      </c>
      <c r="J97" s="326"/>
      <c r="K97" s="329"/>
      <c r="L97" s="246"/>
      <c r="M97" s="247">
        <f t="shared" si="3"/>
        <v>76435827</v>
      </c>
      <c r="N97" s="244" t="s">
        <v>5804</v>
      </c>
      <c r="O97" s="244" t="s">
        <v>4885</v>
      </c>
      <c r="P97" s="244" t="s">
        <v>5805</v>
      </c>
      <c r="Q97" s="248">
        <v>45077</v>
      </c>
      <c r="R97" s="248">
        <v>45078</v>
      </c>
      <c r="S97" s="248">
        <v>45080</v>
      </c>
      <c r="T97" s="249" t="s">
        <v>612</v>
      </c>
      <c r="U97" s="248"/>
      <c r="V97" s="248"/>
      <c r="W97" s="250"/>
      <c r="X97" s="251">
        <v>76435827</v>
      </c>
      <c r="Y97" s="245">
        <f t="shared" si="0"/>
        <v>0</v>
      </c>
      <c r="Z97" s="252">
        <f t="shared" si="1"/>
        <v>1</v>
      </c>
      <c r="AA97" s="243">
        <v>72175282</v>
      </c>
      <c r="AB97" s="243" t="s">
        <v>5399</v>
      </c>
      <c r="AC97" s="243" t="s">
        <v>196</v>
      </c>
      <c r="AD97" s="243" t="s">
        <v>196</v>
      </c>
      <c r="AE97" s="250">
        <v>45078</v>
      </c>
      <c r="AF97" s="216" t="s">
        <v>5806</v>
      </c>
      <c r="AG97" s="243" t="s">
        <v>192</v>
      </c>
      <c r="AH97" s="243" t="s">
        <v>191</v>
      </c>
    </row>
    <row r="98" spans="1:34" s="1" customFormat="1" x14ac:dyDescent="0.2">
      <c r="A98" s="16">
        <v>891780111</v>
      </c>
      <c r="B98" s="16" t="s">
        <v>54</v>
      </c>
      <c r="C98" s="239" t="s">
        <v>56</v>
      </c>
      <c r="D98" s="16" t="s">
        <v>60</v>
      </c>
      <c r="E98" s="1" t="s">
        <v>5807</v>
      </c>
      <c r="F98" s="16" t="s">
        <v>61</v>
      </c>
      <c r="G98" s="85" t="s">
        <v>61</v>
      </c>
      <c r="H98" s="85" t="s">
        <v>73</v>
      </c>
      <c r="I98" s="9">
        <v>1670140</v>
      </c>
      <c r="J98" s="94"/>
      <c r="K98" s="79"/>
      <c r="M98" s="40">
        <f t="shared" si="3"/>
        <v>1670140</v>
      </c>
      <c r="N98" s="1" t="s">
        <v>5808</v>
      </c>
      <c r="O98" s="1" t="s">
        <v>5809</v>
      </c>
      <c r="P98" s="1" t="s">
        <v>5810</v>
      </c>
      <c r="Q98" s="3">
        <v>45078</v>
      </c>
      <c r="R98" s="3">
        <v>45124</v>
      </c>
      <c r="S98" s="3">
        <v>45133</v>
      </c>
      <c r="T98" s="1" t="s">
        <v>612</v>
      </c>
      <c r="X98" s="237">
        <v>1670140</v>
      </c>
      <c r="Y98" s="9">
        <f t="shared" si="0"/>
        <v>0</v>
      </c>
      <c r="Z98" s="34">
        <f t="shared" si="1"/>
        <v>1</v>
      </c>
      <c r="AA98" s="85">
        <v>85465146</v>
      </c>
      <c r="AB98" s="85" t="s">
        <v>4857</v>
      </c>
      <c r="AC98" s="1" t="s">
        <v>196</v>
      </c>
      <c r="AD98" s="1" t="s">
        <v>196</v>
      </c>
      <c r="AF98" s="216" t="s">
        <v>5811</v>
      </c>
      <c r="AG98" s="85" t="s">
        <v>192</v>
      </c>
      <c r="AH98" s="85" t="s">
        <v>191</v>
      </c>
    </row>
    <row r="99" spans="1:34" s="1" customFormat="1" x14ac:dyDescent="0.2">
      <c r="A99" s="16">
        <v>891780111</v>
      </c>
      <c r="B99" s="16" t="s">
        <v>54</v>
      </c>
      <c r="C99" s="239" t="s">
        <v>56</v>
      </c>
      <c r="D99" s="16" t="s">
        <v>60</v>
      </c>
      <c r="E99" s="1" t="s">
        <v>5812</v>
      </c>
      <c r="F99" s="16" t="s">
        <v>61</v>
      </c>
      <c r="G99" s="85" t="s">
        <v>61</v>
      </c>
      <c r="H99" s="85" t="s">
        <v>73</v>
      </c>
      <c r="I99" s="9">
        <v>61285000</v>
      </c>
      <c r="J99" s="94"/>
      <c r="K99" s="312"/>
      <c r="L99" s="2"/>
      <c r="M99" s="40">
        <f>+I99+K99-L99</f>
        <v>61285000</v>
      </c>
      <c r="N99" s="1">
        <v>901237267</v>
      </c>
      <c r="O99" s="1" t="s">
        <v>5813</v>
      </c>
      <c r="P99" s="1" t="s">
        <v>5814</v>
      </c>
      <c r="Q99" s="3">
        <v>45078</v>
      </c>
      <c r="R99" s="3">
        <v>45082</v>
      </c>
      <c r="S99" s="3">
        <v>45086</v>
      </c>
      <c r="T99" s="41" t="s">
        <v>612</v>
      </c>
      <c r="U99" s="3"/>
      <c r="V99" s="3"/>
      <c r="W99" s="236"/>
      <c r="X99" s="237">
        <v>61285000</v>
      </c>
      <c r="Y99" s="9">
        <f>M99-X99</f>
        <v>0</v>
      </c>
      <c r="Z99" s="34">
        <f>+(X99/M99)</f>
        <v>1</v>
      </c>
      <c r="AA99" s="85">
        <v>7633815</v>
      </c>
      <c r="AB99" s="85" t="s">
        <v>5425</v>
      </c>
      <c r="AC99" s="85" t="s">
        <v>196</v>
      </c>
      <c r="AD99" s="85" t="s">
        <v>196</v>
      </c>
      <c r="AE99" s="236">
        <v>45082</v>
      </c>
      <c r="AF99" s="207" t="s">
        <v>5815</v>
      </c>
      <c r="AG99" s="85" t="s">
        <v>192</v>
      </c>
      <c r="AH99" s="85" t="s">
        <v>191</v>
      </c>
    </row>
    <row r="100" spans="1:34" s="4" customFormat="1" x14ac:dyDescent="0.2">
      <c r="A100" s="16">
        <v>891780111</v>
      </c>
      <c r="B100" s="16" t="s">
        <v>54</v>
      </c>
      <c r="C100" s="239" t="s">
        <v>56</v>
      </c>
      <c r="D100" s="16" t="s">
        <v>60</v>
      </c>
      <c r="E100" s="253" t="s">
        <v>5816</v>
      </c>
      <c r="F100" s="254" t="s">
        <v>61</v>
      </c>
      <c r="G100" s="255" t="s">
        <v>61</v>
      </c>
      <c r="H100" s="255" t="s">
        <v>73</v>
      </c>
      <c r="I100" s="223">
        <v>14000000</v>
      </c>
      <c r="J100" s="327"/>
      <c r="K100" s="330"/>
      <c r="L100" s="256"/>
      <c r="M100" s="257">
        <f t="shared" si="3"/>
        <v>14000000</v>
      </c>
      <c r="N100" s="253" t="s">
        <v>5817</v>
      </c>
      <c r="O100" s="253" t="s">
        <v>5818</v>
      </c>
      <c r="P100" s="253" t="s">
        <v>5819</v>
      </c>
      <c r="Q100" s="258">
        <v>45079</v>
      </c>
      <c r="R100" s="258">
        <v>45079</v>
      </c>
      <c r="S100" s="258">
        <v>45291</v>
      </c>
      <c r="T100" s="259" t="s">
        <v>612</v>
      </c>
      <c r="U100" s="258"/>
      <c r="V100" s="258"/>
      <c r="W100" s="260"/>
      <c r="X100" s="261">
        <v>0</v>
      </c>
      <c r="Y100" s="223">
        <f t="shared" si="0"/>
        <v>14000000</v>
      </c>
      <c r="Z100" s="262">
        <f t="shared" si="1"/>
        <v>0</v>
      </c>
      <c r="AA100" s="255">
        <v>85459497</v>
      </c>
      <c r="AB100" s="255" t="s">
        <v>4837</v>
      </c>
      <c r="AC100" s="255" t="s">
        <v>196</v>
      </c>
      <c r="AD100" s="255" t="s">
        <v>196</v>
      </c>
      <c r="AE100" s="260"/>
      <c r="AF100" s="216" t="s">
        <v>5820</v>
      </c>
      <c r="AG100" s="85" t="s">
        <v>192</v>
      </c>
      <c r="AH100" s="85" t="s">
        <v>191</v>
      </c>
    </row>
    <row r="101" spans="1:34" s="4" customFormat="1" x14ac:dyDescent="0.2">
      <c r="A101" s="38">
        <v>891780111</v>
      </c>
      <c r="B101" s="38" t="s">
        <v>54</v>
      </c>
      <c r="C101" s="239" t="s">
        <v>56</v>
      </c>
      <c r="D101" s="16" t="s">
        <v>60</v>
      </c>
      <c r="E101" s="1" t="s">
        <v>5821</v>
      </c>
      <c r="F101" s="16" t="s">
        <v>61</v>
      </c>
      <c r="G101" s="85" t="s">
        <v>61</v>
      </c>
      <c r="H101" s="85" t="s">
        <v>73</v>
      </c>
      <c r="I101" s="9">
        <v>23166706</v>
      </c>
      <c r="J101" s="94"/>
      <c r="K101" s="312"/>
      <c r="L101" s="2"/>
      <c r="M101" s="40">
        <f t="shared" si="3"/>
        <v>23166706</v>
      </c>
      <c r="N101" s="1" t="s">
        <v>5822</v>
      </c>
      <c r="O101" s="1" t="s">
        <v>4885</v>
      </c>
      <c r="P101" s="1" t="s">
        <v>5823</v>
      </c>
      <c r="Q101" s="3">
        <v>45084</v>
      </c>
      <c r="R101" s="3">
        <v>45090</v>
      </c>
      <c r="S101" s="3">
        <v>45092</v>
      </c>
      <c r="T101" s="41" t="s">
        <v>612</v>
      </c>
      <c r="U101" s="3"/>
      <c r="V101" s="3"/>
      <c r="W101" s="236"/>
      <c r="X101" s="237">
        <v>23166706</v>
      </c>
      <c r="Y101" s="9">
        <f t="shared" si="0"/>
        <v>0</v>
      </c>
      <c r="Z101" s="34">
        <f t="shared" si="1"/>
        <v>1</v>
      </c>
      <c r="AA101" s="85">
        <v>72175282</v>
      </c>
      <c r="AB101" s="85" t="s">
        <v>5399</v>
      </c>
      <c r="AC101" s="85" t="s">
        <v>196</v>
      </c>
      <c r="AD101" s="85" t="s">
        <v>196</v>
      </c>
      <c r="AE101" s="236"/>
      <c r="AF101" s="216" t="s">
        <v>5824</v>
      </c>
      <c r="AG101" s="85" t="s">
        <v>192</v>
      </c>
      <c r="AH101" s="85" t="s">
        <v>191</v>
      </c>
    </row>
    <row r="102" spans="1:34" s="4" customFormat="1" x14ac:dyDescent="0.2">
      <c r="A102" s="16">
        <v>891780111</v>
      </c>
      <c r="B102" s="16" t="s">
        <v>54</v>
      </c>
      <c r="C102" s="239" t="s">
        <v>57</v>
      </c>
      <c r="D102" s="16" t="s">
        <v>60</v>
      </c>
      <c r="E102" s="1" t="s">
        <v>5825</v>
      </c>
      <c r="F102" s="16" t="s">
        <v>61</v>
      </c>
      <c r="G102" s="85" t="s">
        <v>61</v>
      </c>
      <c r="H102" s="85" t="s">
        <v>73</v>
      </c>
      <c r="I102" s="9">
        <v>7500000</v>
      </c>
      <c r="J102" s="94"/>
      <c r="K102" s="312"/>
      <c r="L102" s="2"/>
      <c r="M102" s="40">
        <f t="shared" si="3"/>
        <v>7500000</v>
      </c>
      <c r="N102" s="1" t="s">
        <v>5826</v>
      </c>
      <c r="O102" s="1" t="s">
        <v>5827</v>
      </c>
      <c r="P102" s="1" t="s">
        <v>5828</v>
      </c>
      <c r="Q102" s="3">
        <v>45085</v>
      </c>
      <c r="R102" s="3">
        <v>45086</v>
      </c>
      <c r="S102" s="3">
        <v>45086</v>
      </c>
      <c r="T102" s="41" t="s">
        <v>612</v>
      </c>
      <c r="U102" s="3"/>
      <c r="V102" s="3"/>
      <c r="W102" s="236"/>
      <c r="X102" s="237">
        <v>0</v>
      </c>
      <c r="Y102" s="9">
        <f t="shared" si="0"/>
        <v>7500000</v>
      </c>
      <c r="Z102" s="34">
        <f t="shared" si="1"/>
        <v>0</v>
      </c>
      <c r="AA102" s="85">
        <v>85152695</v>
      </c>
      <c r="AB102" s="85" t="s">
        <v>4890</v>
      </c>
      <c r="AC102" s="85" t="s">
        <v>196</v>
      </c>
      <c r="AD102" s="85" t="s">
        <v>196</v>
      </c>
      <c r="AE102" s="236"/>
      <c r="AF102" s="216" t="s">
        <v>5829</v>
      </c>
      <c r="AG102" s="85" t="s">
        <v>192</v>
      </c>
      <c r="AH102" s="85" t="s">
        <v>191</v>
      </c>
    </row>
    <row r="103" spans="1:34" s="4" customFormat="1" x14ac:dyDescent="0.2">
      <c r="A103" s="16">
        <v>891780111</v>
      </c>
      <c r="B103" s="16" t="s">
        <v>54</v>
      </c>
      <c r="C103" s="239" t="s">
        <v>56</v>
      </c>
      <c r="D103" s="38" t="s">
        <v>60</v>
      </c>
      <c r="E103" s="1" t="s">
        <v>5830</v>
      </c>
      <c r="F103" s="16" t="s">
        <v>61</v>
      </c>
      <c r="G103" s="85" t="s">
        <v>61</v>
      </c>
      <c r="H103" s="85" t="s">
        <v>73</v>
      </c>
      <c r="I103" s="9">
        <v>55000000</v>
      </c>
      <c r="J103" s="94"/>
      <c r="K103" s="312"/>
      <c r="L103" s="2"/>
      <c r="M103" s="40">
        <f t="shared" si="3"/>
        <v>55000000</v>
      </c>
      <c r="N103" s="1" t="s">
        <v>5831</v>
      </c>
      <c r="O103" s="1" t="s">
        <v>5832</v>
      </c>
      <c r="P103" s="1" t="s">
        <v>5833</v>
      </c>
      <c r="Q103" s="3">
        <v>45092</v>
      </c>
      <c r="R103" s="3">
        <v>45097</v>
      </c>
      <c r="S103" s="3">
        <v>45291</v>
      </c>
      <c r="T103" s="41" t="s">
        <v>612</v>
      </c>
      <c r="U103" s="3"/>
      <c r="V103" s="3"/>
      <c r="W103" s="236"/>
      <c r="X103" s="237">
        <v>0</v>
      </c>
      <c r="Y103" s="9">
        <f t="shared" si="0"/>
        <v>55000000</v>
      </c>
      <c r="Z103" s="34">
        <f t="shared" si="1"/>
        <v>0</v>
      </c>
      <c r="AA103" s="85">
        <v>85459497</v>
      </c>
      <c r="AB103" s="85" t="s">
        <v>4837</v>
      </c>
      <c r="AC103" s="85" t="s">
        <v>196</v>
      </c>
      <c r="AD103" s="85" t="s">
        <v>196</v>
      </c>
      <c r="AE103" s="236">
        <v>45097</v>
      </c>
      <c r="AF103" s="216" t="s">
        <v>5834</v>
      </c>
      <c r="AG103" s="85" t="s">
        <v>192</v>
      </c>
      <c r="AH103" s="85" t="s">
        <v>191</v>
      </c>
    </row>
    <row r="104" spans="1:34" s="4" customFormat="1" x14ac:dyDescent="0.2">
      <c r="A104" s="16">
        <v>891780111</v>
      </c>
      <c r="B104" s="16" t="s">
        <v>54</v>
      </c>
      <c r="C104" s="239" t="s">
        <v>56</v>
      </c>
      <c r="D104" s="16" t="s">
        <v>60</v>
      </c>
      <c r="E104" s="1" t="s">
        <v>5835</v>
      </c>
      <c r="F104" s="16" t="s">
        <v>61</v>
      </c>
      <c r="G104" s="85" t="s">
        <v>61</v>
      </c>
      <c r="H104" s="85" t="s">
        <v>73</v>
      </c>
      <c r="I104" s="9">
        <v>39567500</v>
      </c>
      <c r="J104" s="94"/>
      <c r="K104" s="312"/>
      <c r="L104" s="2"/>
      <c r="M104" s="40">
        <f t="shared" si="3"/>
        <v>39567500</v>
      </c>
      <c r="N104" s="1" t="s">
        <v>5765</v>
      </c>
      <c r="O104" s="1" t="s">
        <v>5836</v>
      </c>
      <c r="P104" s="1" t="s">
        <v>5837</v>
      </c>
      <c r="Q104" s="3">
        <v>45097</v>
      </c>
      <c r="R104" s="3">
        <v>45097</v>
      </c>
      <c r="S104" s="3">
        <v>45285</v>
      </c>
      <c r="T104" s="41" t="s">
        <v>612</v>
      </c>
      <c r="U104" s="3"/>
      <c r="V104" s="3"/>
      <c r="W104" s="236"/>
      <c r="X104" s="237">
        <v>23740500</v>
      </c>
      <c r="Y104" s="9">
        <f t="shared" si="0"/>
        <v>15827000</v>
      </c>
      <c r="Z104" s="34">
        <f t="shared" si="1"/>
        <v>0.6</v>
      </c>
      <c r="AA104" s="85">
        <v>85465146</v>
      </c>
      <c r="AB104" s="85" t="s">
        <v>4857</v>
      </c>
      <c r="AC104" s="85" t="s">
        <v>196</v>
      </c>
      <c r="AD104" s="85" t="s">
        <v>196</v>
      </c>
      <c r="AE104" s="236">
        <v>45097</v>
      </c>
      <c r="AF104" s="216" t="s">
        <v>5838</v>
      </c>
      <c r="AG104" s="85" t="s">
        <v>192</v>
      </c>
      <c r="AH104" s="85" t="s">
        <v>191</v>
      </c>
    </row>
    <row r="105" spans="1:34" s="4" customFormat="1" x14ac:dyDescent="0.2">
      <c r="A105" s="16">
        <v>891780111</v>
      </c>
      <c r="B105" s="16" t="s">
        <v>54</v>
      </c>
      <c r="C105" s="239" t="s">
        <v>57</v>
      </c>
      <c r="D105" s="16" t="s">
        <v>60</v>
      </c>
      <c r="E105" s="1" t="s">
        <v>5839</v>
      </c>
      <c r="F105" s="16" t="s">
        <v>61</v>
      </c>
      <c r="G105" s="85" t="s">
        <v>61</v>
      </c>
      <c r="H105" s="85" t="s">
        <v>73</v>
      </c>
      <c r="I105" s="9">
        <v>21122891</v>
      </c>
      <c r="J105" s="94"/>
      <c r="K105" s="312"/>
      <c r="L105" s="2"/>
      <c r="M105" s="40">
        <f t="shared" si="3"/>
        <v>21122891</v>
      </c>
      <c r="N105" s="1" t="s">
        <v>5840</v>
      </c>
      <c r="O105" s="1" t="s">
        <v>5396</v>
      </c>
      <c r="P105" s="1" t="s">
        <v>5841</v>
      </c>
      <c r="Q105" s="3">
        <v>45098</v>
      </c>
      <c r="R105" s="3">
        <v>45098</v>
      </c>
      <c r="S105" s="3">
        <v>45128</v>
      </c>
      <c r="T105" s="41" t="s">
        <v>612</v>
      </c>
      <c r="U105" s="3"/>
      <c r="V105" s="3"/>
      <c r="W105" s="236"/>
      <c r="X105" s="237">
        <v>21122891</v>
      </c>
      <c r="Y105" s="9">
        <f t="shared" si="0"/>
        <v>0</v>
      </c>
      <c r="Z105" s="34">
        <f t="shared" si="1"/>
        <v>1</v>
      </c>
      <c r="AA105" s="85">
        <v>72175282</v>
      </c>
      <c r="AB105" s="85" t="s">
        <v>5399</v>
      </c>
      <c r="AC105" s="85" t="s">
        <v>196</v>
      </c>
      <c r="AD105" s="85" t="s">
        <v>196</v>
      </c>
      <c r="AE105" s="236"/>
      <c r="AF105" s="216" t="s">
        <v>5842</v>
      </c>
      <c r="AG105" s="85" t="s">
        <v>192</v>
      </c>
      <c r="AH105" s="85" t="s">
        <v>191</v>
      </c>
    </row>
    <row r="106" spans="1:34" s="4" customFormat="1" x14ac:dyDescent="0.2">
      <c r="A106" s="16">
        <v>891780111</v>
      </c>
      <c r="B106" s="16" t="s">
        <v>54</v>
      </c>
      <c r="C106" s="239" t="s">
        <v>57</v>
      </c>
      <c r="D106" s="16" t="s">
        <v>60</v>
      </c>
      <c r="E106" s="1" t="s">
        <v>5843</v>
      </c>
      <c r="F106" s="16" t="s">
        <v>61</v>
      </c>
      <c r="G106" s="85" t="s">
        <v>61</v>
      </c>
      <c r="H106" s="85" t="s">
        <v>73</v>
      </c>
      <c r="I106" s="9">
        <v>37835099</v>
      </c>
      <c r="J106" s="94"/>
      <c r="K106" s="312"/>
      <c r="L106" s="2"/>
      <c r="M106" s="40">
        <f t="shared" si="3"/>
        <v>37835099</v>
      </c>
      <c r="N106" s="1" t="s">
        <v>5844</v>
      </c>
      <c r="O106" s="1" t="s">
        <v>5406</v>
      </c>
      <c r="P106" s="1" t="s">
        <v>5845</v>
      </c>
      <c r="Q106" s="3">
        <v>45100</v>
      </c>
      <c r="R106" s="3">
        <v>45100</v>
      </c>
      <c r="S106" s="3">
        <v>45130</v>
      </c>
      <c r="T106" s="41" t="s">
        <v>612</v>
      </c>
      <c r="U106" s="3"/>
      <c r="V106" s="3"/>
      <c r="W106" s="236"/>
      <c r="X106" s="237">
        <v>37835098</v>
      </c>
      <c r="Y106" s="9">
        <f t="shared" si="0"/>
        <v>1</v>
      </c>
      <c r="Z106" s="34">
        <f t="shared" si="1"/>
        <v>0.99999997356951542</v>
      </c>
      <c r="AA106" s="85">
        <v>72175282</v>
      </c>
      <c r="AB106" s="85" t="s">
        <v>5399</v>
      </c>
      <c r="AC106" s="85" t="s">
        <v>196</v>
      </c>
      <c r="AD106" s="85" t="s">
        <v>196</v>
      </c>
      <c r="AE106" s="236"/>
      <c r="AF106" s="216" t="s">
        <v>5846</v>
      </c>
      <c r="AG106" s="85" t="s">
        <v>192</v>
      </c>
      <c r="AH106" s="85" t="s">
        <v>191</v>
      </c>
    </row>
    <row r="107" spans="1:34" s="4" customFormat="1" x14ac:dyDescent="0.2">
      <c r="A107" s="38">
        <v>891780111</v>
      </c>
      <c r="B107" s="38" t="s">
        <v>54</v>
      </c>
      <c r="C107" s="239" t="s">
        <v>56</v>
      </c>
      <c r="D107" s="16" t="s">
        <v>60</v>
      </c>
      <c r="E107" s="1" t="s">
        <v>5847</v>
      </c>
      <c r="F107" s="16" t="s">
        <v>61</v>
      </c>
      <c r="G107" s="85" t="s">
        <v>61</v>
      </c>
      <c r="H107" s="85" t="s">
        <v>73</v>
      </c>
      <c r="I107" s="9">
        <v>66836700</v>
      </c>
      <c r="J107" s="94"/>
      <c r="K107" s="312"/>
      <c r="L107" s="2"/>
      <c r="M107" s="40">
        <f t="shared" si="3"/>
        <v>66836700</v>
      </c>
      <c r="N107" s="1" t="s">
        <v>5848</v>
      </c>
      <c r="O107" s="1" t="s">
        <v>5849</v>
      </c>
      <c r="P107" s="1" t="s">
        <v>5850</v>
      </c>
      <c r="Q107" s="3">
        <v>45100</v>
      </c>
      <c r="R107" s="3">
        <v>45104</v>
      </c>
      <c r="S107" s="3">
        <v>45107</v>
      </c>
      <c r="T107" s="41" t="s">
        <v>612</v>
      </c>
      <c r="U107" s="3"/>
      <c r="V107" s="3"/>
      <c r="W107" s="236"/>
      <c r="X107" s="237">
        <v>66836700</v>
      </c>
      <c r="Y107" s="9">
        <f t="shared" si="0"/>
        <v>0</v>
      </c>
      <c r="Z107" s="34">
        <f t="shared" si="1"/>
        <v>1</v>
      </c>
      <c r="AA107" s="85">
        <v>7633815</v>
      </c>
      <c r="AB107" s="85" t="s">
        <v>5425</v>
      </c>
      <c r="AC107" s="85" t="s">
        <v>196</v>
      </c>
      <c r="AD107" s="85" t="s">
        <v>196</v>
      </c>
      <c r="AE107" s="236">
        <v>45104</v>
      </c>
      <c r="AF107" s="216" t="s">
        <v>5851</v>
      </c>
      <c r="AG107" s="85" t="s">
        <v>192</v>
      </c>
      <c r="AH107" s="85" t="s">
        <v>191</v>
      </c>
    </row>
    <row r="108" spans="1:34" s="4" customFormat="1" x14ac:dyDescent="0.2">
      <c r="A108" s="16">
        <v>891780111</v>
      </c>
      <c r="B108" s="16" t="s">
        <v>54</v>
      </c>
      <c r="C108" s="239" t="s">
        <v>56</v>
      </c>
      <c r="D108" s="16" t="s">
        <v>60</v>
      </c>
      <c r="E108" s="1" t="s">
        <v>5852</v>
      </c>
      <c r="F108" s="16" t="s">
        <v>61</v>
      </c>
      <c r="G108" s="85" t="s">
        <v>61</v>
      </c>
      <c r="H108" s="85" t="s">
        <v>73</v>
      </c>
      <c r="I108" s="9">
        <v>44565500</v>
      </c>
      <c r="J108" s="94"/>
      <c r="K108" s="312"/>
      <c r="L108" s="2"/>
      <c r="M108" s="40">
        <f t="shared" si="3"/>
        <v>44565500</v>
      </c>
      <c r="N108" s="1" t="s">
        <v>5527</v>
      </c>
      <c r="O108" s="1" t="s">
        <v>5853</v>
      </c>
      <c r="P108" s="1" t="s">
        <v>5854</v>
      </c>
      <c r="Q108" s="3" t="s">
        <v>9501</v>
      </c>
      <c r="R108" s="3" t="s">
        <v>5940</v>
      </c>
      <c r="S108" s="3" t="s">
        <v>9502</v>
      </c>
      <c r="T108" s="41" t="s">
        <v>612</v>
      </c>
      <c r="U108" s="3"/>
      <c r="V108" s="3"/>
      <c r="W108" s="236"/>
      <c r="X108" s="237">
        <v>44565500</v>
      </c>
      <c r="Y108" s="9">
        <f t="shared" si="0"/>
        <v>0</v>
      </c>
      <c r="Z108" s="34">
        <f>+(X108/M108)</f>
        <v>1</v>
      </c>
      <c r="AA108" s="85">
        <v>85465146</v>
      </c>
      <c r="AB108" s="85" t="s">
        <v>4857</v>
      </c>
      <c r="AC108" s="85" t="s">
        <v>196</v>
      </c>
      <c r="AD108" s="85" t="s">
        <v>196</v>
      </c>
      <c r="AE108" s="236">
        <v>45105</v>
      </c>
      <c r="AF108" s="216" t="s">
        <v>5855</v>
      </c>
      <c r="AG108" s="85" t="s">
        <v>192</v>
      </c>
      <c r="AH108" s="85" t="s">
        <v>191</v>
      </c>
    </row>
    <row r="109" spans="1:34" s="4" customFormat="1" x14ac:dyDescent="0.2">
      <c r="A109" s="16">
        <v>891780111</v>
      </c>
      <c r="B109" s="16" t="s">
        <v>54</v>
      </c>
      <c r="C109" s="239" t="s">
        <v>56</v>
      </c>
      <c r="D109" s="38" t="s">
        <v>60</v>
      </c>
      <c r="E109" s="1" t="s">
        <v>5856</v>
      </c>
      <c r="F109" s="16" t="s">
        <v>61</v>
      </c>
      <c r="G109" s="85" t="s">
        <v>61</v>
      </c>
      <c r="H109" s="85" t="s">
        <v>73</v>
      </c>
      <c r="I109" s="9">
        <v>86009490</v>
      </c>
      <c r="J109" s="94"/>
      <c r="K109" s="312"/>
      <c r="L109" s="2"/>
      <c r="M109" s="40">
        <f t="shared" si="3"/>
        <v>86009490</v>
      </c>
      <c r="N109" s="1">
        <v>900795369</v>
      </c>
      <c r="O109" s="1" t="s">
        <v>5857</v>
      </c>
      <c r="P109" s="1" t="s">
        <v>5858</v>
      </c>
      <c r="Q109" s="3">
        <v>45104</v>
      </c>
      <c r="R109" s="3">
        <v>45105</v>
      </c>
      <c r="S109" s="3">
        <v>45107</v>
      </c>
      <c r="T109" s="41" t="s">
        <v>612</v>
      </c>
      <c r="U109" s="3"/>
      <c r="V109" s="3"/>
      <c r="W109" s="236"/>
      <c r="X109" s="237">
        <v>0</v>
      </c>
      <c r="Y109" s="9">
        <f t="shared" si="0"/>
        <v>86009490</v>
      </c>
      <c r="Z109" s="34">
        <f t="shared" ref="Z109:Z129" si="4">+(X109/M109)</f>
        <v>0</v>
      </c>
      <c r="AA109" s="85">
        <v>85465146</v>
      </c>
      <c r="AB109" s="85" t="s">
        <v>4857</v>
      </c>
      <c r="AC109" s="85" t="s">
        <v>196</v>
      </c>
      <c r="AD109" s="85" t="s">
        <v>196</v>
      </c>
      <c r="AE109" s="236">
        <v>45105</v>
      </c>
      <c r="AF109" s="216" t="s">
        <v>5859</v>
      </c>
      <c r="AG109" s="85" t="s">
        <v>192</v>
      </c>
      <c r="AH109" s="85" t="s">
        <v>191</v>
      </c>
    </row>
    <row r="110" spans="1:34" s="4" customFormat="1" x14ac:dyDescent="0.2">
      <c r="A110" s="16">
        <v>891780111</v>
      </c>
      <c r="B110" s="16" t="s">
        <v>54</v>
      </c>
      <c r="C110" s="239" t="s">
        <v>56</v>
      </c>
      <c r="D110" s="16" t="s">
        <v>60</v>
      </c>
      <c r="E110" s="1" t="s">
        <v>5860</v>
      </c>
      <c r="F110" s="16" t="s">
        <v>61</v>
      </c>
      <c r="G110" s="85" t="s">
        <v>61</v>
      </c>
      <c r="H110" s="85" t="s">
        <v>73</v>
      </c>
      <c r="I110" s="9">
        <v>24561600</v>
      </c>
      <c r="J110" s="94"/>
      <c r="K110" s="312"/>
      <c r="L110" s="2"/>
      <c r="M110" s="40">
        <f t="shared" si="3"/>
        <v>24561600</v>
      </c>
      <c r="N110" s="1">
        <v>800159527</v>
      </c>
      <c r="O110" s="1" t="s">
        <v>5861</v>
      </c>
      <c r="P110" s="1" t="s">
        <v>5862</v>
      </c>
      <c r="Q110" s="3">
        <v>45104</v>
      </c>
      <c r="R110" s="3">
        <v>45104</v>
      </c>
      <c r="S110" s="3">
        <v>45108</v>
      </c>
      <c r="T110" s="41" t="s">
        <v>612</v>
      </c>
      <c r="U110" s="3"/>
      <c r="V110" s="3"/>
      <c r="W110" s="236"/>
      <c r="X110" s="237">
        <v>0</v>
      </c>
      <c r="Y110" s="9">
        <f t="shared" si="0"/>
        <v>24561600</v>
      </c>
      <c r="Z110" s="34">
        <f t="shared" si="4"/>
        <v>0</v>
      </c>
      <c r="AA110" s="85">
        <v>85465146</v>
      </c>
      <c r="AB110" s="85" t="s">
        <v>4857</v>
      </c>
      <c r="AC110" s="85" t="s">
        <v>196</v>
      </c>
      <c r="AD110" s="85" t="s">
        <v>196</v>
      </c>
      <c r="AE110" s="236"/>
      <c r="AF110" s="216" t="s">
        <v>5863</v>
      </c>
      <c r="AG110" s="85" t="s">
        <v>192</v>
      </c>
      <c r="AH110" s="85" t="s">
        <v>191</v>
      </c>
    </row>
    <row r="111" spans="1:34" s="4" customFormat="1" x14ac:dyDescent="0.2">
      <c r="A111" s="16">
        <v>891780111</v>
      </c>
      <c r="B111" s="16" t="s">
        <v>54</v>
      </c>
      <c r="C111" s="239" t="s">
        <v>56</v>
      </c>
      <c r="D111" s="16" t="s">
        <v>60</v>
      </c>
      <c r="E111" s="1" t="s">
        <v>5864</v>
      </c>
      <c r="F111" s="16" t="s">
        <v>61</v>
      </c>
      <c r="G111" s="85" t="s">
        <v>61</v>
      </c>
      <c r="H111" s="85" t="s">
        <v>73</v>
      </c>
      <c r="I111" s="9">
        <v>58715520</v>
      </c>
      <c r="J111" s="94"/>
      <c r="K111" s="312"/>
      <c r="L111" s="2"/>
      <c r="M111" s="40">
        <f t="shared" si="3"/>
        <v>58715520</v>
      </c>
      <c r="N111" s="1">
        <v>860042209</v>
      </c>
      <c r="O111" s="1" t="s">
        <v>5865</v>
      </c>
      <c r="P111" s="1" t="s">
        <v>5866</v>
      </c>
      <c r="Q111" s="3" t="s">
        <v>5867</v>
      </c>
      <c r="R111" s="3" t="s">
        <v>4954</v>
      </c>
      <c r="S111" s="3" t="s">
        <v>4961</v>
      </c>
      <c r="T111" s="41" t="s">
        <v>612</v>
      </c>
      <c r="U111" s="3"/>
      <c r="V111" s="3"/>
      <c r="W111" s="236"/>
      <c r="X111" s="237">
        <v>0</v>
      </c>
      <c r="Y111" s="9">
        <f t="shared" si="0"/>
        <v>58715520</v>
      </c>
      <c r="Z111" s="34">
        <f t="shared" si="4"/>
        <v>0</v>
      </c>
      <c r="AA111" s="85">
        <v>7633815</v>
      </c>
      <c r="AB111" s="85" t="s">
        <v>5425</v>
      </c>
      <c r="AC111" s="85" t="s">
        <v>196</v>
      </c>
      <c r="AD111" s="85" t="s">
        <v>196</v>
      </c>
      <c r="AE111" s="236">
        <v>45117</v>
      </c>
      <c r="AF111" s="216" t="s">
        <v>5868</v>
      </c>
      <c r="AG111" s="85" t="s">
        <v>192</v>
      </c>
      <c r="AH111" s="85" t="s">
        <v>191</v>
      </c>
    </row>
    <row r="112" spans="1:34" s="4" customFormat="1" x14ac:dyDescent="0.25">
      <c r="A112" s="16">
        <v>891780111</v>
      </c>
      <c r="B112" s="16" t="s">
        <v>54</v>
      </c>
      <c r="C112" s="239" t="s">
        <v>56</v>
      </c>
      <c r="D112" s="16" t="s">
        <v>60</v>
      </c>
      <c r="E112" s="1" t="s">
        <v>5869</v>
      </c>
      <c r="F112" s="16" t="s">
        <v>61</v>
      </c>
      <c r="G112" s="85" t="s">
        <v>61</v>
      </c>
      <c r="H112" s="85" t="s">
        <v>73</v>
      </c>
      <c r="I112" s="9">
        <v>27890268</v>
      </c>
      <c r="J112" s="94"/>
      <c r="K112" s="312"/>
      <c r="L112" s="2"/>
      <c r="M112" s="40">
        <f t="shared" si="3"/>
        <v>27890268</v>
      </c>
      <c r="N112" s="1">
        <v>901625133</v>
      </c>
      <c r="O112" s="70" t="s">
        <v>5870</v>
      </c>
      <c r="P112" s="1" t="s">
        <v>5871</v>
      </c>
      <c r="Q112" s="3" t="s">
        <v>5867</v>
      </c>
      <c r="R112" s="3" t="s">
        <v>5872</v>
      </c>
      <c r="S112" s="3" t="s">
        <v>4836</v>
      </c>
      <c r="T112" s="41" t="s">
        <v>612</v>
      </c>
      <c r="U112" s="3"/>
      <c r="V112" s="3"/>
      <c r="W112" s="236"/>
      <c r="X112" s="237">
        <v>0</v>
      </c>
      <c r="Y112" s="9">
        <f t="shared" si="0"/>
        <v>27890268</v>
      </c>
      <c r="Z112" s="34">
        <f t="shared" si="4"/>
        <v>0</v>
      </c>
      <c r="AA112" s="85">
        <v>85151631</v>
      </c>
      <c r="AB112" s="85" t="s">
        <v>5873</v>
      </c>
      <c r="AC112" s="85" t="s">
        <v>196</v>
      </c>
      <c r="AD112" s="85" t="s">
        <v>196</v>
      </c>
      <c r="AE112" s="3">
        <v>45113</v>
      </c>
      <c r="AF112" s="216" t="s">
        <v>5874</v>
      </c>
      <c r="AG112" s="85" t="s">
        <v>192</v>
      </c>
      <c r="AH112" s="85" t="s">
        <v>191</v>
      </c>
    </row>
    <row r="113" spans="1:34" s="4" customFormat="1" x14ac:dyDescent="0.25">
      <c r="A113" s="16">
        <v>891780111</v>
      </c>
      <c r="B113" s="16" t="s">
        <v>54</v>
      </c>
      <c r="C113" s="239" t="s">
        <v>56</v>
      </c>
      <c r="D113" s="16" t="s">
        <v>60</v>
      </c>
      <c r="E113" s="1" t="s">
        <v>5875</v>
      </c>
      <c r="F113" s="16" t="s">
        <v>61</v>
      </c>
      <c r="G113" s="85" t="s">
        <v>61</v>
      </c>
      <c r="H113" s="85" t="s">
        <v>73</v>
      </c>
      <c r="I113" s="9">
        <v>51979200</v>
      </c>
      <c r="J113" s="94"/>
      <c r="K113" s="312"/>
      <c r="L113" s="2"/>
      <c r="M113" s="40">
        <f t="shared" si="3"/>
        <v>51979200</v>
      </c>
      <c r="N113" s="1">
        <v>901246775</v>
      </c>
      <c r="O113" s="70" t="s">
        <v>5876</v>
      </c>
      <c r="P113" s="85" t="s">
        <v>5877</v>
      </c>
      <c r="Q113" s="3" t="s">
        <v>5878</v>
      </c>
      <c r="R113" s="3" t="s">
        <v>5879</v>
      </c>
      <c r="S113" s="3" t="s">
        <v>5052</v>
      </c>
      <c r="T113" s="41" t="s">
        <v>612</v>
      </c>
      <c r="U113" s="3"/>
      <c r="V113" s="3"/>
      <c r="W113" s="236"/>
      <c r="X113" s="237">
        <v>51979200</v>
      </c>
      <c r="Y113" s="9">
        <f t="shared" si="0"/>
        <v>0</v>
      </c>
      <c r="Z113" s="34">
        <f t="shared" si="4"/>
        <v>1</v>
      </c>
      <c r="AA113" s="85">
        <v>85465146</v>
      </c>
      <c r="AB113" s="85" t="s">
        <v>4857</v>
      </c>
      <c r="AC113" s="85" t="s">
        <v>196</v>
      </c>
      <c r="AD113" s="85" t="s">
        <v>196</v>
      </c>
      <c r="AE113" s="3">
        <v>45112</v>
      </c>
      <c r="AF113" s="216" t="s">
        <v>5880</v>
      </c>
      <c r="AG113" s="85" t="s">
        <v>192</v>
      </c>
      <c r="AH113" s="85" t="s">
        <v>191</v>
      </c>
    </row>
    <row r="114" spans="1:34" s="4" customFormat="1" x14ac:dyDescent="0.25">
      <c r="A114" s="38">
        <v>891780111</v>
      </c>
      <c r="B114" s="38" t="s">
        <v>54</v>
      </c>
      <c r="C114" s="239" t="s">
        <v>56</v>
      </c>
      <c r="D114" s="16" t="s">
        <v>60</v>
      </c>
      <c r="E114" s="1" t="s">
        <v>5881</v>
      </c>
      <c r="F114" s="16" t="s">
        <v>61</v>
      </c>
      <c r="G114" s="85" t="s">
        <v>61</v>
      </c>
      <c r="H114" s="85" t="s">
        <v>73</v>
      </c>
      <c r="I114" s="9">
        <v>77131040</v>
      </c>
      <c r="J114" s="94"/>
      <c r="K114" s="312"/>
      <c r="L114" s="2"/>
      <c r="M114" s="40">
        <f t="shared" si="3"/>
        <v>77131040</v>
      </c>
      <c r="N114" s="1">
        <v>901039840</v>
      </c>
      <c r="O114" s="70" t="s">
        <v>5883</v>
      </c>
      <c r="P114" s="85"/>
      <c r="Q114" s="3" t="s">
        <v>5035</v>
      </c>
      <c r="R114" s="3" t="s">
        <v>5872</v>
      </c>
      <c r="S114" s="3" t="s">
        <v>5884</v>
      </c>
      <c r="T114" s="41" t="s">
        <v>612</v>
      </c>
      <c r="U114" s="3"/>
      <c r="V114" s="3"/>
      <c r="W114" s="236"/>
      <c r="X114" s="237">
        <v>0</v>
      </c>
      <c r="Y114" s="9">
        <f t="shared" si="0"/>
        <v>77131040</v>
      </c>
      <c r="Z114" s="34">
        <f t="shared" si="4"/>
        <v>0</v>
      </c>
      <c r="AA114" s="85">
        <v>57297693</v>
      </c>
      <c r="AB114" s="85" t="s">
        <v>5446</v>
      </c>
      <c r="AC114" s="85" t="s">
        <v>196</v>
      </c>
      <c r="AD114" s="85" t="s">
        <v>196</v>
      </c>
      <c r="AE114" s="1"/>
      <c r="AF114" s="216" t="s">
        <v>5885</v>
      </c>
      <c r="AG114" s="85" t="s">
        <v>192</v>
      </c>
      <c r="AH114" s="85" t="s">
        <v>191</v>
      </c>
    </row>
    <row r="115" spans="1:34" s="4" customFormat="1" x14ac:dyDescent="0.25">
      <c r="A115" s="16">
        <v>891780111</v>
      </c>
      <c r="B115" s="16" t="s">
        <v>54</v>
      </c>
      <c r="C115" s="239" t="s">
        <v>56</v>
      </c>
      <c r="D115" s="16" t="s">
        <v>60</v>
      </c>
      <c r="E115" s="1" t="s">
        <v>5886</v>
      </c>
      <c r="F115" s="16" t="s">
        <v>61</v>
      </c>
      <c r="G115" s="85" t="s">
        <v>61</v>
      </c>
      <c r="H115" s="85" t="s">
        <v>73</v>
      </c>
      <c r="I115" s="9">
        <v>68482120</v>
      </c>
      <c r="J115" s="94"/>
      <c r="K115" s="312"/>
      <c r="L115" s="2"/>
      <c r="M115" s="40">
        <f t="shared" si="3"/>
        <v>68482120</v>
      </c>
      <c r="N115" s="1" t="s">
        <v>5887</v>
      </c>
      <c r="O115" s="70" t="s">
        <v>5888</v>
      </c>
      <c r="P115" s="85" t="s">
        <v>5889</v>
      </c>
      <c r="Q115" s="3">
        <v>45119</v>
      </c>
      <c r="R115" s="3">
        <v>45140</v>
      </c>
      <c r="S115" s="3">
        <v>45199</v>
      </c>
      <c r="T115" s="41" t="s">
        <v>612</v>
      </c>
      <c r="U115" s="3"/>
      <c r="V115" s="3"/>
      <c r="W115" s="236"/>
      <c r="X115" s="237">
        <v>0</v>
      </c>
      <c r="Y115" s="9">
        <f t="shared" si="0"/>
        <v>68482120</v>
      </c>
      <c r="Z115" s="34">
        <f t="shared" si="4"/>
        <v>0</v>
      </c>
      <c r="AA115" s="85">
        <v>85151631</v>
      </c>
      <c r="AB115" s="85" t="s">
        <v>5873</v>
      </c>
      <c r="AC115" s="85" t="s">
        <v>196</v>
      </c>
      <c r="AD115" s="85" t="s">
        <v>196</v>
      </c>
      <c r="AE115" s="3">
        <v>45120</v>
      </c>
      <c r="AF115" s="216" t="s">
        <v>5890</v>
      </c>
      <c r="AG115" s="85" t="s">
        <v>192</v>
      </c>
      <c r="AH115" s="85" t="s">
        <v>191</v>
      </c>
    </row>
    <row r="116" spans="1:34" s="4" customFormat="1" x14ac:dyDescent="0.25">
      <c r="A116" s="16">
        <v>891780111</v>
      </c>
      <c r="B116" s="16" t="s">
        <v>54</v>
      </c>
      <c r="C116" s="239" t="s">
        <v>56</v>
      </c>
      <c r="D116" s="16" t="s">
        <v>60</v>
      </c>
      <c r="E116" s="1" t="s">
        <v>5891</v>
      </c>
      <c r="F116" s="16" t="s">
        <v>61</v>
      </c>
      <c r="G116" s="85" t="s">
        <v>61</v>
      </c>
      <c r="H116" s="85" t="s">
        <v>73</v>
      </c>
      <c r="I116" s="9">
        <v>1200000</v>
      </c>
      <c r="J116" s="94"/>
      <c r="K116" s="312"/>
      <c r="L116" s="2"/>
      <c r="M116" s="40">
        <f t="shared" si="3"/>
        <v>1200000</v>
      </c>
      <c r="N116" s="1" t="s">
        <v>5552</v>
      </c>
      <c r="O116" s="70" t="s">
        <v>5892</v>
      </c>
      <c r="P116" s="85" t="s">
        <v>5893</v>
      </c>
      <c r="Q116" s="3" t="s">
        <v>4960</v>
      </c>
      <c r="R116" s="3" t="s">
        <v>5894</v>
      </c>
      <c r="S116" s="3" t="s">
        <v>5895</v>
      </c>
      <c r="T116" s="41" t="s">
        <v>612</v>
      </c>
      <c r="U116" s="3"/>
      <c r="V116" s="3"/>
      <c r="W116" s="236"/>
      <c r="X116" s="237">
        <v>0</v>
      </c>
      <c r="Y116" s="9">
        <f t="shared" si="0"/>
        <v>1200000</v>
      </c>
      <c r="Z116" s="34">
        <f t="shared" si="4"/>
        <v>0</v>
      </c>
      <c r="AA116" s="85">
        <v>12560219</v>
      </c>
      <c r="AB116" s="85" t="s">
        <v>516</v>
      </c>
      <c r="AC116" s="85" t="s">
        <v>196</v>
      </c>
      <c r="AD116" s="85" t="s">
        <v>196</v>
      </c>
      <c r="AE116" s="3"/>
      <c r="AF116" s="216" t="s">
        <v>5896</v>
      </c>
      <c r="AG116" s="85" t="s">
        <v>192</v>
      </c>
      <c r="AH116" s="85" t="s">
        <v>191</v>
      </c>
    </row>
    <row r="117" spans="1:34" s="4" customFormat="1" x14ac:dyDescent="0.25">
      <c r="A117" s="16">
        <v>891780111</v>
      </c>
      <c r="B117" s="16" t="s">
        <v>54</v>
      </c>
      <c r="C117" s="239" t="s">
        <v>56</v>
      </c>
      <c r="D117" s="16" t="s">
        <v>60</v>
      </c>
      <c r="E117" s="1" t="s">
        <v>5897</v>
      </c>
      <c r="F117" s="16" t="s">
        <v>61</v>
      </c>
      <c r="G117" s="85" t="s">
        <v>61</v>
      </c>
      <c r="H117" s="85" t="s">
        <v>73</v>
      </c>
      <c r="I117" s="9">
        <v>29173683</v>
      </c>
      <c r="J117" s="94"/>
      <c r="K117" s="312"/>
      <c r="L117" s="2"/>
      <c r="M117" s="40">
        <f t="shared" si="3"/>
        <v>29173683</v>
      </c>
      <c r="N117" s="1" t="s">
        <v>5898</v>
      </c>
      <c r="O117" s="70" t="s">
        <v>5899</v>
      </c>
      <c r="P117" s="85" t="s">
        <v>5900</v>
      </c>
      <c r="Q117" s="3" t="s">
        <v>4961</v>
      </c>
      <c r="R117" s="3" t="s">
        <v>4961</v>
      </c>
      <c r="S117" s="3" t="s">
        <v>5901</v>
      </c>
      <c r="T117" s="41" t="s">
        <v>612</v>
      </c>
      <c r="U117" s="3"/>
      <c r="V117" s="3"/>
      <c r="W117" s="236"/>
      <c r="X117" s="237">
        <v>0</v>
      </c>
      <c r="Y117" s="9">
        <f t="shared" si="0"/>
        <v>29173683</v>
      </c>
      <c r="Z117" s="34">
        <f t="shared" si="4"/>
        <v>0</v>
      </c>
      <c r="AA117" s="85">
        <v>57297693</v>
      </c>
      <c r="AB117" s="85" t="s">
        <v>5446</v>
      </c>
      <c r="AC117" s="85" t="s">
        <v>196</v>
      </c>
      <c r="AD117" s="85" t="s">
        <v>196</v>
      </c>
      <c r="AE117" s="3">
        <v>45121</v>
      </c>
      <c r="AF117" s="216" t="s">
        <v>5902</v>
      </c>
      <c r="AG117" s="85" t="s">
        <v>192</v>
      </c>
      <c r="AH117" s="85" t="s">
        <v>191</v>
      </c>
    </row>
    <row r="118" spans="1:34" s="4" customFormat="1" x14ac:dyDescent="0.25">
      <c r="A118" s="16">
        <v>891780111</v>
      </c>
      <c r="B118" s="16" t="s">
        <v>54</v>
      </c>
      <c r="C118" s="239" t="s">
        <v>56</v>
      </c>
      <c r="D118" s="16" t="s">
        <v>60</v>
      </c>
      <c r="E118" s="1" t="s">
        <v>5903</v>
      </c>
      <c r="F118" s="16" t="s">
        <v>61</v>
      </c>
      <c r="G118" s="85" t="s">
        <v>61</v>
      </c>
      <c r="H118" s="85" t="s">
        <v>73</v>
      </c>
      <c r="I118" s="9">
        <v>68085077</v>
      </c>
      <c r="J118" s="94"/>
      <c r="K118" s="312"/>
      <c r="L118" s="2"/>
      <c r="M118" s="40">
        <f t="shared" si="3"/>
        <v>68085077</v>
      </c>
      <c r="N118" s="1" t="s">
        <v>5589</v>
      </c>
      <c r="O118" s="70" t="s">
        <v>5904</v>
      </c>
      <c r="P118" s="85" t="s">
        <v>5905</v>
      </c>
      <c r="Q118" s="3" t="s">
        <v>4961</v>
      </c>
      <c r="R118" s="3" t="s">
        <v>5879</v>
      </c>
      <c r="S118" s="3" t="s">
        <v>5906</v>
      </c>
      <c r="T118" s="41" t="s">
        <v>612</v>
      </c>
      <c r="U118" s="3"/>
      <c r="V118" s="3"/>
      <c r="W118" s="236"/>
      <c r="X118" s="237">
        <v>34042538</v>
      </c>
      <c r="Y118" s="9">
        <f t="shared" si="0"/>
        <v>34042539</v>
      </c>
      <c r="Z118" s="34">
        <f t="shared" si="4"/>
        <v>0.49999999265624684</v>
      </c>
      <c r="AA118" s="85">
        <v>15443332</v>
      </c>
      <c r="AB118" s="85" t="s">
        <v>5907</v>
      </c>
      <c r="AC118" s="85" t="s">
        <v>192</v>
      </c>
      <c r="AD118" s="85" t="s">
        <v>196</v>
      </c>
      <c r="AE118" s="3">
        <v>45121</v>
      </c>
      <c r="AF118" s="216" t="s">
        <v>5908</v>
      </c>
      <c r="AG118" s="85" t="s">
        <v>192</v>
      </c>
      <c r="AH118" s="85" t="s">
        <v>191</v>
      </c>
    </row>
    <row r="119" spans="1:34" s="4" customFormat="1" x14ac:dyDescent="0.25">
      <c r="A119" s="16">
        <v>891780111</v>
      </c>
      <c r="B119" s="16" t="s">
        <v>54</v>
      </c>
      <c r="C119" s="239" t="s">
        <v>56</v>
      </c>
      <c r="D119" s="16" t="s">
        <v>60</v>
      </c>
      <c r="E119" s="1" t="s">
        <v>5909</v>
      </c>
      <c r="F119" s="16" t="s">
        <v>61</v>
      </c>
      <c r="G119" s="85" t="s">
        <v>61</v>
      </c>
      <c r="H119" s="85" t="s">
        <v>73</v>
      </c>
      <c r="I119" s="9">
        <v>42859040</v>
      </c>
      <c r="J119" s="94"/>
      <c r="K119" s="312"/>
      <c r="L119" s="2"/>
      <c r="M119" s="40">
        <f t="shared" si="3"/>
        <v>42859040</v>
      </c>
      <c r="N119" s="1" t="s">
        <v>5910</v>
      </c>
      <c r="O119" s="70" t="s">
        <v>5911</v>
      </c>
      <c r="P119" s="85" t="s">
        <v>5912</v>
      </c>
      <c r="Q119" s="3" t="s">
        <v>5913</v>
      </c>
      <c r="R119" s="3" t="s">
        <v>5894</v>
      </c>
      <c r="S119" s="3" t="s">
        <v>5914</v>
      </c>
      <c r="T119" s="41" t="s">
        <v>612</v>
      </c>
      <c r="U119" s="3"/>
      <c r="V119" s="3"/>
      <c r="W119" s="236"/>
      <c r="X119" s="237">
        <v>0</v>
      </c>
      <c r="Y119" s="9">
        <f t="shared" si="0"/>
        <v>42859040</v>
      </c>
      <c r="Z119" s="34">
        <f t="shared" si="4"/>
        <v>0</v>
      </c>
      <c r="AA119" s="85">
        <v>57297693</v>
      </c>
      <c r="AB119" s="85" t="s">
        <v>5446</v>
      </c>
      <c r="AC119" s="85" t="s">
        <v>196</v>
      </c>
      <c r="AD119" s="85" t="s">
        <v>196</v>
      </c>
      <c r="AE119" s="3">
        <v>45125</v>
      </c>
      <c r="AF119" s="216" t="s">
        <v>5915</v>
      </c>
      <c r="AG119" s="85" t="s">
        <v>192</v>
      </c>
      <c r="AH119" s="85" t="s">
        <v>191</v>
      </c>
    </row>
    <row r="120" spans="1:34" s="4" customFormat="1" x14ac:dyDescent="0.25">
      <c r="A120" s="38">
        <v>891780111</v>
      </c>
      <c r="B120" s="38" t="s">
        <v>54</v>
      </c>
      <c r="C120" s="239" t="s">
        <v>56</v>
      </c>
      <c r="D120" s="16" t="s">
        <v>60</v>
      </c>
      <c r="E120" s="1" t="s">
        <v>5916</v>
      </c>
      <c r="F120" s="16" t="s">
        <v>61</v>
      </c>
      <c r="G120" s="85" t="s">
        <v>61</v>
      </c>
      <c r="H120" s="85" t="s">
        <v>73</v>
      </c>
      <c r="I120" s="9">
        <v>29750000</v>
      </c>
      <c r="J120" s="94"/>
      <c r="K120" s="312"/>
      <c r="L120" s="2"/>
      <c r="M120" s="40">
        <f t="shared" si="3"/>
        <v>29750000</v>
      </c>
      <c r="N120" s="1" t="s">
        <v>5917</v>
      </c>
      <c r="O120" s="70" t="s">
        <v>5384</v>
      </c>
      <c r="P120" s="85" t="s">
        <v>5918</v>
      </c>
      <c r="Q120" s="3" t="s">
        <v>5894</v>
      </c>
      <c r="R120" s="1" t="s">
        <v>5919</v>
      </c>
      <c r="S120" s="1" t="s">
        <v>5919</v>
      </c>
      <c r="T120" s="41" t="s">
        <v>612</v>
      </c>
      <c r="U120" s="3"/>
      <c r="V120" s="3"/>
      <c r="W120" s="236"/>
      <c r="X120" s="237">
        <v>0</v>
      </c>
      <c r="Y120" s="9">
        <f t="shared" si="0"/>
        <v>29750000</v>
      </c>
      <c r="Z120" s="34">
        <f t="shared" si="4"/>
        <v>0</v>
      </c>
      <c r="AA120" s="85">
        <v>57438212</v>
      </c>
      <c r="AB120" s="85" t="s">
        <v>5388</v>
      </c>
      <c r="AC120" s="85" t="s">
        <v>196</v>
      </c>
      <c r="AD120" s="85" t="s">
        <v>196</v>
      </c>
      <c r="AE120" s="3"/>
      <c r="AF120" s="216" t="s">
        <v>5920</v>
      </c>
      <c r="AG120" s="85" t="s">
        <v>2619</v>
      </c>
      <c r="AH120" s="85" t="s">
        <v>191</v>
      </c>
    </row>
    <row r="121" spans="1:34" s="4" customFormat="1" x14ac:dyDescent="0.25">
      <c r="A121" s="16">
        <v>891780111</v>
      </c>
      <c r="B121" s="16" t="s">
        <v>54</v>
      </c>
      <c r="C121" s="239" t="s">
        <v>56</v>
      </c>
      <c r="D121" s="16" t="s">
        <v>60</v>
      </c>
      <c r="E121" s="1" t="s">
        <v>5921</v>
      </c>
      <c r="F121" s="16" t="s">
        <v>61</v>
      </c>
      <c r="G121" s="85" t="s">
        <v>61</v>
      </c>
      <c r="H121" s="85" t="s">
        <v>73</v>
      </c>
      <c r="I121" s="9">
        <v>29720250</v>
      </c>
      <c r="J121" s="94"/>
      <c r="K121" s="312"/>
      <c r="L121" s="2"/>
      <c r="M121" s="40">
        <f t="shared" si="3"/>
        <v>29720250</v>
      </c>
      <c r="N121" s="1" t="s">
        <v>5922</v>
      </c>
      <c r="O121" s="70" t="s">
        <v>5923</v>
      </c>
      <c r="P121" s="85" t="s">
        <v>5924</v>
      </c>
      <c r="Q121" s="3">
        <v>45131</v>
      </c>
      <c r="R121" s="1" t="s">
        <v>5919</v>
      </c>
      <c r="S121" s="1" t="s">
        <v>5919</v>
      </c>
      <c r="T121" s="41" t="s">
        <v>612</v>
      </c>
      <c r="U121" s="3"/>
      <c r="V121" s="3"/>
      <c r="W121" s="236"/>
      <c r="X121" s="237">
        <v>0</v>
      </c>
      <c r="Y121" s="9">
        <f t="shared" si="0"/>
        <v>29720250</v>
      </c>
      <c r="Z121" s="34">
        <f t="shared" si="4"/>
        <v>0</v>
      </c>
      <c r="AA121" s="85">
        <v>85465146</v>
      </c>
      <c r="AB121" s="85" t="s">
        <v>4857</v>
      </c>
      <c r="AC121" s="85" t="s">
        <v>196</v>
      </c>
      <c r="AD121" s="85" t="s">
        <v>196</v>
      </c>
      <c r="AE121" s="3"/>
      <c r="AF121" s="216" t="s">
        <v>5925</v>
      </c>
      <c r="AG121" s="85" t="s">
        <v>2619</v>
      </c>
      <c r="AH121" s="85" t="s">
        <v>191</v>
      </c>
    </row>
    <row r="122" spans="1:34" s="4" customFormat="1" x14ac:dyDescent="0.25">
      <c r="A122" s="16">
        <v>891780111</v>
      </c>
      <c r="B122" s="16" t="s">
        <v>54</v>
      </c>
      <c r="C122" s="239" t="s">
        <v>56</v>
      </c>
      <c r="D122" s="16" t="s">
        <v>60</v>
      </c>
      <c r="E122" s="1" t="s">
        <v>5926</v>
      </c>
      <c r="F122" s="16" t="s">
        <v>61</v>
      </c>
      <c r="G122" s="85" t="s">
        <v>61</v>
      </c>
      <c r="H122" s="85" t="s">
        <v>73</v>
      </c>
      <c r="I122" s="9">
        <v>7223300</v>
      </c>
      <c r="J122" s="94"/>
      <c r="K122" s="312"/>
      <c r="L122" s="2"/>
      <c r="M122" s="40">
        <f t="shared" si="3"/>
        <v>7223300</v>
      </c>
      <c r="N122" s="1" t="s">
        <v>5927</v>
      </c>
      <c r="O122" s="70" t="s">
        <v>5928</v>
      </c>
      <c r="P122" s="85" t="s">
        <v>5929</v>
      </c>
      <c r="Q122" s="3" t="s">
        <v>5930</v>
      </c>
      <c r="R122" s="3" t="s">
        <v>5930</v>
      </c>
      <c r="S122" s="3" t="s">
        <v>5931</v>
      </c>
      <c r="T122" s="41" t="s">
        <v>612</v>
      </c>
      <c r="U122" s="3"/>
      <c r="V122" s="3"/>
      <c r="W122" s="236"/>
      <c r="X122" s="237">
        <v>0</v>
      </c>
      <c r="Y122" s="9">
        <f t="shared" si="0"/>
        <v>7223300</v>
      </c>
      <c r="Z122" s="34">
        <f t="shared" si="4"/>
        <v>0</v>
      </c>
      <c r="AA122" s="85">
        <v>57297693</v>
      </c>
      <c r="AB122" s="85" t="s">
        <v>5446</v>
      </c>
      <c r="AC122" s="85" t="s">
        <v>196</v>
      </c>
      <c r="AD122" s="85" t="s">
        <v>196</v>
      </c>
      <c r="AE122" s="3"/>
      <c r="AF122" s="216" t="s">
        <v>5932</v>
      </c>
      <c r="AG122" s="85" t="s">
        <v>192</v>
      </c>
      <c r="AH122" s="85" t="s">
        <v>191</v>
      </c>
    </row>
    <row r="123" spans="1:34" s="4" customFormat="1" x14ac:dyDescent="0.25">
      <c r="A123" s="38">
        <v>891780111</v>
      </c>
      <c r="B123" s="38" t="s">
        <v>54</v>
      </c>
      <c r="C123" s="239" t="s">
        <v>56</v>
      </c>
      <c r="D123" s="16" t="s">
        <v>60</v>
      </c>
      <c r="E123" s="1" t="s">
        <v>5933</v>
      </c>
      <c r="F123" s="16" t="s">
        <v>61</v>
      </c>
      <c r="G123" s="85" t="s">
        <v>61</v>
      </c>
      <c r="H123" s="85" t="s">
        <v>73</v>
      </c>
      <c r="I123" s="9">
        <v>20000000</v>
      </c>
      <c r="J123" s="94"/>
      <c r="K123" s="312"/>
      <c r="L123" s="2"/>
      <c r="M123" s="40">
        <f t="shared" si="3"/>
        <v>20000000</v>
      </c>
      <c r="N123" s="1">
        <v>819003317</v>
      </c>
      <c r="O123" s="70" t="s">
        <v>5934</v>
      </c>
      <c r="P123" s="85" t="s">
        <v>5935</v>
      </c>
      <c r="Q123" s="3" t="s">
        <v>5930</v>
      </c>
      <c r="R123" s="3" t="s">
        <v>5173</v>
      </c>
      <c r="S123" s="3" t="s">
        <v>5936</v>
      </c>
      <c r="T123" s="41" t="s">
        <v>612</v>
      </c>
      <c r="U123" s="3"/>
      <c r="V123" s="3"/>
      <c r="W123" s="236"/>
      <c r="X123" s="237">
        <v>0</v>
      </c>
      <c r="Y123" s="9">
        <f t="shared" si="0"/>
        <v>20000000</v>
      </c>
      <c r="Z123" s="34">
        <f t="shared" si="4"/>
        <v>0</v>
      </c>
      <c r="AA123" s="85">
        <v>72175282</v>
      </c>
      <c r="AB123" s="85" t="s">
        <v>5399</v>
      </c>
      <c r="AC123" s="85" t="s">
        <v>196</v>
      </c>
      <c r="AD123" s="85" t="s">
        <v>196</v>
      </c>
      <c r="AE123" s="3"/>
      <c r="AF123" s="216" t="s">
        <v>5937</v>
      </c>
      <c r="AG123" s="85" t="s">
        <v>192</v>
      </c>
      <c r="AH123" s="85" t="s">
        <v>191</v>
      </c>
    </row>
    <row r="124" spans="1:34" s="4" customFormat="1" x14ac:dyDescent="0.25">
      <c r="A124" s="16">
        <v>891780111</v>
      </c>
      <c r="B124" s="16" t="s">
        <v>54</v>
      </c>
      <c r="C124" s="239" t="s">
        <v>56</v>
      </c>
      <c r="D124" s="16" t="s">
        <v>60</v>
      </c>
      <c r="E124" s="1" t="s">
        <v>5938</v>
      </c>
      <c r="F124" s="16" t="s">
        <v>61</v>
      </c>
      <c r="G124" s="85" t="s">
        <v>61</v>
      </c>
      <c r="H124" s="85" t="s">
        <v>73</v>
      </c>
      <c r="I124" s="9">
        <v>30000000</v>
      </c>
      <c r="J124" s="94"/>
      <c r="K124" s="312"/>
      <c r="L124" s="2"/>
      <c r="M124" s="40">
        <f t="shared" si="3"/>
        <v>30000000</v>
      </c>
      <c r="N124" s="1" t="s">
        <v>5678</v>
      </c>
      <c r="O124" s="70" t="s">
        <v>4910</v>
      </c>
      <c r="P124" s="85" t="s">
        <v>5939</v>
      </c>
      <c r="Q124" s="3" t="s">
        <v>5940</v>
      </c>
      <c r="R124" s="3" t="s">
        <v>5941</v>
      </c>
      <c r="S124" s="3" t="s">
        <v>5941</v>
      </c>
      <c r="T124" s="41" t="s">
        <v>612</v>
      </c>
      <c r="U124" s="3"/>
      <c r="V124" s="3"/>
      <c r="W124" s="236"/>
      <c r="X124" s="237">
        <v>0</v>
      </c>
      <c r="Y124" s="9">
        <f t="shared" si="0"/>
        <v>30000000</v>
      </c>
      <c r="Z124" s="34">
        <f t="shared" si="4"/>
        <v>0</v>
      </c>
      <c r="AA124" s="85">
        <v>72175282</v>
      </c>
      <c r="AB124" s="85" t="s">
        <v>5399</v>
      </c>
      <c r="AC124" s="85" t="s">
        <v>196</v>
      </c>
      <c r="AD124" s="85" t="s">
        <v>196</v>
      </c>
      <c r="AE124" s="3"/>
      <c r="AF124" s="216" t="s">
        <v>5942</v>
      </c>
      <c r="AG124" s="85" t="s">
        <v>192</v>
      </c>
      <c r="AH124" s="85" t="s">
        <v>191</v>
      </c>
    </row>
    <row r="125" spans="1:34" s="4" customFormat="1" x14ac:dyDescent="0.25">
      <c r="A125" s="16">
        <v>891780111</v>
      </c>
      <c r="B125" s="16" t="s">
        <v>54</v>
      </c>
      <c r="C125" s="239" t="s">
        <v>56</v>
      </c>
      <c r="D125" s="16" t="s">
        <v>60</v>
      </c>
      <c r="E125" s="1" t="s">
        <v>5943</v>
      </c>
      <c r="F125" s="16" t="s">
        <v>61</v>
      </c>
      <c r="G125" s="85" t="s">
        <v>61</v>
      </c>
      <c r="H125" s="85" t="s">
        <v>73</v>
      </c>
      <c r="I125" s="9">
        <v>63244304</v>
      </c>
      <c r="J125" s="94"/>
      <c r="K125" s="312"/>
      <c r="L125" s="2"/>
      <c r="M125" s="40">
        <f t="shared" si="3"/>
        <v>63244304</v>
      </c>
      <c r="N125" s="1" t="s">
        <v>5944</v>
      </c>
      <c r="O125" s="70" t="s">
        <v>5945</v>
      </c>
      <c r="P125" s="85" t="s">
        <v>5946</v>
      </c>
      <c r="Q125" s="193">
        <v>45133</v>
      </c>
      <c r="R125" s="4" t="s">
        <v>5919</v>
      </c>
      <c r="S125" s="4" t="s">
        <v>5919</v>
      </c>
      <c r="T125" s="41" t="s">
        <v>612</v>
      </c>
      <c r="U125" s="3"/>
      <c r="V125" s="3"/>
      <c r="W125" s="236"/>
      <c r="X125" s="237">
        <v>0</v>
      </c>
      <c r="Y125" s="9">
        <f t="shared" si="0"/>
        <v>63244304</v>
      </c>
      <c r="Z125" s="34">
        <f t="shared" si="4"/>
        <v>0</v>
      </c>
      <c r="AA125" s="85">
        <v>7633815</v>
      </c>
      <c r="AB125" s="85" t="s">
        <v>5425</v>
      </c>
      <c r="AC125" s="85" t="s">
        <v>196</v>
      </c>
      <c r="AD125" s="85" t="s">
        <v>196</v>
      </c>
      <c r="AE125" s="3"/>
      <c r="AF125" s="216" t="s">
        <v>5947</v>
      </c>
      <c r="AG125" s="85" t="s">
        <v>2619</v>
      </c>
      <c r="AH125" s="85" t="s">
        <v>191</v>
      </c>
    </row>
    <row r="126" spans="1:34" s="4" customFormat="1" x14ac:dyDescent="0.25">
      <c r="A126" s="16">
        <v>891780111</v>
      </c>
      <c r="B126" s="16" t="s">
        <v>54</v>
      </c>
      <c r="C126" s="239" t="s">
        <v>56</v>
      </c>
      <c r="D126" s="16" t="s">
        <v>60</v>
      </c>
      <c r="E126" s="1" t="s">
        <v>5948</v>
      </c>
      <c r="F126" s="16" t="s">
        <v>61</v>
      </c>
      <c r="G126" s="85" t="s">
        <v>61</v>
      </c>
      <c r="H126" s="85" t="s">
        <v>73</v>
      </c>
      <c r="I126" s="9">
        <v>13673100</v>
      </c>
      <c r="J126" s="94"/>
      <c r="K126" s="312"/>
      <c r="L126" s="2"/>
      <c r="M126" s="40">
        <f t="shared" si="3"/>
        <v>13673100</v>
      </c>
      <c r="N126" s="1">
        <v>811033098</v>
      </c>
      <c r="O126" s="70" t="s">
        <v>5949</v>
      </c>
      <c r="P126" s="85" t="s">
        <v>5950</v>
      </c>
      <c r="Q126" s="3" t="s">
        <v>5940</v>
      </c>
      <c r="R126" s="3" t="s">
        <v>5940</v>
      </c>
      <c r="S126" s="3" t="s">
        <v>5951</v>
      </c>
      <c r="T126" s="41" t="s">
        <v>612</v>
      </c>
      <c r="U126" s="3"/>
      <c r="V126" s="3"/>
      <c r="W126" s="236"/>
      <c r="X126" s="237">
        <v>0</v>
      </c>
      <c r="Y126" s="9">
        <f t="shared" si="0"/>
        <v>13673100</v>
      </c>
      <c r="Z126" s="34">
        <f t="shared" si="4"/>
        <v>0</v>
      </c>
      <c r="AA126" s="85">
        <v>57297693</v>
      </c>
      <c r="AB126" s="85" t="s">
        <v>5446</v>
      </c>
      <c r="AC126" s="85" t="s">
        <v>196</v>
      </c>
      <c r="AD126" s="85" t="s">
        <v>196</v>
      </c>
      <c r="AE126" s="3"/>
      <c r="AF126" s="216" t="s">
        <v>5952</v>
      </c>
      <c r="AG126" s="85" t="s">
        <v>192</v>
      </c>
      <c r="AH126" s="85" t="s">
        <v>191</v>
      </c>
    </row>
    <row r="127" spans="1:34" s="4" customFormat="1" x14ac:dyDescent="0.25">
      <c r="A127" s="16">
        <v>891780111</v>
      </c>
      <c r="B127" s="16" t="s">
        <v>54</v>
      </c>
      <c r="C127" s="239" t="s">
        <v>56</v>
      </c>
      <c r="D127" s="16" t="s">
        <v>60</v>
      </c>
      <c r="E127" s="1" t="s">
        <v>5953</v>
      </c>
      <c r="F127" s="16" t="s">
        <v>61</v>
      </c>
      <c r="G127" s="85" t="s">
        <v>61</v>
      </c>
      <c r="H127" s="85" t="s">
        <v>73</v>
      </c>
      <c r="I127" s="9">
        <v>185000000</v>
      </c>
      <c r="J127" s="94"/>
      <c r="K127" s="312"/>
      <c r="L127" s="2"/>
      <c r="M127" s="40">
        <f t="shared" si="3"/>
        <v>185000000</v>
      </c>
      <c r="N127" s="1">
        <v>901279448</v>
      </c>
      <c r="O127" s="70" t="s">
        <v>4885</v>
      </c>
      <c r="P127" s="85" t="s">
        <v>5954</v>
      </c>
      <c r="Q127" s="3" t="s">
        <v>5173</v>
      </c>
      <c r="R127" s="3" t="s">
        <v>5173</v>
      </c>
      <c r="S127" s="3" t="s">
        <v>4836</v>
      </c>
      <c r="T127" s="41" t="s">
        <v>612</v>
      </c>
      <c r="U127" s="3"/>
      <c r="V127" s="3"/>
      <c r="W127" s="236"/>
      <c r="X127" s="237">
        <v>0</v>
      </c>
      <c r="Y127" s="9">
        <f t="shared" si="0"/>
        <v>185000000</v>
      </c>
      <c r="Z127" s="34">
        <f t="shared" si="4"/>
        <v>0</v>
      </c>
      <c r="AA127" s="85">
        <v>85459497</v>
      </c>
      <c r="AB127" s="85" t="s">
        <v>4837</v>
      </c>
      <c r="AC127" s="85" t="s">
        <v>196</v>
      </c>
      <c r="AD127" s="85" t="s">
        <v>196</v>
      </c>
      <c r="AE127" s="3">
        <v>45135</v>
      </c>
      <c r="AF127" s="216" t="s">
        <v>5955</v>
      </c>
      <c r="AG127" s="85" t="s">
        <v>192</v>
      </c>
      <c r="AH127" s="85" t="s">
        <v>191</v>
      </c>
    </row>
    <row r="128" spans="1:34" s="4" customFormat="1" x14ac:dyDescent="0.25">
      <c r="A128" s="38">
        <v>891780111</v>
      </c>
      <c r="B128" s="16" t="s">
        <v>54</v>
      </c>
      <c r="C128" s="239" t="s">
        <v>57</v>
      </c>
      <c r="D128" s="16" t="s">
        <v>60</v>
      </c>
      <c r="E128" s="1" t="s">
        <v>5956</v>
      </c>
      <c r="F128" s="16" t="s">
        <v>61</v>
      </c>
      <c r="G128" s="85" t="s">
        <v>61</v>
      </c>
      <c r="H128" s="85" t="s">
        <v>73</v>
      </c>
      <c r="I128" s="9">
        <v>20000000</v>
      </c>
      <c r="J128" s="94"/>
      <c r="K128" s="312"/>
      <c r="L128" s="2"/>
      <c r="M128" s="40">
        <f t="shared" si="3"/>
        <v>20000000</v>
      </c>
      <c r="N128" s="1">
        <v>39048924</v>
      </c>
      <c r="O128" s="70" t="s">
        <v>5957</v>
      </c>
      <c r="P128" s="85" t="s">
        <v>5958</v>
      </c>
      <c r="Q128" s="3" t="s">
        <v>5173</v>
      </c>
      <c r="R128" s="3" t="s">
        <v>5941</v>
      </c>
      <c r="S128" s="3" t="s">
        <v>5174</v>
      </c>
      <c r="T128" s="41" t="s">
        <v>612</v>
      </c>
      <c r="U128" s="3"/>
      <c r="V128" s="3"/>
      <c r="W128" s="236"/>
      <c r="X128" s="237">
        <v>0</v>
      </c>
      <c r="Y128" s="9">
        <f t="shared" si="0"/>
        <v>20000000</v>
      </c>
      <c r="Z128" s="34">
        <f t="shared" si="4"/>
        <v>0</v>
      </c>
      <c r="AA128" s="85">
        <v>85152695</v>
      </c>
      <c r="AB128" s="85" t="s">
        <v>4890</v>
      </c>
      <c r="AC128" s="85" t="s">
        <v>196</v>
      </c>
      <c r="AD128" s="85" t="s">
        <v>196</v>
      </c>
      <c r="AE128" s="3"/>
      <c r="AF128" s="216" t="s">
        <v>5959</v>
      </c>
      <c r="AG128" s="85" t="s">
        <v>192</v>
      </c>
      <c r="AH128" s="85" t="s">
        <v>191</v>
      </c>
    </row>
    <row r="129" spans="1:34" s="4" customFormat="1" ht="16.5" customHeight="1" x14ac:dyDescent="0.2">
      <c r="A129" s="38">
        <v>891780111</v>
      </c>
      <c r="B129" s="38" t="s">
        <v>54</v>
      </c>
      <c r="C129" s="85" t="s">
        <v>56</v>
      </c>
      <c r="D129" s="16" t="s">
        <v>60</v>
      </c>
      <c r="E129" s="1" t="s">
        <v>6296</v>
      </c>
      <c r="F129" s="16" t="s">
        <v>61</v>
      </c>
      <c r="G129" s="85" t="s">
        <v>61</v>
      </c>
      <c r="H129" s="85" t="s">
        <v>79</v>
      </c>
      <c r="I129" s="9">
        <v>254055437</v>
      </c>
      <c r="J129" s="94"/>
      <c r="K129" s="312"/>
      <c r="L129" s="2"/>
      <c r="M129" s="40">
        <f t="shared" si="3"/>
        <v>254055437</v>
      </c>
      <c r="N129" s="1">
        <v>802012828</v>
      </c>
      <c r="O129" s="1" t="s">
        <v>6297</v>
      </c>
      <c r="P129" s="1" t="s">
        <v>6298</v>
      </c>
      <c r="Q129" s="3">
        <v>44960</v>
      </c>
      <c r="R129" s="3">
        <v>44961</v>
      </c>
      <c r="S129" s="3" t="s">
        <v>6299</v>
      </c>
      <c r="T129" s="41" t="s">
        <v>612</v>
      </c>
      <c r="U129" s="3"/>
      <c r="V129" s="3"/>
      <c r="W129" s="236"/>
      <c r="X129" s="237">
        <v>254055436.41999999</v>
      </c>
      <c r="Y129" s="9">
        <f t="shared" si="0"/>
        <v>0.58000001311302185</v>
      </c>
      <c r="Z129" s="34">
        <f t="shared" si="4"/>
        <v>0.99999999771703363</v>
      </c>
      <c r="AA129" s="85">
        <v>85459497</v>
      </c>
      <c r="AB129" s="85" t="s">
        <v>4837</v>
      </c>
      <c r="AC129" s="85" t="s">
        <v>196</v>
      </c>
      <c r="AD129" s="85" t="s">
        <v>196</v>
      </c>
      <c r="AE129" s="236"/>
      <c r="AF129" s="238" t="s">
        <v>6300</v>
      </c>
      <c r="AG129" s="85" t="s">
        <v>192</v>
      </c>
      <c r="AH129" s="85" t="s">
        <v>191</v>
      </c>
    </row>
    <row r="130" spans="1:34" s="4" customFormat="1" x14ac:dyDescent="0.2">
      <c r="A130" s="16">
        <v>891780111</v>
      </c>
      <c r="B130" s="16" t="s">
        <v>54</v>
      </c>
      <c r="C130" s="85" t="s">
        <v>57</v>
      </c>
      <c r="D130" s="16" t="s">
        <v>60</v>
      </c>
      <c r="E130" s="1" t="s">
        <v>5960</v>
      </c>
      <c r="F130" s="16" t="s">
        <v>61</v>
      </c>
      <c r="G130" s="85" t="s">
        <v>61</v>
      </c>
      <c r="H130" s="85" t="s">
        <v>79</v>
      </c>
      <c r="I130" s="9">
        <v>70953750</v>
      </c>
      <c r="J130" s="94"/>
      <c r="K130" s="312"/>
      <c r="L130" s="2"/>
      <c r="M130" s="40">
        <f t="shared" si="3"/>
        <v>70953750</v>
      </c>
      <c r="N130" s="1">
        <v>1082860393</v>
      </c>
      <c r="O130" s="1" t="s">
        <v>5961</v>
      </c>
      <c r="P130" s="1" t="s">
        <v>5962</v>
      </c>
      <c r="Q130" s="3" t="s">
        <v>5379</v>
      </c>
      <c r="R130" s="3" t="s">
        <v>5379</v>
      </c>
      <c r="S130" s="3" t="s">
        <v>5424</v>
      </c>
      <c r="T130" s="41" t="s">
        <v>612</v>
      </c>
      <c r="U130" s="3"/>
      <c r="V130" s="3"/>
      <c r="W130" s="236"/>
      <c r="X130" s="237">
        <v>0</v>
      </c>
      <c r="Y130" s="9">
        <f t="shared" si="0"/>
        <v>70953750</v>
      </c>
      <c r="Z130" s="34">
        <f t="shared" si="1"/>
        <v>0</v>
      </c>
      <c r="AA130" s="85">
        <v>57297693</v>
      </c>
      <c r="AB130" s="85" t="s">
        <v>5446</v>
      </c>
      <c r="AC130" s="85" t="s">
        <v>196</v>
      </c>
      <c r="AD130" s="85" t="s">
        <v>196</v>
      </c>
      <c r="AE130" s="236">
        <v>44967</v>
      </c>
      <c r="AF130" s="238" t="s">
        <v>5963</v>
      </c>
      <c r="AG130" s="85" t="s">
        <v>192</v>
      </c>
      <c r="AH130" s="85" t="s">
        <v>191</v>
      </c>
    </row>
    <row r="131" spans="1:34" s="4" customFormat="1" x14ac:dyDescent="0.2">
      <c r="A131" s="242">
        <v>891780111</v>
      </c>
      <c r="B131" s="242" t="s">
        <v>54</v>
      </c>
      <c r="C131" s="85" t="s">
        <v>56</v>
      </c>
      <c r="D131" s="38" t="s">
        <v>60</v>
      </c>
      <c r="E131" s="1" t="s">
        <v>5964</v>
      </c>
      <c r="F131" s="16" t="s">
        <v>61</v>
      </c>
      <c r="G131" s="85" t="s">
        <v>61</v>
      </c>
      <c r="H131" s="85" t="s">
        <v>79</v>
      </c>
      <c r="I131" s="9">
        <v>31059000</v>
      </c>
      <c r="J131" s="94"/>
      <c r="K131" s="312"/>
      <c r="L131" s="2"/>
      <c r="M131" s="40">
        <f t="shared" si="3"/>
        <v>31059000</v>
      </c>
      <c r="N131" s="1">
        <v>79415098</v>
      </c>
      <c r="O131" s="1" t="s">
        <v>5965</v>
      </c>
      <c r="P131" s="1" t="s">
        <v>5966</v>
      </c>
      <c r="Q131" s="3" t="s">
        <v>5386</v>
      </c>
      <c r="R131" s="3" t="s">
        <v>5386</v>
      </c>
      <c r="S131" s="3" t="s">
        <v>5967</v>
      </c>
      <c r="T131" s="41" t="s">
        <v>612</v>
      </c>
      <c r="U131" s="3"/>
      <c r="V131" s="3"/>
      <c r="W131" s="236"/>
      <c r="X131" s="237">
        <v>31059000</v>
      </c>
      <c r="Y131" s="9">
        <f t="shared" si="0"/>
        <v>0</v>
      </c>
      <c r="Z131" s="34">
        <f t="shared" si="1"/>
        <v>1</v>
      </c>
      <c r="AA131" s="85">
        <v>36665858</v>
      </c>
      <c r="AB131" s="85" t="s">
        <v>5707</v>
      </c>
      <c r="AC131" s="85" t="s">
        <v>196</v>
      </c>
      <c r="AD131" s="85" t="s">
        <v>196</v>
      </c>
      <c r="AE131" s="236"/>
      <c r="AF131" s="238" t="s">
        <v>5968</v>
      </c>
      <c r="AG131" s="85" t="s">
        <v>192</v>
      </c>
      <c r="AH131" s="85" t="s">
        <v>191</v>
      </c>
    </row>
    <row r="132" spans="1:34" s="43" customFormat="1" x14ac:dyDescent="0.2">
      <c r="A132" s="38">
        <v>891780111</v>
      </c>
      <c r="B132" s="38" t="s">
        <v>54</v>
      </c>
      <c r="C132" s="85" t="s">
        <v>57</v>
      </c>
      <c r="D132" s="16" t="s">
        <v>60</v>
      </c>
      <c r="E132" s="39" t="s">
        <v>5969</v>
      </c>
      <c r="F132" s="38" t="s">
        <v>61</v>
      </c>
      <c r="G132" s="85" t="s">
        <v>61</v>
      </c>
      <c r="H132" s="85" t="s">
        <v>79</v>
      </c>
      <c r="I132" s="36">
        <v>23734550</v>
      </c>
      <c r="J132" s="325"/>
      <c r="K132" s="328"/>
      <c r="L132" s="61"/>
      <c r="M132" s="40">
        <f t="shared" si="3"/>
        <v>23734550</v>
      </c>
      <c r="N132" s="39">
        <v>1082860393</v>
      </c>
      <c r="O132" s="39" t="s">
        <v>5961</v>
      </c>
      <c r="P132" s="39" t="s">
        <v>5970</v>
      </c>
      <c r="Q132" s="41" t="s">
        <v>5971</v>
      </c>
      <c r="R132" s="41" t="s">
        <v>5419</v>
      </c>
      <c r="S132" s="41" t="s">
        <v>4869</v>
      </c>
      <c r="T132" s="41" t="s">
        <v>612</v>
      </c>
      <c r="U132" s="41"/>
      <c r="V132" s="41"/>
      <c r="W132" s="236"/>
      <c r="X132" s="237">
        <v>23734550</v>
      </c>
      <c r="Y132" s="9">
        <f t="shared" si="0"/>
        <v>0</v>
      </c>
      <c r="Z132" s="37">
        <f t="shared" si="1"/>
        <v>1</v>
      </c>
      <c r="AA132" s="85">
        <v>57297693</v>
      </c>
      <c r="AB132" s="85" t="s">
        <v>5446</v>
      </c>
      <c r="AC132" s="85" t="s">
        <v>196</v>
      </c>
      <c r="AD132" s="85" t="s">
        <v>196</v>
      </c>
      <c r="AE132" s="236">
        <v>44984</v>
      </c>
      <c r="AF132" s="238" t="s">
        <v>5972</v>
      </c>
      <c r="AG132" s="85" t="s">
        <v>192</v>
      </c>
      <c r="AH132" s="85" t="s">
        <v>191</v>
      </c>
    </row>
    <row r="133" spans="1:34" s="4" customFormat="1" x14ac:dyDescent="0.2">
      <c r="A133" s="16">
        <v>891780111</v>
      </c>
      <c r="B133" s="16" t="s">
        <v>54</v>
      </c>
      <c r="C133" s="85" t="s">
        <v>56</v>
      </c>
      <c r="D133" s="242" t="s">
        <v>60</v>
      </c>
      <c r="E133" s="1" t="s">
        <v>5973</v>
      </c>
      <c r="F133" s="16" t="s">
        <v>61</v>
      </c>
      <c r="G133" s="85" t="s">
        <v>61</v>
      </c>
      <c r="H133" s="85" t="s">
        <v>79</v>
      </c>
      <c r="I133" s="9">
        <v>7650000</v>
      </c>
      <c r="J133" s="94"/>
      <c r="K133" s="312"/>
      <c r="L133" s="2"/>
      <c r="M133" s="40">
        <f t="shared" si="3"/>
        <v>7650000</v>
      </c>
      <c r="N133" s="1">
        <v>1082881164</v>
      </c>
      <c r="O133" s="1" t="s">
        <v>4104</v>
      </c>
      <c r="P133" s="1" t="s">
        <v>5974</v>
      </c>
      <c r="Q133" s="3" t="s">
        <v>5443</v>
      </c>
      <c r="R133" s="3" t="s">
        <v>5443</v>
      </c>
      <c r="S133" s="3" t="s">
        <v>4868</v>
      </c>
      <c r="T133" s="41" t="s">
        <v>612</v>
      </c>
      <c r="U133" s="3"/>
      <c r="V133" s="3"/>
      <c r="W133" s="236"/>
      <c r="X133" s="237">
        <v>0</v>
      </c>
      <c r="Y133" s="9">
        <f t="shared" si="0"/>
        <v>7650000</v>
      </c>
      <c r="Z133" s="34">
        <f t="shared" si="1"/>
        <v>0</v>
      </c>
      <c r="AA133" s="85">
        <v>36665858</v>
      </c>
      <c r="AB133" s="85" t="s">
        <v>5707</v>
      </c>
      <c r="AC133" s="85" t="s">
        <v>196</v>
      </c>
      <c r="AD133" s="85" t="s">
        <v>196</v>
      </c>
      <c r="AE133" s="236"/>
      <c r="AF133" s="238" t="s">
        <v>5975</v>
      </c>
      <c r="AG133" s="85" t="s">
        <v>192</v>
      </c>
      <c r="AH133" s="85" t="s">
        <v>191</v>
      </c>
    </row>
    <row r="134" spans="1:34" s="4" customFormat="1" x14ac:dyDescent="0.2">
      <c r="A134" s="16">
        <v>891780111</v>
      </c>
      <c r="B134" s="16" t="s">
        <v>54</v>
      </c>
      <c r="C134" s="85" t="s">
        <v>56</v>
      </c>
      <c r="D134" s="16" t="s">
        <v>60</v>
      </c>
      <c r="E134" s="1" t="s">
        <v>5976</v>
      </c>
      <c r="F134" s="16" t="s">
        <v>61</v>
      </c>
      <c r="G134" s="85" t="s">
        <v>61</v>
      </c>
      <c r="H134" s="85" t="s">
        <v>79</v>
      </c>
      <c r="I134" s="9">
        <v>3585941</v>
      </c>
      <c r="J134" s="94"/>
      <c r="K134" s="312"/>
      <c r="L134" s="2"/>
      <c r="M134" s="40">
        <f t="shared" si="3"/>
        <v>3585941</v>
      </c>
      <c r="N134" s="1">
        <v>800177584</v>
      </c>
      <c r="O134" s="1" t="s">
        <v>5977</v>
      </c>
      <c r="P134" s="1" t="s">
        <v>5978</v>
      </c>
      <c r="Q134" s="3" t="s">
        <v>5443</v>
      </c>
      <c r="R134" s="3" t="s">
        <v>5443</v>
      </c>
      <c r="S134" s="3" t="s">
        <v>4869</v>
      </c>
      <c r="T134" s="41" t="s">
        <v>612</v>
      </c>
      <c r="U134" s="3"/>
      <c r="V134" s="3"/>
      <c r="W134" s="236"/>
      <c r="X134" s="237">
        <v>3585940.5</v>
      </c>
      <c r="Y134" s="9">
        <f t="shared" si="0"/>
        <v>0.5</v>
      </c>
      <c r="Z134" s="34">
        <f t="shared" si="1"/>
        <v>0.99999986056658485</v>
      </c>
      <c r="AA134" s="85">
        <v>57297693</v>
      </c>
      <c r="AB134" s="85" t="s">
        <v>5446</v>
      </c>
      <c r="AC134" s="85" t="s">
        <v>196</v>
      </c>
      <c r="AD134" s="85" t="s">
        <v>196</v>
      </c>
      <c r="AE134" s="236"/>
      <c r="AF134" s="238" t="s">
        <v>5979</v>
      </c>
      <c r="AG134" s="85" t="s">
        <v>192</v>
      </c>
      <c r="AH134" s="85" t="s">
        <v>191</v>
      </c>
    </row>
    <row r="135" spans="1:34" s="4" customFormat="1" x14ac:dyDescent="0.2">
      <c r="A135" s="16">
        <v>891780111</v>
      </c>
      <c r="B135" s="16" t="s">
        <v>54</v>
      </c>
      <c r="C135" s="85" t="s">
        <v>56</v>
      </c>
      <c r="D135" s="16" t="s">
        <v>60</v>
      </c>
      <c r="E135" s="1" t="s">
        <v>5980</v>
      </c>
      <c r="F135" s="16" t="s">
        <v>61</v>
      </c>
      <c r="G135" s="85" t="s">
        <v>61</v>
      </c>
      <c r="H135" s="85" t="s">
        <v>79</v>
      </c>
      <c r="I135" s="9">
        <v>4385140</v>
      </c>
      <c r="J135" s="94"/>
      <c r="K135" s="312"/>
      <c r="L135" s="2"/>
      <c r="M135" s="40">
        <f t="shared" si="3"/>
        <v>4385140</v>
      </c>
      <c r="N135" s="1">
        <v>860035467</v>
      </c>
      <c r="O135" s="1" t="s">
        <v>5981</v>
      </c>
      <c r="P135" s="1" t="s">
        <v>5982</v>
      </c>
      <c r="Q135" s="3" t="s">
        <v>5983</v>
      </c>
      <c r="R135" s="3" t="s">
        <v>5983</v>
      </c>
      <c r="S135" s="3" t="s">
        <v>5984</v>
      </c>
      <c r="T135" s="41" t="s">
        <v>612</v>
      </c>
      <c r="U135" s="3"/>
      <c r="V135" s="3"/>
      <c r="W135" s="236"/>
      <c r="X135" s="237">
        <v>4385140</v>
      </c>
      <c r="Y135" s="9">
        <f t="shared" si="0"/>
        <v>0</v>
      </c>
      <c r="Z135" s="34">
        <f t="shared" si="1"/>
        <v>1</v>
      </c>
      <c r="AA135" s="85">
        <v>57297693</v>
      </c>
      <c r="AB135" s="85" t="s">
        <v>5446</v>
      </c>
      <c r="AC135" s="85" t="s">
        <v>196</v>
      </c>
      <c r="AD135" s="85" t="s">
        <v>196</v>
      </c>
      <c r="AE135" s="236"/>
      <c r="AF135" s="238" t="s">
        <v>5985</v>
      </c>
      <c r="AG135" s="85" t="s">
        <v>192</v>
      </c>
      <c r="AH135" s="85" t="s">
        <v>191</v>
      </c>
    </row>
    <row r="136" spans="1:34" s="4" customFormat="1" x14ac:dyDescent="0.2">
      <c r="A136" s="16">
        <v>891780111</v>
      </c>
      <c r="B136" s="16" t="s">
        <v>54</v>
      </c>
      <c r="C136" s="85" t="s">
        <v>56</v>
      </c>
      <c r="D136" s="16" t="s">
        <v>60</v>
      </c>
      <c r="E136" s="1" t="s">
        <v>5986</v>
      </c>
      <c r="F136" s="16" t="s">
        <v>61</v>
      </c>
      <c r="G136" s="85" t="s">
        <v>61</v>
      </c>
      <c r="H136" s="85" t="s">
        <v>79</v>
      </c>
      <c r="I136" s="9">
        <v>8475000</v>
      </c>
      <c r="J136" s="94"/>
      <c r="K136" s="312"/>
      <c r="L136" s="2"/>
      <c r="M136" s="40">
        <f t="shared" si="3"/>
        <v>8475000</v>
      </c>
      <c r="N136" s="1" t="s">
        <v>5987</v>
      </c>
      <c r="O136" s="1" t="s">
        <v>5988</v>
      </c>
      <c r="P136" s="1" t="s">
        <v>5989</v>
      </c>
      <c r="Q136" s="3">
        <v>44987</v>
      </c>
      <c r="R136" s="3">
        <v>44987</v>
      </c>
      <c r="S136" s="3">
        <v>45016</v>
      </c>
      <c r="T136" s="41" t="s">
        <v>612</v>
      </c>
      <c r="U136" s="3"/>
      <c r="V136" s="3"/>
      <c r="W136" s="236"/>
      <c r="X136" s="237">
        <v>8475000</v>
      </c>
      <c r="Y136" s="9">
        <f t="shared" si="0"/>
        <v>0</v>
      </c>
      <c r="Z136" s="34">
        <f t="shared" si="1"/>
        <v>1</v>
      </c>
      <c r="AA136" s="85">
        <v>57461757</v>
      </c>
      <c r="AB136" s="85" t="s">
        <v>5990</v>
      </c>
      <c r="AC136" s="85" t="s">
        <v>196</v>
      </c>
      <c r="AD136" s="85" t="s">
        <v>196</v>
      </c>
      <c r="AE136" s="236"/>
      <c r="AF136" s="238" t="s">
        <v>5991</v>
      </c>
      <c r="AG136" s="85" t="s">
        <v>192</v>
      </c>
      <c r="AH136" s="85" t="s">
        <v>191</v>
      </c>
    </row>
    <row r="137" spans="1:34" s="4" customFormat="1" x14ac:dyDescent="0.2">
      <c r="A137" s="16">
        <v>891780111</v>
      </c>
      <c r="B137" s="16" t="s">
        <v>54</v>
      </c>
      <c r="C137" s="85" t="s">
        <v>57</v>
      </c>
      <c r="D137" s="16" t="s">
        <v>60</v>
      </c>
      <c r="E137" s="1" t="s">
        <v>5992</v>
      </c>
      <c r="F137" s="16" t="s">
        <v>61</v>
      </c>
      <c r="G137" s="85" t="s">
        <v>61</v>
      </c>
      <c r="H137" s="85" t="s">
        <v>79</v>
      </c>
      <c r="I137" s="9">
        <v>71995000</v>
      </c>
      <c r="J137" s="94"/>
      <c r="K137" s="312"/>
      <c r="L137" s="2"/>
      <c r="M137" s="40">
        <f t="shared" si="3"/>
        <v>71995000</v>
      </c>
      <c r="N137" s="1" t="s">
        <v>5993</v>
      </c>
      <c r="O137" s="1" t="s">
        <v>5994</v>
      </c>
      <c r="P137" s="1" t="s">
        <v>5995</v>
      </c>
      <c r="Q137" s="3">
        <v>44991</v>
      </c>
      <c r="R137" s="3">
        <v>44993</v>
      </c>
      <c r="S137" s="3">
        <v>45003</v>
      </c>
      <c r="T137" s="41" t="s">
        <v>612</v>
      </c>
      <c r="U137" s="3"/>
      <c r="V137" s="3"/>
      <c r="W137" s="236"/>
      <c r="X137" s="237">
        <v>71995000</v>
      </c>
      <c r="Y137" s="9">
        <f t="shared" si="0"/>
        <v>0</v>
      </c>
      <c r="Z137" s="34">
        <f t="shared" si="1"/>
        <v>1</v>
      </c>
      <c r="AA137" s="85">
        <v>85465146</v>
      </c>
      <c r="AB137" s="85" t="s">
        <v>4857</v>
      </c>
      <c r="AC137" s="85" t="s">
        <v>196</v>
      </c>
      <c r="AD137" s="85" t="s">
        <v>196</v>
      </c>
      <c r="AE137" s="236">
        <v>44995</v>
      </c>
      <c r="AF137" s="238" t="s">
        <v>5996</v>
      </c>
      <c r="AG137" s="85" t="s">
        <v>192</v>
      </c>
      <c r="AH137" s="85" t="s">
        <v>191</v>
      </c>
    </row>
    <row r="138" spans="1:34" s="43" customFormat="1" x14ac:dyDescent="0.2">
      <c r="A138" s="38">
        <v>891780111</v>
      </c>
      <c r="B138" s="38" t="s">
        <v>54</v>
      </c>
      <c r="C138" s="85" t="s">
        <v>56</v>
      </c>
      <c r="D138" s="38" t="s">
        <v>60</v>
      </c>
      <c r="E138" s="39" t="s">
        <v>5997</v>
      </c>
      <c r="F138" s="38" t="s">
        <v>61</v>
      </c>
      <c r="G138" s="85" t="s">
        <v>61</v>
      </c>
      <c r="H138" s="85" t="s">
        <v>79</v>
      </c>
      <c r="I138" s="36">
        <v>56751000</v>
      </c>
      <c r="J138" s="325"/>
      <c r="K138" s="328"/>
      <c r="L138" s="61"/>
      <c r="M138" s="40">
        <f t="shared" si="3"/>
        <v>56751000</v>
      </c>
      <c r="N138" s="39" t="s">
        <v>5998</v>
      </c>
      <c r="O138" s="39" t="s">
        <v>5999</v>
      </c>
      <c r="P138" s="39" t="s">
        <v>6000</v>
      </c>
      <c r="Q138" s="41">
        <v>44992</v>
      </c>
      <c r="R138" s="41">
        <v>44998</v>
      </c>
      <c r="S138" s="41">
        <v>45027</v>
      </c>
      <c r="T138" s="41" t="s">
        <v>612</v>
      </c>
      <c r="U138" s="41"/>
      <c r="V138" s="41"/>
      <c r="W138" s="236"/>
      <c r="X138" s="237">
        <v>56751000</v>
      </c>
      <c r="Y138" s="9">
        <f t="shared" si="0"/>
        <v>0</v>
      </c>
      <c r="Z138" s="37">
        <f t="shared" si="1"/>
        <v>1</v>
      </c>
      <c r="AA138" s="85">
        <v>85466528</v>
      </c>
      <c r="AB138" s="85" t="s">
        <v>5602</v>
      </c>
      <c r="AC138" s="85" t="s">
        <v>196</v>
      </c>
      <c r="AD138" s="85" t="s">
        <v>196</v>
      </c>
      <c r="AE138" s="236">
        <v>45006</v>
      </c>
      <c r="AF138" s="238" t="s">
        <v>6001</v>
      </c>
      <c r="AG138" s="85" t="s">
        <v>192</v>
      </c>
      <c r="AH138" s="85" t="s">
        <v>191</v>
      </c>
    </row>
    <row r="139" spans="1:34" s="4" customFormat="1" x14ac:dyDescent="0.2">
      <c r="A139" s="16">
        <v>891780111</v>
      </c>
      <c r="B139" s="16" t="s">
        <v>54</v>
      </c>
      <c r="C139" s="85" t="s">
        <v>56</v>
      </c>
      <c r="D139" s="16" t="s">
        <v>60</v>
      </c>
      <c r="E139" s="1" t="s">
        <v>6002</v>
      </c>
      <c r="F139" s="16" t="s">
        <v>61</v>
      </c>
      <c r="G139" s="85" t="s">
        <v>61</v>
      </c>
      <c r="H139" s="85" t="s">
        <v>79</v>
      </c>
      <c r="I139" s="9">
        <v>3300000</v>
      </c>
      <c r="J139" s="94"/>
      <c r="K139" s="312"/>
      <c r="L139" s="2"/>
      <c r="M139" s="40">
        <f t="shared" si="3"/>
        <v>3300000</v>
      </c>
      <c r="N139" s="1" t="s">
        <v>6003</v>
      </c>
      <c r="O139" s="1" t="s">
        <v>4104</v>
      </c>
      <c r="P139" s="1" t="s">
        <v>6004</v>
      </c>
      <c r="Q139" s="3">
        <v>44998</v>
      </c>
      <c r="R139" s="3">
        <v>44998</v>
      </c>
      <c r="S139" s="3">
        <v>45002</v>
      </c>
      <c r="T139" s="41" t="s">
        <v>612</v>
      </c>
      <c r="U139" s="3"/>
      <c r="V139" s="3"/>
      <c r="W139" s="236"/>
      <c r="X139" s="237">
        <v>3300000</v>
      </c>
      <c r="Y139" s="9">
        <f t="shared" si="0"/>
        <v>0</v>
      </c>
      <c r="Z139" s="34">
        <f t="shared" si="1"/>
        <v>1</v>
      </c>
      <c r="AA139" s="85">
        <v>36665858</v>
      </c>
      <c r="AB139" s="85" t="s">
        <v>5707</v>
      </c>
      <c r="AC139" s="85" t="s">
        <v>196</v>
      </c>
      <c r="AD139" s="85" t="s">
        <v>196</v>
      </c>
      <c r="AE139" s="236"/>
      <c r="AF139" s="238" t="s">
        <v>6005</v>
      </c>
      <c r="AG139" s="85" t="s">
        <v>192</v>
      </c>
      <c r="AH139" s="85" t="s">
        <v>191</v>
      </c>
    </row>
    <row r="140" spans="1:34" s="4" customFormat="1" x14ac:dyDescent="0.2">
      <c r="A140" s="16">
        <v>891780111</v>
      </c>
      <c r="B140" s="16" t="s">
        <v>54</v>
      </c>
      <c r="C140" s="85" t="s">
        <v>57</v>
      </c>
      <c r="D140" s="16" t="s">
        <v>60</v>
      </c>
      <c r="E140" s="1" t="s">
        <v>6006</v>
      </c>
      <c r="F140" s="16" t="s">
        <v>61</v>
      </c>
      <c r="G140" s="85" t="s">
        <v>61</v>
      </c>
      <c r="H140" s="85" t="s">
        <v>79</v>
      </c>
      <c r="I140" s="9">
        <v>50860600</v>
      </c>
      <c r="J140" s="94"/>
      <c r="K140" s="312"/>
      <c r="L140" s="2"/>
      <c r="M140" s="40">
        <f t="shared" si="3"/>
        <v>50860600</v>
      </c>
      <c r="N140" s="1" t="s">
        <v>6007</v>
      </c>
      <c r="O140" s="1" t="s">
        <v>6008</v>
      </c>
      <c r="P140" s="1" t="s">
        <v>6009</v>
      </c>
      <c r="Q140" s="3">
        <v>45002</v>
      </c>
      <c r="R140" s="3">
        <v>45002</v>
      </c>
      <c r="S140" s="3">
        <v>45071</v>
      </c>
      <c r="T140" s="41" t="s">
        <v>612</v>
      </c>
      <c r="U140" s="3"/>
      <c r="V140" s="3"/>
      <c r="W140" s="236"/>
      <c r="X140" s="237">
        <v>50860600</v>
      </c>
      <c r="Y140" s="9">
        <f t="shared" si="0"/>
        <v>0</v>
      </c>
      <c r="Z140" s="34">
        <f t="shared" si="1"/>
        <v>1</v>
      </c>
      <c r="AA140" s="85">
        <v>1082868728</v>
      </c>
      <c r="AB140" s="85" t="s">
        <v>6010</v>
      </c>
      <c r="AC140" s="85" t="s">
        <v>196</v>
      </c>
      <c r="AD140" s="85" t="s">
        <v>196</v>
      </c>
      <c r="AE140" s="236">
        <v>45012</v>
      </c>
      <c r="AF140" s="238" t="s">
        <v>6011</v>
      </c>
      <c r="AG140" s="85" t="s">
        <v>192</v>
      </c>
      <c r="AH140" s="85" t="s">
        <v>191</v>
      </c>
    </row>
    <row r="141" spans="1:34" s="4" customFormat="1" x14ac:dyDescent="0.2">
      <c r="A141" s="16">
        <v>891780111</v>
      </c>
      <c r="B141" s="16" t="s">
        <v>54</v>
      </c>
      <c r="C141" s="85" t="s">
        <v>56</v>
      </c>
      <c r="D141" s="16" t="s">
        <v>60</v>
      </c>
      <c r="E141" s="1" t="s">
        <v>6012</v>
      </c>
      <c r="F141" s="16" t="s">
        <v>61</v>
      </c>
      <c r="G141" s="85" t="s">
        <v>61</v>
      </c>
      <c r="H141" s="85" t="s">
        <v>79</v>
      </c>
      <c r="I141" s="9">
        <v>43117133</v>
      </c>
      <c r="J141" s="94"/>
      <c r="K141" s="312"/>
      <c r="L141" s="2"/>
      <c r="M141" s="40">
        <f t="shared" si="3"/>
        <v>43117133</v>
      </c>
      <c r="N141" s="1" t="s">
        <v>6013</v>
      </c>
      <c r="O141" s="1" t="s">
        <v>6014</v>
      </c>
      <c r="P141" s="1" t="s">
        <v>6015</v>
      </c>
      <c r="Q141" s="3">
        <v>45006</v>
      </c>
      <c r="R141" s="3">
        <v>45006</v>
      </c>
      <c r="S141" s="3">
        <v>45020</v>
      </c>
      <c r="T141" s="41" t="s">
        <v>612</v>
      </c>
      <c r="U141" s="3"/>
      <c r="V141" s="3"/>
      <c r="W141" s="236"/>
      <c r="X141" s="237">
        <v>43117133</v>
      </c>
      <c r="Y141" s="9">
        <f t="shared" si="0"/>
        <v>0</v>
      </c>
      <c r="Z141" s="34">
        <f t="shared" si="1"/>
        <v>1</v>
      </c>
      <c r="AA141" s="85">
        <v>85450705</v>
      </c>
      <c r="AB141" s="85" t="s">
        <v>6016</v>
      </c>
      <c r="AC141" s="85" t="s">
        <v>196</v>
      </c>
      <c r="AD141" s="85" t="s">
        <v>196</v>
      </c>
      <c r="AE141" s="236"/>
      <c r="AF141" s="238" t="s">
        <v>6017</v>
      </c>
      <c r="AG141" s="85" t="s">
        <v>192</v>
      </c>
      <c r="AH141" s="85" t="s">
        <v>191</v>
      </c>
    </row>
    <row r="142" spans="1:34" s="4" customFormat="1" x14ac:dyDescent="0.2">
      <c r="A142" s="16">
        <v>891780111</v>
      </c>
      <c r="B142" s="16" t="s">
        <v>54</v>
      </c>
      <c r="C142" s="85" t="s">
        <v>57</v>
      </c>
      <c r="D142" s="16" t="s">
        <v>60</v>
      </c>
      <c r="E142" s="1" t="s">
        <v>6018</v>
      </c>
      <c r="F142" s="16" t="s">
        <v>61</v>
      </c>
      <c r="G142" s="85" t="s">
        <v>61</v>
      </c>
      <c r="H142" s="85" t="s">
        <v>79</v>
      </c>
      <c r="I142" s="9">
        <v>2284800</v>
      </c>
      <c r="J142" s="94"/>
      <c r="K142" s="312"/>
      <c r="L142" s="2"/>
      <c r="M142" s="40">
        <f t="shared" si="3"/>
        <v>2284800</v>
      </c>
      <c r="N142" s="1" t="s">
        <v>6019</v>
      </c>
      <c r="O142" s="1" t="s">
        <v>6020</v>
      </c>
      <c r="P142" s="1" t="s">
        <v>6021</v>
      </c>
      <c r="Q142" s="3">
        <v>45006</v>
      </c>
      <c r="R142" s="3">
        <v>45006</v>
      </c>
      <c r="S142" s="3">
        <v>45015</v>
      </c>
      <c r="T142" s="41" t="s">
        <v>612</v>
      </c>
      <c r="U142" s="3"/>
      <c r="V142" s="3"/>
      <c r="W142" s="236"/>
      <c r="X142" s="237">
        <v>2284800</v>
      </c>
      <c r="Y142" s="9">
        <f t="shared" si="0"/>
        <v>0</v>
      </c>
      <c r="Z142" s="34">
        <f t="shared" si="1"/>
        <v>1</v>
      </c>
      <c r="AA142" s="85">
        <v>36665858</v>
      </c>
      <c r="AB142" s="85" t="s">
        <v>5707</v>
      </c>
      <c r="AC142" s="85" t="s">
        <v>196</v>
      </c>
      <c r="AD142" s="85" t="s">
        <v>196</v>
      </c>
      <c r="AE142" s="236"/>
      <c r="AF142" s="238" t="s">
        <v>6022</v>
      </c>
      <c r="AG142" s="85" t="s">
        <v>192</v>
      </c>
      <c r="AH142" s="85" t="s">
        <v>191</v>
      </c>
    </row>
    <row r="143" spans="1:34" s="4" customFormat="1" x14ac:dyDescent="0.2">
      <c r="A143" s="16">
        <v>891780111</v>
      </c>
      <c r="B143" s="16" t="s">
        <v>54</v>
      </c>
      <c r="C143" s="85" t="s">
        <v>57</v>
      </c>
      <c r="D143" s="16" t="s">
        <v>60</v>
      </c>
      <c r="E143" s="1" t="s">
        <v>6023</v>
      </c>
      <c r="F143" s="16" t="s">
        <v>61</v>
      </c>
      <c r="G143" s="85" t="s">
        <v>61</v>
      </c>
      <c r="H143" s="85" t="s">
        <v>79</v>
      </c>
      <c r="I143" s="9">
        <v>11470410</v>
      </c>
      <c r="J143" s="94"/>
      <c r="K143" s="312"/>
      <c r="L143" s="2"/>
      <c r="M143" s="40">
        <f t="shared" si="3"/>
        <v>11470410</v>
      </c>
      <c r="N143" s="1" t="s">
        <v>6024</v>
      </c>
      <c r="O143" s="1" t="s">
        <v>6025</v>
      </c>
      <c r="P143" s="1" t="s">
        <v>6026</v>
      </c>
      <c r="Q143" s="3">
        <v>45007</v>
      </c>
      <c r="R143" s="3">
        <v>45007</v>
      </c>
      <c r="S143" s="3">
        <v>45016</v>
      </c>
      <c r="T143" s="41" t="s">
        <v>612</v>
      </c>
      <c r="U143" s="3"/>
      <c r="V143" s="3"/>
      <c r="W143" s="236"/>
      <c r="X143" s="237">
        <v>11470410</v>
      </c>
      <c r="Y143" s="9">
        <f t="shared" si="0"/>
        <v>0</v>
      </c>
      <c r="Z143" s="34">
        <f t="shared" si="1"/>
        <v>1</v>
      </c>
      <c r="AA143" s="85">
        <v>36665858</v>
      </c>
      <c r="AB143" s="85" t="s">
        <v>5707</v>
      </c>
      <c r="AC143" s="85" t="s">
        <v>196</v>
      </c>
      <c r="AD143" s="85" t="s">
        <v>196</v>
      </c>
      <c r="AE143" s="236"/>
      <c r="AF143" s="238" t="s">
        <v>6027</v>
      </c>
      <c r="AG143" s="85" t="s">
        <v>192</v>
      </c>
      <c r="AH143" s="85" t="s">
        <v>191</v>
      </c>
    </row>
    <row r="144" spans="1:34" s="43" customFormat="1" x14ac:dyDescent="0.2">
      <c r="A144" s="38">
        <v>891780111</v>
      </c>
      <c r="B144" s="38" t="s">
        <v>54</v>
      </c>
      <c r="C144" s="85" t="s">
        <v>56</v>
      </c>
      <c r="D144" s="38" t="s">
        <v>60</v>
      </c>
      <c r="E144" s="39" t="s">
        <v>6028</v>
      </c>
      <c r="F144" s="38" t="s">
        <v>61</v>
      </c>
      <c r="G144" s="85" t="s">
        <v>61</v>
      </c>
      <c r="H144" s="85" t="s">
        <v>79</v>
      </c>
      <c r="I144" s="36">
        <v>26507072</v>
      </c>
      <c r="J144" s="325"/>
      <c r="K144" s="328"/>
      <c r="L144" s="61"/>
      <c r="M144" s="40">
        <f t="shared" si="3"/>
        <v>26507072</v>
      </c>
      <c r="N144" s="39" t="s">
        <v>6029</v>
      </c>
      <c r="O144" s="39" t="s">
        <v>6030</v>
      </c>
      <c r="P144" s="39" t="s">
        <v>6031</v>
      </c>
      <c r="Q144" s="41">
        <v>45008</v>
      </c>
      <c r="R144" s="41">
        <v>45008</v>
      </c>
      <c r="S144" s="41">
        <v>45021</v>
      </c>
      <c r="T144" s="41" t="s">
        <v>612</v>
      </c>
      <c r="U144" s="41"/>
      <c r="V144" s="41"/>
      <c r="W144" s="236"/>
      <c r="X144" s="237">
        <v>26507072</v>
      </c>
      <c r="Y144" s="9">
        <f t="shared" si="0"/>
        <v>0</v>
      </c>
      <c r="Z144" s="37">
        <f t="shared" si="1"/>
        <v>1</v>
      </c>
      <c r="AA144" s="85">
        <v>57297693</v>
      </c>
      <c r="AB144" s="85" t="s">
        <v>5446</v>
      </c>
      <c r="AC144" s="85" t="s">
        <v>196</v>
      </c>
      <c r="AD144" s="85" t="s">
        <v>196</v>
      </c>
      <c r="AE144" s="236"/>
      <c r="AF144" s="238" t="s">
        <v>6032</v>
      </c>
      <c r="AG144" s="85" t="s">
        <v>192</v>
      </c>
      <c r="AH144" s="85" t="s">
        <v>191</v>
      </c>
    </row>
    <row r="145" spans="1:34" s="4" customFormat="1" x14ac:dyDescent="0.2">
      <c r="A145" s="16">
        <v>891780111</v>
      </c>
      <c r="B145" s="16" t="s">
        <v>54</v>
      </c>
      <c r="C145" s="85" t="s">
        <v>56</v>
      </c>
      <c r="D145" s="16" t="s">
        <v>60</v>
      </c>
      <c r="E145" s="1" t="s">
        <v>6033</v>
      </c>
      <c r="F145" s="16" t="s">
        <v>61</v>
      </c>
      <c r="G145" s="85" t="s">
        <v>61</v>
      </c>
      <c r="H145" s="85" t="s">
        <v>79</v>
      </c>
      <c r="I145" s="9">
        <v>8442085</v>
      </c>
      <c r="J145" s="94"/>
      <c r="K145" s="312"/>
      <c r="L145" s="2"/>
      <c r="M145" s="40">
        <f t="shared" si="3"/>
        <v>8442085</v>
      </c>
      <c r="N145" s="1" t="s">
        <v>6034</v>
      </c>
      <c r="O145" s="1" t="s">
        <v>6035</v>
      </c>
      <c r="P145" s="1" t="s">
        <v>6036</v>
      </c>
      <c r="Q145" s="3">
        <v>45009</v>
      </c>
      <c r="R145" s="3">
        <v>45009</v>
      </c>
      <c r="S145" s="3">
        <v>45020</v>
      </c>
      <c r="T145" s="41" t="s">
        <v>612</v>
      </c>
      <c r="U145" s="3"/>
      <c r="V145" s="3"/>
      <c r="W145" s="236"/>
      <c r="X145" s="237">
        <v>8442085</v>
      </c>
      <c r="Y145" s="9">
        <f t="shared" si="0"/>
        <v>0</v>
      </c>
      <c r="Z145" s="34">
        <f t="shared" si="1"/>
        <v>1</v>
      </c>
      <c r="AA145" s="85">
        <v>57297693</v>
      </c>
      <c r="AB145" s="85" t="s">
        <v>5446</v>
      </c>
      <c r="AC145" s="85" t="s">
        <v>196</v>
      </c>
      <c r="AD145" s="85" t="s">
        <v>196</v>
      </c>
      <c r="AE145" s="236"/>
      <c r="AF145" s="238" t="s">
        <v>6037</v>
      </c>
      <c r="AG145" s="85" t="s">
        <v>192</v>
      </c>
      <c r="AH145" s="85" t="s">
        <v>191</v>
      </c>
    </row>
    <row r="146" spans="1:34" s="4" customFormat="1" x14ac:dyDescent="0.2">
      <c r="A146" s="16">
        <v>891780111</v>
      </c>
      <c r="B146" s="16" t="s">
        <v>54</v>
      </c>
      <c r="C146" s="85" t="s">
        <v>57</v>
      </c>
      <c r="D146" s="16" t="s">
        <v>60</v>
      </c>
      <c r="E146" s="1" t="s">
        <v>6038</v>
      </c>
      <c r="F146" s="16" t="s">
        <v>61</v>
      </c>
      <c r="G146" s="85" t="s">
        <v>61</v>
      </c>
      <c r="H146" s="85" t="s">
        <v>79</v>
      </c>
      <c r="I146" s="9">
        <v>4626244</v>
      </c>
      <c r="J146" s="94"/>
      <c r="K146" s="312"/>
      <c r="L146" s="2"/>
      <c r="M146" s="40">
        <f t="shared" si="3"/>
        <v>4626244</v>
      </c>
      <c r="N146" s="1" t="s">
        <v>5710</v>
      </c>
      <c r="O146" s="1" t="s">
        <v>5711</v>
      </c>
      <c r="P146" s="1" t="s">
        <v>6039</v>
      </c>
      <c r="Q146" s="3">
        <v>45012</v>
      </c>
      <c r="R146" s="3">
        <v>45015</v>
      </c>
      <c r="S146" s="3">
        <v>45020</v>
      </c>
      <c r="T146" s="41" t="s">
        <v>612</v>
      </c>
      <c r="U146" s="3"/>
      <c r="V146" s="3"/>
      <c r="W146" s="236"/>
      <c r="X146" s="237">
        <v>0</v>
      </c>
      <c r="Y146" s="9">
        <f t="shared" si="0"/>
        <v>4626244</v>
      </c>
      <c r="Z146" s="34">
        <f t="shared" si="1"/>
        <v>0</v>
      </c>
      <c r="AA146" s="85">
        <v>57297693</v>
      </c>
      <c r="AB146" s="85" t="s">
        <v>5446</v>
      </c>
      <c r="AC146" s="85" t="s">
        <v>196</v>
      </c>
      <c r="AD146" s="85" t="s">
        <v>196</v>
      </c>
      <c r="AE146" s="236">
        <v>45015</v>
      </c>
      <c r="AF146" s="238" t="s">
        <v>6040</v>
      </c>
      <c r="AG146" s="85" t="s">
        <v>192</v>
      </c>
      <c r="AH146" s="85" t="s">
        <v>191</v>
      </c>
    </row>
    <row r="147" spans="1:34" s="4" customFormat="1" x14ac:dyDescent="0.25">
      <c r="A147" s="16">
        <v>891780111</v>
      </c>
      <c r="B147" s="16" t="s">
        <v>54</v>
      </c>
      <c r="C147" s="85" t="s">
        <v>57</v>
      </c>
      <c r="D147" s="16" t="s">
        <v>60</v>
      </c>
      <c r="E147" s="1" t="s">
        <v>6041</v>
      </c>
      <c r="F147" s="16" t="s">
        <v>61</v>
      </c>
      <c r="G147" s="85" t="s">
        <v>61</v>
      </c>
      <c r="H147" s="85" t="s">
        <v>79</v>
      </c>
      <c r="I147" s="9">
        <v>25500000</v>
      </c>
      <c r="J147" s="94"/>
      <c r="K147" s="312"/>
      <c r="L147" s="2"/>
      <c r="M147" s="40">
        <f t="shared" si="3"/>
        <v>25500000</v>
      </c>
      <c r="N147" s="1" t="s">
        <v>6042</v>
      </c>
      <c r="O147" s="1" t="s">
        <v>6043</v>
      </c>
      <c r="P147" s="1" t="s">
        <v>6044</v>
      </c>
      <c r="Q147" s="3">
        <v>45015</v>
      </c>
      <c r="R147" s="3">
        <v>45016</v>
      </c>
      <c r="S147" s="3">
        <v>45077</v>
      </c>
      <c r="T147" s="41" t="s">
        <v>612</v>
      </c>
      <c r="U147" s="3"/>
      <c r="V147" s="3"/>
      <c r="W147" s="236"/>
      <c r="X147" s="237">
        <v>25500000</v>
      </c>
      <c r="Y147" s="9">
        <f t="shared" si="0"/>
        <v>0</v>
      </c>
      <c r="Z147" s="34">
        <f t="shared" si="1"/>
        <v>1</v>
      </c>
      <c r="AA147" s="85">
        <v>72175282</v>
      </c>
      <c r="AB147" s="85" t="s">
        <v>5399</v>
      </c>
      <c r="AC147" s="85" t="s">
        <v>196</v>
      </c>
      <c r="AD147" s="85" t="s">
        <v>196</v>
      </c>
      <c r="AE147" s="236">
        <v>45016</v>
      </c>
      <c r="AF147" s="77" t="s">
        <v>6045</v>
      </c>
      <c r="AG147" s="85" t="s">
        <v>192</v>
      </c>
      <c r="AH147" s="85" t="s">
        <v>191</v>
      </c>
    </row>
    <row r="148" spans="1:34" s="4" customFormat="1" x14ac:dyDescent="0.25">
      <c r="A148" s="16">
        <v>891780111</v>
      </c>
      <c r="B148" s="16" t="s">
        <v>54</v>
      </c>
      <c r="C148" s="85" t="s">
        <v>57</v>
      </c>
      <c r="D148" s="16" t="s">
        <v>60</v>
      </c>
      <c r="E148" s="1" t="s">
        <v>6046</v>
      </c>
      <c r="F148" s="16" t="s">
        <v>61</v>
      </c>
      <c r="G148" s="85" t="s">
        <v>61</v>
      </c>
      <c r="H148" s="85" t="s">
        <v>79</v>
      </c>
      <c r="I148" s="9">
        <v>208964000</v>
      </c>
      <c r="J148" s="94"/>
      <c r="K148" s="312"/>
      <c r="L148" s="2"/>
      <c r="M148" s="40">
        <f t="shared" si="3"/>
        <v>208964000</v>
      </c>
      <c r="N148" s="1" t="s">
        <v>6047</v>
      </c>
      <c r="O148" s="1" t="s">
        <v>5961</v>
      </c>
      <c r="P148" s="1" t="s">
        <v>6048</v>
      </c>
      <c r="Q148" s="3">
        <v>45016</v>
      </c>
      <c r="R148" s="3">
        <v>45034</v>
      </c>
      <c r="S148" s="3">
        <v>45070</v>
      </c>
      <c r="T148" s="41" t="s">
        <v>612</v>
      </c>
      <c r="U148" s="3"/>
      <c r="V148" s="3"/>
      <c r="W148" s="236"/>
      <c r="X148" s="237">
        <v>104482000</v>
      </c>
      <c r="Y148" s="9">
        <f t="shared" si="0"/>
        <v>104482000</v>
      </c>
      <c r="Z148" s="34">
        <f t="shared" si="1"/>
        <v>0.5</v>
      </c>
      <c r="AA148" s="85">
        <v>15443332</v>
      </c>
      <c r="AB148" s="85" t="s">
        <v>5907</v>
      </c>
      <c r="AC148" s="85" t="s">
        <v>196</v>
      </c>
      <c r="AD148" s="85" t="s">
        <v>196</v>
      </c>
      <c r="AE148" s="236">
        <v>45027</v>
      </c>
      <c r="AF148" s="77" t="s">
        <v>6049</v>
      </c>
      <c r="AG148" s="85" t="s">
        <v>192</v>
      </c>
      <c r="AH148" s="85" t="s">
        <v>191</v>
      </c>
    </row>
    <row r="149" spans="1:34" s="4" customFormat="1" x14ac:dyDescent="0.25">
      <c r="A149" s="16">
        <v>891780111</v>
      </c>
      <c r="B149" s="16" t="s">
        <v>54</v>
      </c>
      <c r="C149" s="85" t="s">
        <v>57</v>
      </c>
      <c r="D149" s="16" t="s">
        <v>60</v>
      </c>
      <c r="E149" s="1" t="s">
        <v>6050</v>
      </c>
      <c r="F149" s="16" t="s">
        <v>61</v>
      </c>
      <c r="G149" s="85" t="s">
        <v>61</v>
      </c>
      <c r="H149" s="85" t="s">
        <v>79</v>
      </c>
      <c r="I149" s="9">
        <v>158198600</v>
      </c>
      <c r="J149" s="94"/>
      <c r="K149" s="312"/>
      <c r="L149" s="2"/>
      <c r="M149" s="40">
        <f t="shared" si="3"/>
        <v>158198600</v>
      </c>
      <c r="N149" s="1" t="s">
        <v>6007</v>
      </c>
      <c r="O149" s="1" t="s">
        <v>6008</v>
      </c>
      <c r="P149" s="1" t="s">
        <v>6051</v>
      </c>
      <c r="Q149" s="3">
        <v>45026</v>
      </c>
      <c r="R149" s="3">
        <v>45028</v>
      </c>
      <c r="S149" s="3">
        <v>45034</v>
      </c>
      <c r="T149" s="41" t="s">
        <v>612</v>
      </c>
      <c r="U149" s="3"/>
      <c r="V149" s="3"/>
      <c r="W149" s="236"/>
      <c r="X149" s="237">
        <v>158198600</v>
      </c>
      <c r="Y149" s="9">
        <f t="shared" si="0"/>
        <v>0</v>
      </c>
      <c r="Z149" s="34">
        <f t="shared" si="1"/>
        <v>1</v>
      </c>
      <c r="AA149" s="85">
        <v>57297693</v>
      </c>
      <c r="AB149" s="85" t="s">
        <v>5446</v>
      </c>
      <c r="AC149" s="85" t="s">
        <v>196</v>
      </c>
      <c r="AD149" s="85" t="s">
        <v>196</v>
      </c>
      <c r="AE149" s="236">
        <v>45028</v>
      </c>
      <c r="AF149" s="77" t="s">
        <v>6052</v>
      </c>
      <c r="AG149" s="85" t="s">
        <v>192</v>
      </c>
      <c r="AH149" s="85" t="s">
        <v>191</v>
      </c>
    </row>
    <row r="150" spans="1:34" s="43" customFormat="1" x14ac:dyDescent="0.25">
      <c r="A150" s="38">
        <v>891780111</v>
      </c>
      <c r="B150" s="38" t="s">
        <v>54</v>
      </c>
      <c r="C150" s="85" t="s">
        <v>57</v>
      </c>
      <c r="D150" s="38" t="s">
        <v>60</v>
      </c>
      <c r="E150" s="39" t="s">
        <v>6053</v>
      </c>
      <c r="F150" s="38" t="s">
        <v>61</v>
      </c>
      <c r="G150" s="85" t="s">
        <v>61</v>
      </c>
      <c r="H150" s="85" t="s">
        <v>79</v>
      </c>
      <c r="I150" s="36">
        <v>20237714</v>
      </c>
      <c r="J150" s="325"/>
      <c r="K150" s="328"/>
      <c r="L150" s="61"/>
      <c r="M150" s="40">
        <f t="shared" si="3"/>
        <v>20237714</v>
      </c>
      <c r="N150" s="39" t="s">
        <v>6054</v>
      </c>
      <c r="O150" s="39" t="s">
        <v>6055</v>
      </c>
      <c r="P150" s="39" t="s">
        <v>6056</v>
      </c>
      <c r="Q150" s="41">
        <v>45028</v>
      </c>
      <c r="R150" s="41">
        <v>45037</v>
      </c>
      <c r="S150" s="41">
        <v>45098</v>
      </c>
      <c r="T150" s="41" t="s">
        <v>612</v>
      </c>
      <c r="U150" s="41"/>
      <c r="V150" s="41"/>
      <c r="W150" s="236"/>
      <c r="X150" s="237">
        <v>10118857</v>
      </c>
      <c r="Y150" s="9">
        <f t="shared" si="0"/>
        <v>10118857</v>
      </c>
      <c r="Z150" s="37">
        <f t="shared" si="1"/>
        <v>0.5</v>
      </c>
      <c r="AA150" s="85">
        <v>72175282</v>
      </c>
      <c r="AB150" s="85" t="s">
        <v>5399</v>
      </c>
      <c r="AC150" s="85" t="s">
        <v>196</v>
      </c>
      <c r="AD150" s="85" t="s">
        <v>196</v>
      </c>
      <c r="AE150" s="236">
        <v>45035</v>
      </c>
      <c r="AF150" s="77" t="s">
        <v>6057</v>
      </c>
      <c r="AG150" s="85" t="s">
        <v>192</v>
      </c>
      <c r="AH150" s="85" t="s">
        <v>191</v>
      </c>
    </row>
    <row r="151" spans="1:34" s="4" customFormat="1" x14ac:dyDescent="0.25">
      <c r="A151" s="16">
        <v>891780111</v>
      </c>
      <c r="B151" s="16" t="s">
        <v>54</v>
      </c>
      <c r="C151" s="85" t="s">
        <v>57</v>
      </c>
      <c r="D151" s="16" t="s">
        <v>60</v>
      </c>
      <c r="E151" s="1" t="s">
        <v>6058</v>
      </c>
      <c r="F151" s="16" t="s">
        <v>61</v>
      </c>
      <c r="G151" s="85" t="s">
        <v>61</v>
      </c>
      <c r="H151" s="85" t="s">
        <v>79</v>
      </c>
      <c r="I151" s="9">
        <v>5140800</v>
      </c>
      <c r="J151" s="94"/>
      <c r="K151" s="312"/>
      <c r="L151" s="2"/>
      <c r="M151" s="40">
        <f t="shared" si="3"/>
        <v>5140800</v>
      </c>
      <c r="N151" s="1" t="s">
        <v>6059</v>
      </c>
      <c r="O151" s="1" t="s">
        <v>6060</v>
      </c>
      <c r="P151" s="1" t="s">
        <v>6061</v>
      </c>
      <c r="Q151" s="3">
        <v>45030</v>
      </c>
      <c r="R151" s="3">
        <v>45030</v>
      </c>
      <c r="S151" s="3">
        <v>45051</v>
      </c>
      <c r="T151" s="41" t="s">
        <v>612</v>
      </c>
      <c r="U151" s="3"/>
      <c r="V151" s="3"/>
      <c r="W151" s="236"/>
      <c r="X151" s="237">
        <v>5140800</v>
      </c>
      <c r="Y151" s="9">
        <f t="shared" si="0"/>
        <v>0</v>
      </c>
      <c r="Z151" s="34">
        <f t="shared" si="1"/>
        <v>1</v>
      </c>
      <c r="AA151" s="85">
        <v>36665858</v>
      </c>
      <c r="AB151" s="85" t="s">
        <v>5707</v>
      </c>
      <c r="AC151" s="85" t="s">
        <v>196</v>
      </c>
      <c r="AD151" s="85" t="s">
        <v>196</v>
      </c>
      <c r="AE151" s="236"/>
      <c r="AF151" s="77" t="s">
        <v>6062</v>
      </c>
      <c r="AG151" s="85" t="s">
        <v>192</v>
      </c>
      <c r="AH151" s="85" t="s">
        <v>191</v>
      </c>
    </row>
    <row r="152" spans="1:34" s="43" customFormat="1" x14ac:dyDescent="0.25">
      <c r="A152" s="38">
        <v>891780111</v>
      </c>
      <c r="B152" s="38" t="s">
        <v>54</v>
      </c>
      <c r="C152" s="85" t="s">
        <v>57</v>
      </c>
      <c r="D152" s="38" t="s">
        <v>60</v>
      </c>
      <c r="E152" s="39" t="s">
        <v>6063</v>
      </c>
      <c r="F152" s="38" t="s">
        <v>61</v>
      </c>
      <c r="G152" s="85" t="s">
        <v>61</v>
      </c>
      <c r="H152" s="85" t="s">
        <v>79</v>
      </c>
      <c r="I152" s="36">
        <v>13880636</v>
      </c>
      <c r="J152" s="325"/>
      <c r="K152" s="328"/>
      <c r="L152" s="61"/>
      <c r="M152" s="40">
        <f t="shared" si="3"/>
        <v>13880636</v>
      </c>
      <c r="N152" s="39" t="s">
        <v>6064</v>
      </c>
      <c r="O152" s="39" t="s">
        <v>6065</v>
      </c>
      <c r="P152" s="39" t="s">
        <v>6066</v>
      </c>
      <c r="Q152" s="41">
        <v>45030</v>
      </c>
      <c r="R152" s="41">
        <v>45030</v>
      </c>
      <c r="S152" s="41">
        <v>45041</v>
      </c>
      <c r="T152" s="41" t="s">
        <v>612</v>
      </c>
      <c r="U152" s="41"/>
      <c r="V152" s="41"/>
      <c r="W152" s="236"/>
      <c r="X152" s="237">
        <v>13880635.99</v>
      </c>
      <c r="Y152" s="9">
        <f t="shared" si="0"/>
        <v>9.9999997764825821E-3</v>
      </c>
      <c r="Z152" s="37">
        <f t="shared" si="1"/>
        <v>0.99999999927957195</v>
      </c>
      <c r="AA152" s="85">
        <v>36665858</v>
      </c>
      <c r="AB152" s="85" t="s">
        <v>5707</v>
      </c>
      <c r="AC152" s="85" t="s">
        <v>196</v>
      </c>
      <c r="AD152" s="85" t="s">
        <v>196</v>
      </c>
      <c r="AE152" s="236"/>
      <c r="AF152" s="77" t="s">
        <v>6067</v>
      </c>
      <c r="AG152" s="85" t="s">
        <v>192</v>
      </c>
      <c r="AH152" s="85" t="s">
        <v>191</v>
      </c>
    </row>
    <row r="153" spans="1:34" s="4" customFormat="1" x14ac:dyDescent="0.25">
      <c r="A153" s="16">
        <v>891780111</v>
      </c>
      <c r="B153" s="16" t="s">
        <v>54</v>
      </c>
      <c r="C153" s="85" t="s">
        <v>57</v>
      </c>
      <c r="D153" s="16" t="s">
        <v>60</v>
      </c>
      <c r="E153" s="1" t="s">
        <v>6068</v>
      </c>
      <c r="F153" s="16" t="s">
        <v>61</v>
      </c>
      <c r="G153" s="85" t="s">
        <v>61</v>
      </c>
      <c r="H153" s="85" t="s">
        <v>79</v>
      </c>
      <c r="I153" s="9">
        <v>165598734</v>
      </c>
      <c r="J153" s="94"/>
      <c r="K153" s="312"/>
      <c r="L153" s="2"/>
      <c r="M153" s="40">
        <f t="shared" si="3"/>
        <v>165598734</v>
      </c>
      <c r="N153" s="1" t="s">
        <v>6069</v>
      </c>
      <c r="O153" s="1" t="s">
        <v>6070</v>
      </c>
      <c r="P153" s="1" t="s">
        <v>6071</v>
      </c>
      <c r="Q153" s="3">
        <v>45037</v>
      </c>
      <c r="R153" s="3">
        <v>45055</v>
      </c>
      <c r="S153" s="3">
        <v>45114</v>
      </c>
      <c r="T153" s="41" t="s">
        <v>192</v>
      </c>
      <c r="U153" s="3">
        <v>45114</v>
      </c>
      <c r="V153" s="3">
        <v>45131</v>
      </c>
      <c r="W153" s="236"/>
      <c r="X153" s="237">
        <v>82799367</v>
      </c>
      <c r="Y153" s="9">
        <f t="shared" si="0"/>
        <v>82799367</v>
      </c>
      <c r="Z153" s="34">
        <f t="shared" si="1"/>
        <v>0.5</v>
      </c>
      <c r="AA153" s="85">
        <v>15443332</v>
      </c>
      <c r="AB153" s="85" t="s">
        <v>5907</v>
      </c>
      <c r="AC153" s="85" t="s">
        <v>192</v>
      </c>
      <c r="AD153" s="85" t="s">
        <v>196</v>
      </c>
      <c r="AE153" s="236">
        <v>45048</v>
      </c>
      <c r="AF153" s="77" t="s">
        <v>6072</v>
      </c>
      <c r="AG153" s="85" t="s">
        <v>192</v>
      </c>
      <c r="AH153" s="85" t="s">
        <v>191</v>
      </c>
    </row>
    <row r="154" spans="1:34" s="4" customFormat="1" x14ac:dyDescent="0.25">
      <c r="A154" s="16">
        <v>891780111</v>
      </c>
      <c r="B154" s="16" t="s">
        <v>54</v>
      </c>
      <c r="C154" s="85" t="s">
        <v>57</v>
      </c>
      <c r="D154" s="16" t="s">
        <v>60</v>
      </c>
      <c r="E154" s="1" t="s">
        <v>6073</v>
      </c>
      <c r="F154" s="16" t="s">
        <v>61</v>
      </c>
      <c r="G154" s="85" t="s">
        <v>61</v>
      </c>
      <c r="H154" s="85" t="s">
        <v>79</v>
      </c>
      <c r="I154" s="9">
        <v>289151079</v>
      </c>
      <c r="J154" s="94"/>
      <c r="K154" s="312"/>
      <c r="L154" s="2"/>
      <c r="M154" s="40">
        <f t="shared" si="3"/>
        <v>289151079</v>
      </c>
      <c r="N154" s="1" t="s">
        <v>6074</v>
      </c>
      <c r="O154" s="1" t="s">
        <v>6075</v>
      </c>
      <c r="P154" s="1" t="s">
        <v>6076</v>
      </c>
      <c r="Q154" s="3">
        <v>45037</v>
      </c>
      <c r="R154" s="3">
        <v>45037</v>
      </c>
      <c r="S154" s="3">
        <v>45051</v>
      </c>
      <c r="T154" s="41" t="s">
        <v>612</v>
      </c>
      <c r="U154" s="3"/>
      <c r="V154" s="3"/>
      <c r="W154" s="236"/>
      <c r="X154" s="237">
        <v>289151079</v>
      </c>
      <c r="Y154" s="9">
        <f t="shared" si="0"/>
        <v>0</v>
      </c>
      <c r="Z154" s="34">
        <f t="shared" si="1"/>
        <v>1</v>
      </c>
      <c r="AA154" s="85">
        <v>85459497</v>
      </c>
      <c r="AB154" s="85" t="s">
        <v>4837</v>
      </c>
      <c r="AC154" s="85" t="s">
        <v>196</v>
      </c>
      <c r="AD154" s="85" t="s">
        <v>196</v>
      </c>
      <c r="AE154" s="236">
        <v>45037</v>
      </c>
      <c r="AF154" s="77" t="s">
        <v>6072</v>
      </c>
      <c r="AG154" s="85" t="s">
        <v>192</v>
      </c>
      <c r="AH154" s="85" t="s">
        <v>191</v>
      </c>
    </row>
    <row r="155" spans="1:34" s="4" customFormat="1" x14ac:dyDescent="0.2">
      <c r="A155" s="16">
        <v>891780111</v>
      </c>
      <c r="B155" s="16" t="s">
        <v>54</v>
      </c>
      <c r="C155" s="85" t="s">
        <v>56</v>
      </c>
      <c r="D155" s="16" t="s">
        <v>60</v>
      </c>
      <c r="E155" s="1" t="s">
        <v>6077</v>
      </c>
      <c r="F155" s="16" t="s">
        <v>61</v>
      </c>
      <c r="G155" s="85" t="s">
        <v>61</v>
      </c>
      <c r="H155" s="85" t="s">
        <v>79</v>
      </c>
      <c r="I155" s="9">
        <v>34184824</v>
      </c>
      <c r="J155" s="94"/>
      <c r="K155" s="312"/>
      <c r="L155" s="2"/>
      <c r="M155" s="40">
        <f t="shared" si="3"/>
        <v>34184824</v>
      </c>
      <c r="N155" s="1" t="s">
        <v>6078</v>
      </c>
      <c r="O155" s="1" t="s">
        <v>6079</v>
      </c>
      <c r="P155" s="1" t="s">
        <v>6080</v>
      </c>
      <c r="Q155" s="3">
        <v>45048</v>
      </c>
      <c r="R155" s="3">
        <v>45048</v>
      </c>
      <c r="S155" s="3">
        <v>45091</v>
      </c>
      <c r="T155" s="41" t="s">
        <v>612</v>
      </c>
      <c r="U155" s="3"/>
      <c r="V155" s="3"/>
      <c r="W155" s="236"/>
      <c r="X155" s="237">
        <v>34184824</v>
      </c>
      <c r="Y155" s="9">
        <f t="shared" si="0"/>
        <v>0</v>
      </c>
      <c r="Z155" s="34">
        <f t="shared" si="1"/>
        <v>1</v>
      </c>
      <c r="AA155" s="85">
        <v>57297693</v>
      </c>
      <c r="AB155" s="85" t="s">
        <v>5446</v>
      </c>
      <c r="AC155" s="85" t="s">
        <v>196</v>
      </c>
      <c r="AD155" s="85" t="s">
        <v>196</v>
      </c>
      <c r="AE155" s="236"/>
      <c r="AF155" s="216" t="s">
        <v>6081</v>
      </c>
      <c r="AG155" s="85" t="s">
        <v>192</v>
      </c>
      <c r="AH155" s="85" t="s">
        <v>191</v>
      </c>
    </row>
    <row r="156" spans="1:34" s="4" customFormat="1" x14ac:dyDescent="0.2">
      <c r="A156" s="16">
        <v>891780111</v>
      </c>
      <c r="B156" s="16" t="s">
        <v>54</v>
      </c>
      <c r="C156" s="85" t="s">
        <v>56</v>
      </c>
      <c r="D156" s="16" t="s">
        <v>60</v>
      </c>
      <c r="E156" s="1" t="s">
        <v>6082</v>
      </c>
      <c r="F156" s="16" t="s">
        <v>61</v>
      </c>
      <c r="G156" s="85" t="s">
        <v>61</v>
      </c>
      <c r="H156" s="85" t="s">
        <v>79</v>
      </c>
      <c r="I156" s="9">
        <v>60423858</v>
      </c>
      <c r="J156" s="94"/>
      <c r="K156" s="312"/>
      <c r="L156" s="2"/>
      <c r="M156" s="40">
        <f t="shared" si="3"/>
        <v>60423858</v>
      </c>
      <c r="N156" s="1" t="s">
        <v>6083</v>
      </c>
      <c r="O156" s="1" t="s">
        <v>6084</v>
      </c>
      <c r="P156" s="1" t="s">
        <v>6085</v>
      </c>
      <c r="Q156" s="3">
        <v>45048</v>
      </c>
      <c r="R156" s="3">
        <v>45075</v>
      </c>
      <c r="S156" s="3">
        <v>45208</v>
      </c>
      <c r="T156" s="41" t="s">
        <v>612</v>
      </c>
      <c r="U156" s="3"/>
      <c r="V156" s="3"/>
      <c r="W156" s="236"/>
      <c r="X156" s="237">
        <v>0</v>
      </c>
      <c r="Y156" s="9">
        <f t="shared" si="0"/>
        <v>60423858</v>
      </c>
      <c r="Z156" s="34">
        <f t="shared" si="1"/>
        <v>0</v>
      </c>
      <c r="AA156" s="85">
        <v>57297693</v>
      </c>
      <c r="AB156" s="85" t="s">
        <v>5446</v>
      </c>
      <c r="AC156" s="85" t="s">
        <v>196</v>
      </c>
      <c r="AD156" s="85" t="s">
        <v>196</v>
      </c>
      <c r="AE156" s="236">
        <v>45075</v>
      </c>
      <c r="AF156" s="216" t="s">
        <v>6086</v>
      </c>
      <c r="AG156" s="85" t="s">
        <v>192</v>
      </c>
      <c r="AH156" s="85" t="s">
        <v>191</v>
      </c>
    </row>
    <row r="157" spans="1:34" s="4" customFormat="1" ht="19.149999999999999" customHeight="1" x14ac:dyDescent="0.2">
      <c r="A157" s="16">
        <v>891780111</v>
      </c>
      <c r="B157" s="16" t="s">
        <v>54</v>
      </c>
      <c r="C157" s="85" t="s">
        <v>57</v>
      </c>
      <c r="D157" s="16" t="s">
        <v>60</v>
      </c>
      <c r="E157" s="1" t="s">
        <v>6087</v>
      </c>
      <c r="F157" s="16" t="s">
        <v>61</v>
      </c>
      <c r="G157" s="85" t="s">
        <v>61</v>
      </c>
      <c r="H157" s="85" t="s">
        <v>79</v>
      </c>
      <c r="I157" s="9">
        <v>19346745</v>
      </c>
      <c r="J157" s="94"/>
      <c r="K157" s="312"/>
      <c r="L157" s="2"/>
      <c r="M157" s="40">
        <f t="shared" si="3"/>
        <v>19346745</v>
      </c>
      <c r="N157" s="1" t="s">
        <v>5910</v>
      </c>
      <c r="O157" s="1" t="s">
        <v>6088</v>
      </c>
      <c r="P157" s="1" t="s">
        <v>6089</v>
      </c>
      <c r="Q157" s="3">
        <v>45054</v>
      </c>
      <c r="R157" s="3">
        <v>45054</v>
      </c>
      <c r="S157" s="3">
        <v>45068</v>
      </c>
      <c r="T157" s="41" t="s">
        <v>612</v>
      </c>
      <c r="U157" s="3"/>
      <c r="V157" s="3"/>
      <c r="W157" s="236"/>
      <c r="X157" s="237">
        <v>19346744.870000001</v>
      </c>
      <c r="Y157" s="9">
        <f t="shared" si="0"/>
        <v>0.12999999895691872</v>
      </c>
      <c r="Z157" s="34">
        <f t="shared" si="1"/>
        <v>0.99999999328052347</v>
      </c>
      <c r="AA157" s="85">
        <v>15443332</v>
      </c>
      <c r="AB157" s="85" t="s">
        <v>5907</v>
      </c>
      <c r="AC157" s="85" t="s">
        <v>196</v>
      </c>
      <c r="AD157" s="85" t="s">
        <v>196</v>
      </c>
      <c r="AE157" s="236">
        <v>45054</v>
      </c>
      <c r="AF157" s="216" t="s">
        <v>6090</v>
      </c>
      <c r="AG157" s="85" t="s">
        <v>192</v>
      </c>
      <c r="AH157" s="85" t="s">
        <v>191</v>
      </c>
    </row>
    <row r="158" spans="1:34" s="43" customFormat="1" x14ac:dyDescent="0.2">
      <c r="A158" s="38">
        <v>891780111</v>
      </c>
      <c r="B158" s="38" t="s">
        <v>54</v>
      </c>
      <c r="C158" s="85" t="s">
        <v>57</v>
      </c>
      <c r="D158" s="38" t="s">
        <v>60</v>
      </c>
      <c r="E158" s="39" t="s">
        <v>6091</v>
      </c>
      <c r="F158" s="38" t="s">
        <v>61</v>
      </c>
      <c r="G158" s="85" t="s">
        <v>61</v>
      </c>
      <c r="H158" s="85" t="s">
        <v>79</v>
      </c>
      <c r="I158" s="36">
        <v>281316000</v>
      </c>
      <c r="J158" s="325"/>
      <c r="K158" s="328"/>
      <c r="L158" s="61"/>
      <c r="M158" s="40">
        <f t="shared" si="3"/>
        <v>281316000</v>
      </c>
      <c r="N158" s="39" t="s">
        <v>5882</v>
      </c>
      <c r="O158" s="39" t="s">
        <v>6092</v>
      </c>
      <c r="P158" s="39" t="s">
        <v>6093</v>
      </c>
      <c r="Q158" s="41">
        <v>45055</v>
      </c>
      <c r="R158" s="41">
        <v>45062</v>
      </c>
      <c r="S158" s="41">
        <v>45076</v>
      </c>
      <c r="T158" s="41" t="s">
        <v>612</v>
      </c>
      <c r="U158" s="41"/>
      <c r="V158" s="41"/>
      <c r="W158" s="236"/>
      <c r="X158" s="237">
        <v>281316000</v>
      </c>
      <c r="Y158" s="9">
        <f t="shared" si="0"/>
        <v>0</v>
      </c>
      <c r="Z158" s="37">
        <f t="shared" si="1"/>
        <v>1</v>
      </c>
      <c r="AA158" s="85">
        <v>85465146</v>
      </c>
      <c r="AB158" s="85" t="s">
        <v>4857</v>
      </c>
      <c r="AC158" s="85" t="s">
        <v>192</v>
      </c>
      <c r="AD158" s="85" t="s">
        <v>196</v>
      </c>
      <c r="AE158" s="236">
        <v>45056</v>
      </c>
      <c r="AF158" s="216" t="s">
        <v>6094</v>
      </c>
      <c r="AG158" s="85" t="s">
        <v>192</v>
      </c>
      <c r="AH158" s="85" t="s">
        <v>191</v>
      </c>
    </row>
    <row r="159" spans="1:34" s="4" customFormat="1" x14ac:dyDescent="0.2">
      <c r="A159" s="16">
        <v>891780111</v>
      </c>
      <c r="B159" s="16" t="s">
        <v>54</v>
      </c>
      <c r="C159" s="85" t="s">
        <v>56</v>
      </c>
      <c r="D159" s="16" t="s">
        <v>60</v>
      </c>
      <c r="E159" s="1" t="s">
        <v>6095</v>
      </c>
      <c r="F159" s="16" t="s">
        <v>61</v>
      </c>
      <c r="G159" s="85" t="s">
        <v>61</v>
      </c>
      <c r="H159" s="85" t="s">
        <v>79</v>
      </c>
      <c r="I159" s="9">
        <v>22868230</v>
      </c>
      <c r="J159" s="94"/>
      <c r="K159" s="312"/>
      <c r="L159" s="2"/>
      <c r="M159" s="40">
        <f t="shared" si="3"/>
        <v>22868230</v>
      </c>
      <c r="N159" s="1" t="s">
        <v>5730</v>
      </c>
      <c r="O159" s="1" t="s">
        <v>6096</v>
      </c>
      <c r="P159" s="1" t="s">
        <v>6097</v>
      </c>
      <c r="Q159" s="3">
        <v>45071</v>
      </c>
      <c r="R159" s="3">
        <v>45071</v>
      </c>
      <c r="S159" s="3">
        <v>45100</v>
      </c>
      <c r="T159" s="41" t="s">
        <v>612</v>
      </c>
      <c r="U159" s="3"/>
      <c r="V159" s="3"/>
      <c r="W159" s="236"/>
      <c r="X159" s="237">
        <v>22868230</v>
      </c>
      <c r="Y159" s="9">
        <f t="shared" si="0"/>
        <v>0</v>
      </c>
      <c r="Z159" s="34">
        <f t="shared" si="1"/>
        <v>1</v>
      </c>
      <c r="AA159" s="85">
        <v>36665858</v>
      </c>
      <c r="AB159" s="85" t="s">
        <v>5707</v>
      </c>
      <c r="AC159" s="85" t="s">
        <v>196</v>
      </c>
      <c r="AD159" s="85" t="s">
        <v>196</v>
      </c>
      <c r="AE159" s="236"/>
      <c r="AF159" s="216" t="s">
        <v>6098</v>
      </c>
      <c r="AG159" s="85" t="s">
        <v>192</v>
      </c>
      <c r="AH159" s="85" t="s">
        <v>191</v>
      </c>
    </row>
    <row r="160" spans="1:34" s="4" customFormat="1" x14ac:dyDescent="0.2">
      <c r="A160" s="16">
        <v>891780111</v>
      </c>
      <c r="B160" s="16" t="s">
        <v>54</v>
      </c>
      <c r="C160" s="85" t="s">
        <v>57</v>
      </c>
      <c r="D160" s="16" t="s">
        <v>60</v>
      </c>
      <c r="E160" s="1" t="s">
        <v>6099</v>
      </c>
      <c r="F160" s="16" t="s">
        <v>61</v>
      </c>
      <c r="G160" s="85" t="s">
        <v>61</v>
      </c>
      <c r="H160" s="85" t="s">
        <v>79</v>
      </c>
      <c r="I160" s="9">
        <v>6961500</v>
      </c>
      <c r="J160" s="94"/>
      <c r="K160" s="312"/>
      <c r="L160" s="2"/>
      <c r="M160" s="40">
        <f t="shared" si="3"/>
        <v>6961500</v>
      </c>
      <c r="N160" s="1" t="s">
        <v>6100</v>
      </c>
      <c r="O160" s="1" t="s">
        <v>6101</v>
      </c>
      <c r="P160" s="1" t="s">
        <v>6102</v>
      </c>
      <c r="Q160" s="3">
        <v>45075</v>
      </c>
      <c r="R160" s="3">
        <v>45075</v>
      </c>
      <c r="S160" s="3">
        <v>45078</v>
      </c>
      <c r="T160" s="41" t="s">
        <v>612</v>
      </c>
      <c r="U160" s="3"/>
      <c r="V160" s="3"/>
      <c r="W160" s="236"/>
      <c r="X160" s="237">
        <v>6648525</v>
      </c>
      <c r="Y160" s="9">
        <f t="shared" si="0"/>
        <v>312975</v>
      </c>
      <c r="Z160" s="34">
        <f t="shared" si="1"/>
        <v>0.95504201680672274</v>
      </c>
      <c r="AA160" s="85">
        <v>36665858</v>
      </c>
      <c r="AB160" s="85" t="s">
        <v>5707</v>
      </c>
      <c r="AC160" s="85" t="s">
        <v>196</v>
      </c>
      <c r="AD160" s="85" t="s">
        <v>196</v>
      </c>
      <c r="AE160" s="236"/>
      <c r="AF160" s="216" t="s">
        <v>6103</v>
      </c>
      <c r="AG160" s="85" t="s">
        <v>192</v>
      </c>
      <c r="AH160" s="85" t="s">
        <v>191</v>
      </c>
    </row>
    <row r="161" spans="1:34" s="4" customFormat="1" x14ac:dyDescent="0.2">
      <c r="A161" s="16">
        <v>891780111</v>
      </c>
      <c r="B161" s="16" t="s">
        <v>54</v>
      </c>
      <c r="C161" s="85" t="s">
        <v>56</v>
      </c>
      <c r="D161" s="16" t="s">
        <v>60</v>
      </c>
      <c r="E161" s="1" t="s">
        <v>6104</v>
      </c>
      <c r="F161" s="16" t="s">
        <v>61</v>
      </c>
      <c r="G161" s="85" t="s">
        <v>61</v>
      </c>
      <c r="H161" s="85" t="s">
        <v>79</v>
      </c>
      <c r="I161" s="9">
        <v>23093073</v>
      </c>
      <c r="J161" s="94"/>
      <c r="K161" s="312"/>
      <c r="L161" s="2"/>
      <c r="M161" s="40">
        <f t="shared" si="3"/>
        <v>23093073</v>
      </c>
      <c r="N161" s="1" t="s">
        <v>6105</v>
      </c>
      <c r="O161" s="1" t="s">
        <v>6106</v>
      </c>
      <c r="P161" s="1" t="s">
        <v>6107</v>
      </c>
      <c r="Q161" s="3">
        <v>45078</v>
      </c>
      <c r="R161" s="3">
        <v>45078</v>
      </c>
      <c r="S161" s="3">
        <v>45107</v>
      </c>
      <c r="T161" s="41" t="s">
        <v>612</v>
      </c>
      <c r="U161" s="3"/>
      <c r="V161" s="3"/>
      <c r="W161" s="236"/>
      <c r="X161" s="237">
        <v>0</v>
      </c>
      <c r="Y161" s="9">
        <f t="shared" si="0"/>
        <v>23093073</v>
      </c>
      <c r="Z161" s="34">
        <f t="shared" si="1"/>
        <v>0</v>
      </c>
      <c r="AA161" s="85">
        <v>7633815</v>
      </c>
      <c r="AB161" s="85" t="s">
        <v>5425</v>
      </c>
      <c r="AC161" s="85" t="s">
        <v>196</v>
      </c>
      <c r="AD161" s="85" t="s">
        <v>196</v>
      </c>
      <c r="AE161" s="236"/>
      <c r="AF161" s="216" t="s">
        <v>6108</v>
      </c>
      <c r="AG161" s="85" t="s">
        <v>192</v>
      </c>
      <c r="AH161" s="85" t="s">
        <v>191</v>
      </c>
    </row>
    <row r="162" spans="1:34" s="4" customFormat="1" x14ac:dyDescent="0.2">
      <c r="A162" s="38">
        <v>891780111</v>
      </c>
      <c r="B162" s="38" t="s">
        <v>54</v>
      </c>
      <c r="C162" s="85" t="s">
        <v>57</v>
      </c>
      <c r="D162" s="16" t="s">
        <v>60</v>
      </c>
      <c r="E162" s="1" t="s">
        <v>6109</v>
      </c>
      <c r="F162" s="38" t="s">
        <v>61</v>
      </c>
      <c r="G162" s="85" t="s">
        <v>61</v>
      </c>
      <c r="H162" s="85" t="s">
        <v>79</v>
      </c>
      <c r="I162" s="9">
        <v>3766350</v>
      </c>
      <c r="J162" s="94"/>
      <c r="K162" s="312"/>
      <c r="L162" s="2"/>
      <c r="M162" s="40">
        <f t="shared" si="3"/>
        <v>3766350</v>
      </c>
      <c r="N162" s="1" t="s">
        <v>6029</v>
      </c>
      <c r="O162" s="1" t="s">
        <v>6030</v>
      </c>
      <c r="P162" s="1" t="s">
        <v>6110</v>
      </c>
      <c r="Q162" s="3">
        <v>45079</v>
      </c>
      <c r="R162" s="3">
        <v>45079</v>
      </c>
      <c r="S162" s="3">
        <v>45085</v>
      </c>
      <c r="T162" s="41" t="s">
        <v>612</v>
      </c>
      <c r="U162" s="3"/>
      <c r="V162" s="3"/>
      <c r="W162" s="236"/>
      <c r="X162" s="237">
        <v>3766350</v>
      </c>
      <c r="Y162" s="9">
        <f t="shared" si="0"/>
        <v>0</v>
      </c>
      <c r="Z162" s="34">
        <f t="shared" si="1"/>
        <v>1</v>
      </c>
      <c r="AA162" s="1">
        <v>57297693</v>
      </c>
      <c r="AB162" s="1" t="s">
        <v>5446</v>
      </c>
      <c r="AC162" s="85" t="s">
        <v>196</v>
      </c>
      <c r="AD162" s="85" t="s">
        <v>196</v>
      </c>
      <c r="AE162" s="236"/>
      <c r="AF162" s="216" t="s">
        <v>6111</v>
      </c>
      <c r="AG162" s="85" t="s">
        <v>192</v>
      </c>
      <c r="AH162" s="85" t="s">
        <v>191</v>
      </c>
    </row>
    <row r="163" spans="1:34" s="4" customFormat="1" x14ac:dyDescent="0.2">
      <c r="A163" s="16">
        <v>891780111</v>
      </c>
      <c r="B163" s="16" t="s">
        <v>54</v>
      </c>
      <c r="C163" s="85" t="s">
        <v>57</v>
      </c>
      <c r="D163" s="16" t="s">
        <v>60</v>
      </c>
      <c r="E163" s="1" t="s">
        <v>6112</v>
      </c>
      <c r="F163" s="16" t="s">
        <v>61</v>
      </c>
      <c r="G163" s="85" t="s">
        <v>61</v>
      </c>
      <c r="H163" s="85" t="s">
        <v>79</v>
      </c>
      <c r="I163" s="9">
        <v>7000000</v>
      </c>
      <c r="J163" s="94"/>
      <c r="K163" s="312"/>
      <c r="L163" s="2"/>
      <c r="M163" s="40">
        <f t="shared" si="3"/>
        <v>7000000</v>
      </c>
      <c r="N163" s="1" t="s">
        <v>6113</v>
      </c>
      <c r="O163" s="1" t="s">
        <v>6114</v>
      </c>
      <c r="P163" s="1" t="s">
        <v>6115</v>
      </c>
      <c r="Q163" s="3">
        <v>45085</v>
      </c>
      <c r="R163" s="3">
        <v>45086</v>
      </c>
      <c r="S163" s="3">
        <v>45086</v>
      </c>
      <c r="T163" s="41" t="s">
        <v>612</v>
      </c>
      <c r="U163" s="3"/>
      <c r="V163" s="3"/>
      <c r="W163" s="236"/>
      <c r="X163" s="237">
        <v>7000000</v>
      </c>
      <c r="Y163" s="9">
        <f t="shared" si="0"/>
        <v>0</v>
      </c>
      <c r="Z163" s="34">
        <f t="shared" si="1"/>
        <v>1</v>
      </c>
      <c r="AA163" s="85">
        <v>85152695</v>
      </c>
      <c r="AB163" s="85" t="s">
        <v>4890</v>
      </c>
      <c r="AC163" s="85" t="s">
        <v>196</v>
      </c>
      <c r="AD163" s="85" t="s">
        <v>196</v>
      </c>
      <c r="AE163" s="236"/>
      <c r="AF163" s="216" t="s">
        <v>6116</v>
      </c>
      <c r="AG163" s="85" t="s">
        <v>192</v>
      </c>
      <c r="AH163" s="85" t="s">
        <v>191</v>
      </c>
    </row>
    <row r="164" spans="1:34" s="4" customFormat="1" x14ac:dyDescent="0.2">
      <c r="A164" s="16">
        <v>891780111</v>
      </c>
      <c r="B164" s="16" t="s">
        <v>54</v>
      </c>
      <c r="C164" s="85" t="s">
        <v>57</v>
      </c>
      <c r="D164" s="16" t="s">
        <v>60</v>
      </c>
      <c r="E164" s="1" t="s">
        <v>6117</v>
      </c>
      <c r="F164" s="16" t="s">
        <v>61</v>
      </c>
      <c r="G164" s="85" t="s">
        <v>61</v>
      </c>
      <c r="H164" s="85" t="s">
        <v>79</v>
      </c>
      <c r="I164" s="9">
        <v>54782000</v>
      </c>
      <c r="J164" s="94"/>
      <c r="K164" s="312"/>
      <c r="L164" s="2"/>
      <c r="M164" s="40">
        <f t="shared" si="3"/>
        <v>54782000</v>
      </c>
      <c r="N164" s="1" t="s">
        <v>6118</v>
      </c>
      <c r="O164" s="1" t="s">
        <v>6119</v>
      </c>
      <c r="P164" s="1" t="s">
        <v>6120</v>
      </c>
      <c r="Q164" s="3">
        <v>45085</v>
      </c>
      <c r="R164" s="3">
        <v>45085</v>
      </c>
      <c r="S164" s="3">
        <v>45086</v>
      </c>
      <c r="T164" s="41" t="s">
        <v>612</v>
      </c>
      <c r="U164" s="3"/>
      <c r="V164" s="3"/>
      <c r="W164" s="236"/>
      <c r="X164" s="237">
        <v>0</v>
      </c>
      <c r="Y164" s="9">
        <f t="shared" si="0"/>
        <v>54782000</v>
      </c>
      <c r="Z164" s="34">
        <f t="shared" si="1"/>
        <v>0</v>
      </c>
      <c r="AA164" s="85">
        <v>36564011</v>
      </c>
      <c r="AB164" s="85" t="s">
        <v>6121</v>
      </c>
      <c r="AC164" s="85" t="s">
        <v>196</v>
      </c>
      <c r="AD164" s="85" t="s">
        <v>196</v>
      </c>
      <c r="AE164" s="236"/>
      <c r="AF164" s="216" t="s">
        <v>6122</v>
      </c>
      <c r="AG164" s="85" t="s">
        <v>192</v>
      </c>
      <c r="AH164" s="85" t="s">
        <v>191</v>
      </c>
    </row>
    <row r="165" spans="1:34" s="4" customFormat="1" x14ac:dyDescent="0.2">
      <c r="A165" s="16">
        <v>891780111</v>
      </c>
      <c r="B165" s="16" t="s">
        <v>54</v>
      </c>
      <c r="C165" s="85" t="s">
        <v>56</v>
      </c>
      <c r="D165" s="16" t="s">
        <v>60</v>
      </c>
      <c r="E165" s="1" t="s">
        <v>6123</v>
      </c>
      <c r="F165" s="38" t="s">
        <v>61</v>
      </c>
      <c r="G165" s="85" t="s">
        <v>61</v>
      </c>
      <c r="H165" s="85" t="s">
        <v>79</v>
      </c>
      <c r="I165" s="9">
        <v>13607983</v>
      </c>
      <c r="J165" s="94"/>
      <c r="K165" s="312"/>
      <c r="L165" s="2"/>
      <c r="M165" s="40">
        <f t="shared" si="3"/>
        <v>13607983</v>
      </c>
      <c r="N165" s="1" t="s">
        <v>6124</v>
      </c>
      <c r="O165" s="1" t="s">
        <v>6125</v>
      </c>
      <c r="P165" s="1" t="s">
        <v>6126</v>
      </c>
      <c r="Q165" s="3">
        <v>45091</v>
      </c>
      <c r="R165" s="3">
        <v>45091</v>
      </c>
      <c r="S165" s="3">
        <v>45100</v>
      </c>
      <c r="T165" s="41" t="s">
        <v>612</v>
      </c>
      <c r="U165" s="3"/>
      <c r="V165" s="3"/>
      <c r="W165" s="236"/>
      <c r="X165" s="237">
        <v>13607983</v>
      </c>
      <c r="Y165" s="9">
        <f t="shared" si="0"/>
        <v>0</v>
      </c>
      <c r="Z165" s="34">
        <f t="shared" si="1"/>
        <v>1</v>
      </c>
      <c r="AA165" s="85">
        <v>57461757</v>
      </c>
      <c r="AB165" s="85" t="s">
        <v>5990</v>
      </c>
      <c r="AC165" s="85" t="s">
        <v>196</v>
      </c>
      <c r="AD165" s="85" t="s">
        <v>196</v>
      </c>
      <c r="AE165" s="236"/>
      <c r="AF165" s="216" t="s">
        <v>6127</v>
      </c>
      <c r="AG165" s="85" t="s">
        <v>192</v>
      </c>
      <c r="AH165" s="85" t="s">
        <v>191</v>
      </c>
    </row>
    <row r="166" spans="1:34" s="4" customFormat="1" x14ac:dyDescent="0.2">
      <c r="A166" s="16">
        <v>891780111</v>
      </c>
      <c r="B166" s="16" t="s">
        <v>54</v>
      </c>
      <c r="C166" s="85" t="s">
        <v>56</v>
      </c>
      <c r="D166" s="16" t="s">
        <v>60</v>
      </c>
      <c r="E166" s="1" t="s">
        <v>6128</v>
      </c>
      <c r="F166" s="16" t="s">
        <v>61</v>
      </c>
      <c r="G166" s="85" t="s">
        <v>61</v>
      </c>
      <c r="H166" s="85" t="s">
        <v>79</v>
      </c>
      <c r="I166" s="9">
        <v>1120000</v>
      </c>
      <c r="J166" s="94"/>
      <c r="K166" s="312"/>
      <c r="L166" s="2"/>
      <c r="M166" s="40">
        <f t="shared" si="3"/>
        <v>1120000</v>
      </c>
      <c r="N166" s="1" t="s">
        <v>6129</v>
      </c>
      <c r="O166" s="1" t="s">
        <v>6130</v>
      </c>
      <c r="P166" s="1" t="s">
        <v>6131</v>
      </c>
      <c r="Q166" s="3">
        <v>45092</v>
      </c>
      <c r="R166" s="3">
        <v>45092</v>
      </c>
      <c r="S166" s="3">
        <v>45099</v>
      </c>
      <c r="T166" s="41" t="s">
        <v>612</v>
      </c>
      <c r="U166" s="3"/>
      <c r="V166" s="3"/>
      <c r="W166" s="236"/>
      <c r="X166" s="237">
        <v>1120000</v>
      </c>
      <c r="Y166" s="9">
        <f t="shared" si="0"/>
        <v>0</v>
      </c>
      <c r="Z166" s="34">
        <f t="shared" si="1"/>
        <v>1</v>
      </c>
      <c r="AA166" s="85">
        <v>57297693</v>
      </c>
      <c r="AB166" s="85" t="s">
        <v>5446</v>
      </c>
      <c r="AC166" s="85" t="s">
        <v>196</v>
      </c>
      <c r="AD166" s="85" t="s">
        <v>196</v>
      </c>
      <c r="AE166" s="236"/>
      <c r="AF166" s="216" t="s">
        <v>6132</v>
      </c>
      <c r="AG166" s="85" t="s">
        <v>192</v>
      </c>
      <c r="AH166" s="85" t="s">
        <v>191</v>
      </c>
    </row>
    <row r="167" spans="1:34" s="4" customFormat="1" x14ac:dyDescent="0.2">
      <c r="A167" s="16">
        <v>891780111</v>
      </c>
      <c r="B167" s="16" t="s">
        <v>54</v>
      </c>
      <c r="C167" s="85" t="s">
        <v>57</v>
      </c>
      <c r="D167" s="16" t="s">
        <v>60</v>
      </c>
      <c r="E167" s="1" t="s">
        <v>6133</v>
      </c>
      <c r="F167" s="16" t="s">
        <v>61</v>
      </c>
      <c r="G167" s="85" t="s">
        <v>61</v>
      </c>
      <c r="H167" s="85" t="s">
        <v>79</v>
      </c>
      <c r="I167" s="9">
        <v>43803900</v>
      </c>
      <c r="J167" s="94"/>
      <c r="K167" s="312"/>
      <c r="L167" s="2"/>
      <c r="M167" s="40">
        <f t="shared" si="3"/>
        <v>43803900</v>
      </c>
      <c r="N167" s="1" t="s">
        <v>6134</v>
      </c>
      <c r="O167" s="1" t="s">
        <v>6135</v>
      </c>
      <c r="P167" s="1" t="s">
        <v>6136</v>
      </c>
      <c r="Q167" s="3">
        <v>45099</v>
      </c>
      <c r="R167" s="3">
        <v>45099</v>
      </c>
      <c r="S167" s="3">
        <v>45133</v>
      </c>
      <c r="T167" s="41" t="s">
        <v>612</v>
      </c>
      <c r="U167" s="3"/>
      <c r="V167" s="3"/>
      <c r="W167" s="236"/>
      <c r="X167" s="237">
        <v>21901950</v>
      </c>
      <c r="Y167" s="9">
        <f t="shared" si="0"/>
        <v>21901950</v>
      </c>
      <c r="Z167" s="34">
        <f t="shared" si="1"/>
        <v>0.5</v>
      </c>
      <c r="AA167" s="85">
        <v>15443332</v>
      </c>
      <c r="AB167" s="85" t="s">
        <v>5907</v>
      </c>
      <c r="AC167" s="85" t="s">
        <v>196</v>
      </c>
      <c r="AD167" s="85" t="s">
        <v>196</v>
      </c>
      <c r="AE167" s="236"/>
      <c r="AF167" s="216" t="s">
        <v>6137</v>
      </c>
      <c r="AG167" s="85" t="s">
        <v>192</v>
      </c>
      <c r="AH167" s="85" t="s">
        <v>191</v>
      </c>
    </row>
    <row r="168" spans="1:34" s="4" customFormat="1" x14ac:dyDescent="0.25">
      <c r="A168" s="38">
        <v>891780111</v>
      </c>
      <c r="B168" s="38" t="s">
        <v>54</v>
      </c>
      <c r="C168" s="85" t="s">
        <v>56</v>
      </c>
      <c r="D168" s="16" t="s">
        <v>60</v>
      </c>
      <c r="E168" s="1" t="s">
        <v>6138</v>
      </c>
      <c r="F168" s="16" t="s">
        <v>61</v>
      </c>
      <c r="G168" s="85" t="s">
        <v>61</v>
      </c>
      <c r="H168" s="85" t="s">
        <v>79</v>
      </c>
      <c r="I168" s="9">
        <v>38890009</v>
      </c>
      <c r="J168" s="94"/>
      <c r="K168" s="312"/>
      <c r="L168" s="2"/>
      <c r="M168" s="40">
        <f t="shared" si="3"/>
        <v>38890009</v>
      </c>
      <c r="N168" s="244">
        <v>900597355</v>
      </c>
      <c r="O168" t="s">
        <v>6139</v>
      </c>
      <c r="P168" s="1" t="s">
        <v>6140</v>
      </c>
      <c r="Q168" s="3" t="s">
        <v>5867</v>
      </c>
      <c r="R168" s="3" t="s">
        <v>5894</v>
      </c>
      <c r="S168" s="3" t="s">
        <v>6144</v>
      </c>
      <c r="T168" s="41" t="s">
        <v>612</v>
      </c>
      <c r="U168" s="3"/>
      <c r="V168" s="3"/>
      <c r="W168" s="236"/>
      <c r="X168" s="237">
        <v>19445004.5</v>
      </c>
      <c r="Y168" s="9">
        <f t="shared" si="0"/>
        <v>19445004.5</v>
      </c>
      <c r="Z168" s="34">
        <f t="shared" si="1"/>
        <v>0.5</v>
      </c>
      <c r="AA168" s="85">
        <v>57297693</v>
      </c>
      <c r="AB168" s="85" t="s">
        <v>5446</v>
      </c>
      <c r="AC168" s="85" t="s">
        <v>196</v>
      </c>
      <c r="AD168" s="85" t="s">
        <v>196</v>
      </c>
      <c r="AE168" s="236"/>
      <c r="AF168" s="216" t="s">
        <v>6141</v>
      </c>
      <c r="AG168" s="85" t="s">
        <v>192</v>
      </c>
      <c r="AH168" s="85" t="s">
        <v>191</v>
      </c>
    </row>
    <row r="169" spans="1:34" s="4" customFormat="1" x14ac:dyDescent="0.25">
      <c r="A169" s="16">
        <v>891780111</v>
      </c>
      <c r="B169" s="16" t="s">
        <v>54</v>
      </c>
      <c r="C169" s="85" t="s">
        <v>56</v>
      </c>
      <c r="D169" s="16" t="s">
        <v>60</v>
      </c>
      <c r="E169" s="1" t="s">
        <v>6142</v>
      </c>
      <c r="F169" s="16" t="s">
        <v>61</v>
      </c>
      <c r="G169" s="85" t="s">
        <v>61</v>
      </c>
      <c r="H169" s="85" t="s">
        <v>79</v>
      </c>
      <c r="I169" s="9">
        <v>9340200</v>
      </c>
      <c r="J169" s="94"/>
      <c r="K169" s="312"/>
      <c r="L169" s="2"/>
      <c r="M169" s="40">
        <f t="shared" si="3"/>
        <v>9340200</v>
      </c>
      <c r="N169" s="1">
        <v>900081578</v>
      </c>
      <c r="O169" s="70" t="s">
        <v>1816</v>
      </c>
      <c r="P169" s="1" t="s">
        <v>6143</v>
      </c>
      <c r="Q169" s="3" t="s">
        <v>5878</v>
      </c>
      <c r="R169" s="3" t="s">
        <v>5878</v>
      </c>
      <c r="S169" s="3" t="s">
        <v>4955</v>
      </c>
      <c r="T169" s="41" t="s">
        <v>612</v>
      </c>
      <c r="U169" s="3"/>
      <c r="V169" s="3"/>
      <c r="W169" s="236"/>
      <c r="X169" s="237">
        <v>0</v>
      </c>
      <c r="Y169" s="9">
        <f t="shared" si="0"/>
        <v>9340200</v>
      </c>
      <c r="Z169" s="34">
        <f t="shared" si="1"/>
        <v>0</v>
      </c>
      <c r="AA169" s="85">
        <v>36665858</v>
      </c>
      <c r="AB169" s="85" t="s">
        <v>5707</v>
      </c>
      <c r="AC169" s="85" t="s">
        <v>196</v>
      </c>
      <c r="AD169" s="85" t="s">
        <v>196</v>
      </c>
      <c r="AE169" s="236"/>
      <c r="AF169" s="216" t="s">
        <v>6145</v>
      </c>
      <c r="AG169" s="85" t="s">
        <v>192</v>
      </c>
      <c r="AH169" s="85" t="s">
        <v>191</v>
      </c>
    </row>
    <row r="170" spans="1:34" s="4" customFormat="1" x14ac:dyDescent="0.25">
      <c r="A170" s="16">
        <v>891780111</v>
      </c>
      <c r="B170" s="16" t="s">
        <v>54</v>
      </c>
      <c r="C170" s="85" t="s">
        <v>57</v>
      </c>
      <c r="D170" s="16" t="s">
        <v>60</v>
      </c>
      <c r="E170" s="1" t="s">
        <v>6146</v>
      </c>
      <c r="F170" s="38" t="s">
        <v>61</v>
      </c>
      <c r="G170" s="85" t="s">
        <v>61</v>
      </c>
      <c r="H170" s="85" t="s">
        <v>79</v>
      </c>
      <c r="I170" s="9">
        <v>24451525</v>
      </c>
      <c r="J170" s="94"/>
      <c r="K170" s="312"/>
      <c r="L170" s="2"/>
      <c r="M170" s="40">
        <f t="shared" si="3"/>
        <v>24451525</v>
      </c>
      <c r="N170" s="1">
        <v>900763287</v>
      </c>
      <c r="O170" s="70" t="s">
        <v>3596</v>
      </c>
      <c r="P170" s="1" t="s">
        <v>6147</v>
      </c>
      <c r="Q170" s="3" t="s">
        <v>4961</v>
      </c>
      <c r="R170" s="3" t="s">
        <v>4961</v>
      </c>
      <c r="S170" s="3" t="s">
        <v>6151</v>
      </c>
      <c r="T170" s="41" t="s">
        <v>612</v>
      </c>
      <c r="U170" s="3"/>
      <c r="V170" s="3"/>
      <c r="W170" s="236"/>
      <c r="X170" s="237">
        <v>0</v>
      </c>
      <c r="Y170" s="9">
        <f t="shared" si="0"/>
        <v>24451525</v>
      </c>
      <c r="Z170" s="34">
        <f t="shared" si="1"/>
        <v>0</v>
      </c>
      <c r="AA170" s="85">
        <v>36665858</v>
      </c>
      <c r="AB170" s="85" t="s">
        <v>5707</v>
      </c>
      <c r="AC170" s="85" t="s">
        <v>196</v>
      </c>
      <c r="AD170" s="85" t="s">
        <v>196</v>
      </c>
      <c r="AE170" s="236"/>
      <c r="AF170" s="77" t="s">
        <v>6148</v>
      </c>
      <c r="AG170" s="85" t="s">
        <v>192</v>
      </c>
      <c r="AH170" s="85" t="s">
        <v>191</v>
      </c>
    </row>
    <row r="171" spans="1:34" s="4" customFormat="1" x14ac:dyDescent="0.25">
      <c r="A171" s="16">
        <v>891780111</v>
      </c>
      <c r="B171" s="16" t="s">
        <v>54</v>
      </c>
      <c r="C171" s="85" t="s">
        <v>57</v>
      </c>
      <c r="D171" s="16" t="s">
        <v>60</v>
      </c>
      <c r="E171" s="1" t="s">
        <v>6149</v>
      </c>
      <c r="F171" s="16" t="s">
        <v>61</v>
      </c>
      <c r="G171" s="85" t="s">
        <v>61</v>
      </c>
      <c r="H171" s="85" t="s">
        <v>79</v>
      </c>
      <c r="I171" s="9">
        <v>48533453</v>
      </c>
      <c r="J171" s="94"/>
      <c r="K171" s="312"/>
      <c r="L171" s="2"/>
      <c r="M171" s="40">
        <f t="shared" si="3"/>
        <v>48533453</v>
      </c>
      <c r="N171" s="1">
        <v>901283655</v>
      </c>
      <c r="O171" s="70" t="s">
        <v>6096</v>
      </c>
      <c r="P171" s="1" t="s">
        <v>6150</v>
      </c>
      <c r="Q171" s="3" t="s">
        <v>4961</v>
      </c>
      <c r="R171" s="3" t="s">
        <v>5052</v>
      </c>
      <c r="S171" s="3" t="s">
        <v>6156</v>
      </c>
      <c r="T171" s="41" t="s">
        <v>612</v>
      </c>
      <c r="U171" s="3"/>
      <c r="V171" s="3"/>
      <c r="W171" s="236"/>
      <c r="X171" s="237">
        <v>0</v>
      </c>
      <c r="Y171" s="9">
        <f t="shared" si="0"/>
        <v>48533453</v>
      </c>
      <c r="Z171" s="34">
        <f t="shared" si="1"/>
        <v>0</v>
      </c>
      <c r="AA171" s="85">
        <v>36665858</v>
      </c>
      <c r="AB171" s="85" t="s">
        <v>5707</v>
      </c>
      <c r="AC171" s="85" t="s">
        <v>196</v>
      </c>
      <c r="AD171" s="85" t="s">
        <v>196</v>
      </c>
      <c r="AE171" s="236">
        <v>45134</v>
      </c>
      <c r="AF171" s="216" t="s">
        <v>6152</v>
      </c>
      <c r="AG171" s="85" t="s">
        <v>192</v>
      </c>
      <c r="AH171" s="85" t="s">
        <v>191</v>
      </c>
    </row>
    <row r="172" spans="1:34" s="4" customFormat="1" x14ac:dyDescent="0.25">
      <c r="A172" s="38">
        <v>891780111</v>
      </c>
      <c r="B172" s="38" t="s">
        <v>54</v>
      </c>
      <c r="C172" s="85" t="s">
        <v>56</v>
      </c>
      <c r="D172" s="16" t="s">
        <v>60</v>
      </c>
      <c r="E172" s="1" t="s">
        <v>6153</v>
      </c>
      <c r="F172" s="16" t="s">
        <v>61</v>
      </c>
      <c r="G172" s="85" t="s">
        <v>61</v>
      </c>
      <c r="H172" s="85" t="s">
        <v>79</v>
      </c>
      <c r="I172" s="9">
        <v>8584660</v>
      </c>
      <c r="J172" s="94"/>
      <c r="K172" s="312"/>
      <c r="L172" s="2"/>
      <c r="M172" s="40">
        <f t="shared" si="3"/>
        <v>8584660</v>
      </c>
      <c r="N172" s="1">
        <v>800216724</v>
      </c>
      <c r="O172" s="70" t="s">
        <v>6154</v>
      </c>
      <c r="P172" s="1" t="s">
        <v>6155</v>
      </c>
      <c r="Q172" s="3" t="s">
        <v>5894</v>
      </c>
      <c r="R172" s="3" t="s">
        <v>5894</v>
      </c>
      <c r="S172" s="3" t="s">
        <v>6161</v>
      </c>
      <c r="T172" s="41" t="s">
        <v>612</v>
      </c>
      <c r="U172" s="3"/>
      <c r="V172" s="3"/>
      <c r="W172" s="236"/>
      <c r="X172" s="237">
        <v>0</v>
      </c>
      <c r="Y172" s="9">
        <f t="shared" si="0"/>
        <v>8584660</v>
      </c>
      <c r="Z172" s="34">
        <f t="shared" si="1"/>
        <v>0</v>
      </c>
      <c r="AA172" s="85">
        <v>57444673</v>
      </c>
      <c r="AB172" s="85" t="s">
        <v>5370</v>
      </c>
      <c r="AC172" s="85" t="s">
        <v>196</v>
      </c>
      <c r="AD172" s="85" t="s">
        <v>196</v>
      </c>
      <c r="AE172" s="236"/>
      <c r="AF172" s="77" t="s">
        <v>6157</v>
      </c>
      <c r="AG172" s="85" t="s">
        <v>192</v>
      </c>
      <c r="AH172" s="85" t="s">
        <v>191</v>
      </c>
    </row>
    <row r="173" spans="1:34" s="4" customFormat="1" x14ac:dyDescent="0.25">
      <c r="A173" s="16">
        <v>891780111</v>
      </c>
      <c r="B173" s="16" t="s">
        <v>54</v>
      </c>
      <c r="C173" s="85" t="s">
        <v>56</v>
      </c>
      <c r="D173" s="16" t="s">
        <v>60</v>
      </c>
      <c r="E173" s="1" t="s">
        <v>6158</v>
      </c>
      <c r="F173" s="16" t="s">
        <v>61</v>
      </c>
      <c r="G173" s="85" t="s">
        <v>61</v>
      </c>
      <c r="H173" s="85" t="s">
        <v>79</v>
      </c>
      <c r="I173" s="9">
        <v>55775000</v>
      </c>
      <c r="J173" s="94"/>
      <c r="K173" s="312"/>
      <c r="L173" s="2"/>
      <c r="M173" s="40">
        <f t="shared" si="3"/>
        <v>55775000</v>
      </c>
      <c r="N173" s="1">
        <v>1083028924</v>
      </c>
      <c r="O173" s="70" t="s">
        <v>6159</v>
      </c>
      <c r="P173" s="1" t="s">
        <v>6160</v>
      </c>
      <c r="Q173" s="3" t="s">
        <v>5894</v>
      </c>
      <c r="R173" s="3" t="s">
        <v>9503</v>
      </c>
      <c r="S173" s="3" t="s">
        <v>6168</v>
      </c>
      <c r="T173" s="41" t="s">
        <v>612</v>
      </c>
      <c r="U173" s="3"/>
      <c r="V173" s="3"/>
      <c r="W173" s="236"/>
      <c r="X173" s="237">
        <v>0</v>
      </c>
      <c r="Y173" s="9">
        <f t="shared" si="0"/>
        <v>55775000</v>
      </c>
      <c r="Z173" s="34">
        <f t="shared" si="1"/>
        <v>0</v>
      </c>
      <c r="AA173" s="85">
        <v>36693503</v>
      </c>
      <c r="AB173" s="85" t="s">
        <v>6162</v>
      </c>
      <c r="AC173" s="85" t="s">
        <v>192</v>
      </c>
      <c r="AD173" s="85" t="s">
        <v>196</v>
      </c>
      <c r="AE173" s="236">
        <v>45126</v>
      </c>
      <c r="AF173" s="216" t="s">
        <v>6163</v>
      </c>
      <c r="AG173" s="85" t="s">
        <v>192</v>
      </c>
      <c r="AH173" s="85" t="s">
        <v>191</v>
      </c>
    </row>
    <row r="174" spans="1:34" s="4" customFormat="1" x14ac:dyDescent="0.25">
      <c r="A174" s="16">
        <v>891780111</v>
      </c>
      <c r="B174" s="16" t="s">
        <v>54</v>
      </c>
      <c r="C174" s="85" t="s">
        <v>57</v>
      </c>
      <c r="D174" s="16" t="s">
        <v>60</v>
      </c>
      <c r="E174" s="1" t="s">
        <v>6164</v>
      </c>
      <c r="F174" s="16" t="s">
        <v>61</v>
      </c>
      <c r="G174" s="85" t="s">
        <v>61</v>
      </c>
      <c r="H174" s="85" t="s">
        <v>79</v>
      </c>
      <c r="I174" s="9">
        <v>14280000</v>
      </c>
      <c r="J174" s="94"/>
      <c r="K174" s="312"/>
      <c r="L174" s="2"/>
      <c r="M174" s="40">
        <f t="shared" si="3"/>
        <v>14280000</v>
      </c>
      <c r="N174" s="253" t="s">
        <v>6165</v>
      </c>
      <c r="O174" t="s">
        <v>6166</v>
      </c>
      <c r="P174" s="1" t="s">
        <v>6167</v>
      </c>
      <c r="Q174" s="3" t="s">
        <v>5894</v>
      </c>
      <c r="R174" s="3" t="s">
        <v>9503</v>
      </c>
      <c r="S174" s="3" t="s">
        <v>6168</v>
      </c>
      <c r="T174" s="41" t="s">
        <v>612</v>
      </c>
      <c r="U174" s="3"/>
      <c r="V174" s="3"/>
      <c r="W174" s="236"/>
      <c r="X174" s="237">
        <v>0</v>
      </c>
      <c r="Y174" s="9">
        <f t="shared" si="0"/>
        <v>14280000</v>
      </c>
      <c r="Z174" s="34">
        <f t="shared" si="1"/>
        <v>0</v>
      </c>
      <c r="AA174" s="85">
        <v>57297693</v>
      </c>
      <c r="AB174" s="85" t="s">
        <v>5446</v>
      </c>
      <c r="AC174" s="85" t="s">
        <v>196</v>
      </c>
      <c r="AD174" s="85" t="s">
        <v>196</v>
      </c>
      <c r="AE174" s="236"/>
      <c r="AF174" s="216" t="s">
        <v>6169</v>
      </c>
      <c r="AG174" s="85" t="s">
        <v>2619</v>
      </c>
      <c r="AH174" s="85" t="s">
        <v>191</v>
      </c>
    </row>
    <row r="175" spans="1:34" s="4" customFormat="1" x14ac:dyDescent="0.2">
      <c r="A175" s="16">
        <v>891780111</v>
      </c>
      <c r="B175" s="16" t="s">
        <v>54</v>
      </c>
      <c r="C175" s="85" t="s">
        <v>56</v>
      </c>
      <c r="D175" s="16" t="s">
        <v>60</v>
      </c>
      <c r="E175" s="1" t="s">
        <v>6170</v>
      </c>
      <c r="F175" s="16" t="s">
        <v>61</v>
      </c>
      <c r="G175" s="85" t="s">
        <v>61</v>
      </c>
      <c r="H175" s="85" t="s">
        <v>72</v>
      </c>
      <c r="I175" s="9">
        <v>80000000</v>
      </c>
      <c r="J175" s="94"/>
      <c r="K175" s="312"/>
      <c r="L175" s="2"/>
      <c r="M175" s="40">
        <f t="shared" si="3"/>
        <v>80000000</v>
      </c>
      <c r="N175" s="1">
        <v>900331965</v>
      </c>
      <c r="O175" s="1" t="s">
        <v>6171</v>
      </c>
      <c r="P175" s="1" t="s">
        <v>6172</v>
      </c>
      <c r="Q175" s="3" t="s">
        <v>5412</v>
      </c>
      <c r="R175" s="3" t="s">
        <v>5412</v>
      </c>
      <c r="S175" s="3" t="s">
        <v>6173</v>
      </c>
      <c r="T175" s="41" t="s">
        <v>612</v>
      </c>
      <c r="U175" s="3"/>
      <c r="V175" s="3"/>
      <c r="W175" s="236"/>
      <c r="X175" s="237">
        <v>79984633</v>
      </c>
      <c r="Y175" s="9">
        <f t="shared" si="0"/>
        <v>15367</v>
      </c>
      <c r="Z175" s="34">
        <f t="shared" si="1"/>
        <v>0.99980791250000001</v>
      </c>
      <c r="AA175" s="85">
        <v>85459497</v>
      </c>
      <c r="AB175" s="85" t="s">
        <v>4837</v>
      </c>
      <c r="AC175" s="85" t="s">
        <v>196</v>
      </c>
      <c r="AD175" s="85" t="s">
        <v>196</v>
      </c>
      <c r="AE175" s="236">
        <v>44971</v>
      </c>
      <c r="AF175" s="238" t="s">
        <v>6174</v>
      </c>
      <c r="AG175" s="85" t="s">
        <v>192</v>
      </c>
      <c r="AH175" s="85" t="s">
        <v>191</v>
      </c>
    </row>
    <row r="176" spans="1:34" s="4" customFormat="1" x14ac:dyDescent="0.2">
      <c r="A176" s="38">
        <v>891780111</v>
      </c>
      <c r="B176" s="38" t="s">
        <v>54</v>
      </c>
      <c r="C176" s="85" t="s">
        <v>56</v>
      </c>
      <c r="D176" s="16" t="s">
        <v>60</v>
      </c>
      <c r="E176" s="1" t="s">
        <v>6175</v>
      </c>
      <c r="F176" s="16" t="s">
        <v>61</v>
      </c>
      <c r="G176" s="85" t="s">
        <v>61</v>
      </c>
      <c r="H176" s="85" t="s">
        <v>72</v>
      </c>
      <c r="I176" s="9">
        <v>30000000</v>
      </c>
      <c r="J176" s="94"/>
      <c r="K176" s="312"/>
      <c r="L176" s="2"/>
      <c r="M176" s="40">
        <f t="shared" si="3"/>
        <v>30000000</v>
      </c>
      <c r="N176" s="1">
        <v>901295924</v>
      </c>
      <c r="O176" s="1" t="s">
        <v>6176</v>
      </c>
      <c r="P176" s="1" t="s">
        <v>6177</v>
      </c>
      <c r="Q176" s="3">
        <v>44973</v>
      </c>
      <c r="R176" s="3">
        <v>44986</v>
      </c>
      <c r="S176" s="3">
        <v>45107</v>
      </c>
      <c r="T176" s="41" t="s">
        <v>612</v>
      </c>
      <c r="U176" s="3"/>
      <c r="V176" s="3"/>
      <c r="W176" s="236"/>
      <c r="X176" s="237">
        <v>22771004</v>
      </c>
      <c r="Y176" s="9">
        <f t="shared" si="0"/>
        <v>7228996</v>
      </c>
      <c r="Z176" s="34">
        <f t="shared" si="1"/>
        <v>0.75903346666666671</v>
      </c>
      <c r="AA176" s="85">
        <v>36665858</v>
      </c>
      <c r="AB176" s="85" t="s">
        <v>5707</v>
      </c>
      <c r="AC176" s="85" t="s">
        <v>196</v>
      </c>
      <c r="AD176" s="85" t="s">
        <v>196</v>
      </c>
      <c r="AE176" s="236"/>
      <c r="AF176" s="238" t="s">
        <v>6178</v>
      </c>
      <c r="AG176" s="85" t="s">
        <v>192</v>
      </c>
      <c r="AH176" s="85" t="s">
        <v>191</v>
      </c>
    </row>
    <row r="177" spans="1:34" s="4" customFormat="1" x14ac:dyDescent="0.2">
      <c r="A177" s="16">
        <v>891780111</v>
      </c>
      <c r="B177" s="16" t="s">
        <v>54</v>
      </c>
      <c r="C177" s="85" t="s">
        <v>56</v>
      </c>
      <c r="D177" s="16" t="s">
        <v>60</v>
      </c>
      <c r="E177" s="1" t="s">
        <v>6179</v>
      </c>
      <c r="F177" s="16" t="s">
        <v>61</v>
      </c>
      <c r="G177" s="85" t="s">
        <v>61</v>
      </c>
      <c r="H177" s="85" t="s">
        <v>72</v>
      </c>
      <c r="I177" s="9">
        <v>150000000</v>
      </c>
      <c r="J177" s="94"/>
      <c r="K177" s="312"/>
      <c r="L177" s="2"/>
      <c r="M177" s="40">
        <f t="shared" si="3"/>
        <v>150000000</v>
      </c>
      <c r="N177" s="1">
        <v>901024882</v>
      </c>
      <c r="O177" s="1" t="s">
        <v>6180</v>
      </c>
      <c r="P177" s="1" t="s">
        <v>6181</v>
      </c>
      <c r="Q177" s="3">
        <v>44973</v>
      </c>
      <c r="R177" s="3">
        <v>44973</v>
      </c>
      <c r="S177" s="3" t="s">
        <v>5414</v>
      </c>
      <c r="T177" s="41" t="s">
        <v>612</v>
      </c>
      <c r="U177" s="3"/>
      <c r="V177" s="3"/>
      <c r="W177" s="236"/>
      <c r="X177" s="237">
        <v>148588160</v>
      </c>
      <c r="Y177" s="9">
        <f t="shared" si="0"/>
        <v>1411840</v>
      </c>
      <c r="Z177" s="34">
        <f t="shared" si="1"/>
        <v>0.99058773333333339</v>
      </c>
      <c r="AA177" s="85">
        <v>85465146</v>
      </c>
      <c r="AB177" s="85" t="s">
        <v>4857</v>
      </c>
      <c r="AC177" s="85" t="s">
        <v>196</v>
      </c>
      <c r="AD177" s="85" t="s">
        <v>196</v>
      </c>
      <c r="AE177" s="236">
        <v>44973</v>
      </c>
      <c r="AF177" s="238" t="s">
        <v>6182</v>
      </c>
      <c r="AG177" s="85" t="s">
        <v>192</v>
      </c>
      <c r="AH177" s="85" t="s">
        <v>191</v>
      </c>
    </row>
    <row r="178" spans="1:34" s="43" customFormat="1" x14ac:dyDescent="0.2">
      <c r="A178" s="38">
        <v>891780111</v>
      </c>
      <c r="B178" s="38" t="s">
        <v>54</v>
      </c>
      <c r="C178" s="85" t="s">
        <v>56</v>
      </c>
      <c r="D178" s="38" t="s">
        <v>60</v>
      </c>
      <c r="E178" s="39" t="s">
        <v>6183</v>
      </c>
      <c r="F178" s="38" t="s">
        <v>61</v>
      </c>
      <c r="G178" s="85" t="s">
        <v>61</v>
      </c>
      <c r="H178" s="85" t="s">
        <v>72</v>
      </c>
      <c r="I178" s="36">
        <v>40000000</v>
      </c>
      <c r="J178" s="325"/>
      <c r="K178" s="328"/>
      <c r="L178" s="61"/>
      <c r="M178" s="40">
        <f t="shared" si="3"/>
        <v>40000000</v>
      </c>
      <c r="N178" s="39">
        <v>891700742</v>
      </c>
      <c r="O178" s="39" t="s">
        <v>6184</v>
      </c>
      <c r="P178" s="39" t="s">
        <v>6185</v>
      </c>
      <c r="Q178" s="41" t="s">
        <v>5419</v>
      </c>
      <c r="R178" s="41" t="s">
        <v>5419</v>
      </c>
      <c r="S178" s="41" t="s">
        <v>4836</v>
      </c>
      <c r="T178" s="41" t="s">
        <v>612</v>
      </c>
      <c r="U178" s="41"/>
      <c r="V178" s="41"/>
      <c r="W178" s="236"/>
      <c r="X178" s="237">
        <v>22915500</v>
      </c>
      <c r="Y178" s="36">
        <f t="shared" si="0"/>
        <v>17084500</v>
      </c>
      <c r="Z178" s="37">
        <f t="shared" si="1"/>
        <v>0.57288749999999999</v>
      </c>
      <c r="AA178" s="85">
        <v>36665858</v>
      </c>
      <c r="AB178" s="85" t="s">
        <v>5707</v>
      </c>
      <c r="AC178" s="85" t="s">
        <v>196</v>
      </c>
      <c r="AD178" s="85" t="s">
        <v>196</v>
      </c>
      <c r="AE178" s="236"/>
      <c r="AF178" s="238" t="s">
        <v>6186</v>
      </c>
      <c r="AG178" s="85" t="s">
        <v>192</v>
      </c>
      <c r="AH178" s="85" t="s">
        <v>191</v>
      </c>
    </row>
    <row r="179" spans="1:34" s="4" customFormat="1" x14ac:dyDescent="0.2">
      <c r="A179" s="16">
        <v>891780111</v>
      </c>
      <c r="B179" s="16" t="s">
        <v>54</v>
      </c>
      <c r="C179" s="85" t="s">
        <v>57</v>
      </c>
      <c r="D179" s="16" t="s">
        <v>60</v>
      </c>
      <c r="E179" s="1" t="s">
        <v>6187</v>
      </c>
      <c r="F179" s="16" t="s">
        <v>61</v>
      </c>
      <c r="G179" s="85" t="s">
        <v>61</v>
      </c>
      <c r="H179" s="85" t="s">
        <v>72</v>
      </c>
      <c r="I179" s="9">
        <v>20743400</v>
      </c>
      <c r="J179" s="94"/>
      <c r="K179" s="312"/>
      <c r="L179" s="2"/>
      <c r="M179" s="40">
        <f t="shared" ref="M179:M201" si="5">+I179+K179-L179</f>
        <v>20743400</v>
      </c>
      <c r="N179" s="1">
        <v>900929189</v>
      </c>
      <c r="O179" s="1" t="s">
        <v>6188</v>
      </c>
      <c r="P179" s="1" t="s">
        <v>6189</v>
      </c>
      <c r="Q179" s="3" t="s">
        <v>5443</v>
      </c>
      <c r="R179" s="3" t="s">
        <v>5443</v>
      </c>
      <c r="S179" s="3" t="s">
        <v>5438</v>
      </c>
      <c r="T179" s="41" t="s">
        <v>612</v>
      </c>
      <c r="U179" s="3"/>
      <c r="V179" s="3"/>
      <c r="W179" s="236"/>
      <c r="X179" s="237">
        <v>0</v>
      </c>
      <c r="Y179" s="9">
        <f t="shared" si="0"/>
        <v>20743400</v>
      </c>
      <c r="Z179" s="34">
        <f t="shared" si="1"/>
        <v>0</v>
      </c>
      <c r="AA179" s="85">
        <v>85152695</v>
      </c>
      <c r="AB179" s="85" t="s">
        <v>4890</v>
      </c>
      <c r="AC179" s="85" t="s">
        <v>196</v>
      </c>
      <c r="AD179" s="85" t="s">
        <v>196</v>
      </c>
      <c r="AE179" s="236">
        <v>44981</v>
      </c>
      <c r="AF179" s="238" t="s">
        <v>6190</v>
      </c>
      <c r="AG179" s="85" t="s">
        <v>192</v>
      </c>
      <c r="AH179" s="85" t="s">
        <v>191</v>
      </c>
    </row>
    <row r="180" spans="1:34" s="4" customFormat="1" x14ac:dyDescent="0.2">
      <c r="A180" s="16">
        <v>891780111</v>
      </c>
      <c r="B180" s="16" t="s">
        <v>54</v>
      </c>
      <c r="C180" s="85" t="s">
        <v>56</v>
      </c>
      <c r="D180" s="16" t="s">
        <v>60</v>
      </c>
      <c r="E180" s="1" t="s">
        <v>6191</v>
      </c>
      <c r="F180" s="16" t="s">
        <v>61</v>
      </c>
      <c r="G180" s="85" t="s">
        <v>61</v>
      </c>
      <c r="H180" s="85" t="s">
        <v>72</v>
      </c>
      <c r="I180" s="9">
        <v>100000000</v>
      </c>
      <c r="J180" s="94">
        <v>1</v>
      </c>
      <c r="K180" s="312">
        <v>30000000</v>
      </c>
      <c r="L180" s="2"/>
      <c r="M180" s="40">
        <f t="shared" si="5"/>
        <v>130000000</v>
      </c>
      <c r="N180" s="1">
        <v>901380948</v>
      </c>
      <c r="O180" s="1" t="s">
        <v>6192</v>
      </c>
      <c r="P180" s="1" t="s">
        <v>6193</v>
      </c>
      <c r="Q180" s="3" t="s">
        <v>5443</v>
      </c>
      <c r="R180" s="3" t="s">
        <v>5443</v>
      </c>
      <c r="S180" s="3">
        <v>45291</v>
      </c>
      <c r="T180" s="41" t="s">
        <v>612</v>
      </c>
      <c r="U180" s="3"/>
      <c r="V180" s="3"/>
      <c r="W180" s="236"/>
      <c r="X180" s="237">
        <v>96904261</v>
      </c>
      <c r="Y180" s="9">
        <f t="shared" si="0"/>
        <v>33095739</v>
      </c>
      <c r="Z180" s="34">
        <f t="shared" si="1"/>
        <v>0.74541739230769233</v>
      </c>
      <c r="AA180" s="85">
        <v>36665858</v>
      </c>
      <c r="AB180" s="85" t="s">
        <v>5707</v>
      </c>
      <c r="AC180" s="85" t="s">
        <v>196</v>
      </c>
      <c r="AD180" s="85" t="s">
        <v>196</v>
      </c>
      <c r="AE180" s="236"/>
      <c r="AF180" s="238" t="s">
        <v>6194</v>
      </c>
      <c r="AG180" s="85" t="s">
        <v>192</v>
      </c>
      <c r="AH180" s="85" t="s">
        <v>191</v>
      </c>
    </row>
    <row r="181" spans="1:34" s="4" customFormat="1" x14ac:dyDescent="0.2">
      <c r="A181" s="16">
        <v>891780111</v>
      </c>
      <c r="B181" s="16" t="s">
        <v>54</v>
      </c>
      <c r="C181" s="85" t="s">
        <v>56</v>
      </c>
      <c r="D181" s="16" t="s">
        <v>60</v>
      </c>
      <c r="E181" s="1" t="s">
        <v>6195</v>
      </c>
      <c r="F181" s="16" t="s">
        <v>61</v>
      </c>
      <c r="G181" s="85" t="s">
        <v>61</v>
      </c>
      <c r="H181" s="85" t="s">
        <v>72</v>
      </c>
      <c r="I181" s="9">
        <v>39824107</v>
      </c>
      <c r="J181" s="94"/>
      <c r="K181" s="312"/>
      <c r="L181" s="2"/>
      <c r="M181" s="40">
        <f t="shared" si="5"/>
        <v>39824107</v>
      </c>
      <c r="N181" s="1">
        <v>901549048</v>
      </c>
      <c r="O181" s="1" t="s">
        <v>6196</v>
      </c>
      <c r="P181" s="1" t="s">
        <v>6197</v>
      </c>
      <c r="Q181" s="3" t="s">
        <v>5443</v>
      </c>
      <c r="R181" s="3" t="s">
        <v>5443</v>
      </c>
      <c r="S181" s="3" t="s">
        <v>5414</v>
      </c>
      <c r="T181" s="41" t="s">
        <v>612</v>
      </c>
      <c r="U181" s="3"/>
      <c r="V181" s="3"/>
      <c r="W181" s="236"/>
      <c r="X181" s="237">
        <v>39824107</v>
      </c>
      <c r="Y181" s="9">
        <f t="shared" si="0"/>
        <v>0</v>
      </c>
      <c r="Z181" s="34">
        <f t="shared" si="1"/>
        <v>1</v>
      </c>
      <c r="AA181" s="85">
        <v>7144175</v>
      </c>
      <c r="AB181" s="85" t="s">
        <v>2040</v>
      </c>
      <c r="AC181" s="85" t="s">
        <v>196</v>
      </c>
      <c r="AD181" s="85" t="s">
        <v>196</v>
      </c>
      <c r="AE181" s="236">
        <v>44981</v>
      </c>
      <c r="AF181" s="238" t="s">
        <v>6198</v>
      </c>
      <c r="AG181" s="85" t="s">
        <v>192</v>
      </c>
      <c r="AH181" s="85" t="s">
        <v>191</v>
      </c>
    </row>
    <row r="182" spans="1:34" s="4" customFormat="1" x14ac:dyDescent="0.2">
      <c r="A182" s="16">
        <v>891780111</v>
      </c>
      <c r="B182" s="16" t="s">
        <v>54</v>
      </c>
      <c r="C182" s="85" t="s">
        <v>58</v>
      </c>
      <c r="D182" s="16" t="s">
        <v>60</v>
      </c>
      <c r="E182" s="1" t="s">
        <v>6199</v>
      </c>
      <c r="F182" s="16" t="s">
        <v>61</v>
      </c>
      <c r="G182" s="85" t="s">
        <v>61</v>
      </c>
      <c r="H182" s="85" t="s">
        <v>72</v>
      </c>
      <c r="I182" s="9">
        <v>150000000</v>
      </c>
      <c r="J182" s="94">
        <v>2</v>
      </c>
      <c r="K182" s="312">
        <v>139456093</v>
      </c>
      <c r="L182" s="2"/>
      <c r="M182" s="40">
        <f t="shared" si="5"/>
        <v>289456093</v>
      </c>
      <c r="N182" s="1" t="s">
        <v>6200</v>
      </c>
      <c r="O182" s="1" t="s">
        <v>6201</v>
      </c>
      <c r="P182" s="1" t="s">
        <v>6202</v>
      </c>
      <c r="Q182" s="3">
        <v>44995</v>
      </c>
      <c r="R182" s="3">
        <v>44995</v>
      </c>
      <c r="S182" s="3">
        <v>45056</v>
      </c>
      <c r="T182" s="41" t="s">
        <v>612</v>
      </c>
      <c r="U182" s="3"/>
      <c r="V182" s="3"/>
      <c r="W182" s="236">
        <v>45085</v>
      </c>
      <c r="X182" s="237">
        <v>288110135.42000002</v>
      </c>
      <c r="Y182" s="9">
        <f t="shared" si="0"/>
        <v>1345957.5799999833</v>
      </c>
      <c r="Z182" s="34">
        <f t="shared" si="1"/>
        <v>0.99535004578397324</v>
      </c>
      <c r="AA182" s="85">
        <v>57298660</v>
      </c>
      <c r="AB182" s="85" t="s">
        <v>6203</v>
      </c>
      <c r="AC182" s="85" t="s">
        <v>196</v>
      </c>
      <c r="AD182" s="85" t="s">
        <v>196</v>
      </c>
      <c r="AE182" s="236"/>
      <c r="AF182" s="238" t="s">
        <v>6204</v>
      </c>
      <c r="AG182" s="85" t="s">
        <v>192</v>
      </c>
      <c r="AH182" s="85" t="s">
        <v>191</v>
      </c>
    </row>
    <row r="183" spans="1:34" s="4" customFormat="1" x14ac:dyDescent="0.2">
      <c r="A183" s="16">
        <v>891780111</v>
      </c>
      <c r="B183" s="16" t="s">
        <v>54</v>
      </c>
      <c r="C183" s="85" t="s">
        <v>56</v>
      </c>
      <c r="D183" s="16" t="s">
        <v>60</v>
      </c>
      <c r="E183" s="1" t="s">
        <v>6205</v>
      </c>
      <c r="F183" s="16" t="s">
        <v>61</v>
      </c>
      <c r="G183" s="85" t="s">
        <v>61</v>
      </c>
      <c r="H183" s="85" t="s">
        <v>72</v>
      </c>
      <c r="I183" s="9">
        <v>36334269</v>
      </c>
      <c r="J183" s="94"/>
      <c r="K183" s="312"/>
      <c r="L183" s="2"/>
      <c r="M183" s="40">
        <f t="shared" si="5"/>
        <v>36334269</v>
      </c>
      <c r="N183" s="1" t="s">
        <v>6206</v>
      </c>
      <c r="O183" s="1" t="s">
        <v>6207</v>
      </c>
      <c r="P183" s="1" t="s">
        <v>6208</v>
      </c>
      <c r="Q183" s="3">
        <v>45002</v>
      </c>
      <c r="R183" s="3">
        <v>45009</v>
      </c>
      <c r="S183" s="3">
        <v>45055</v>
      </c>
      <c r="T183" s="41" t="s">
        <v>612</v>
      </c>
      <c r="U183" s="3"/>
      <c r="V183" s="3"/>
      <c r="W183" s="236"/>
      <c r="X183" s="237">
        <v>36334269</v>
      </c>
      <c r="Y183" s="9">
        <f t="shared" si="0"/>
        <v>0</v>
      </c>
      <c r="Z183" s="34">
        <f t="shared" si="1"/>
        <v>1</v>
      </c>
      <c r="AA183" s="85">
        <v>57297693</v>
      </c>
      <c r="AB183" s="85" t="s">
        <v>5446</v>
      </c>
      <c r="AC183" s="85" t="s">
        <v>196</v>
      </c>
      <c r="AD183" s="85" t="s">
        <v>196</v>
      </c>
      <c r="AE183" s="236">
        <v>45013</v>
      </c>
      <c r="AF183" s="238" t="s">
        <v>6209</v>
      </c>
      <c r="AG183" s="85" t="s">
        <v>192</v>
      </c>
      <c r="AH183" s="85" t="s">
        <v>191</v>
      </c>
    </row>
    <row r="184" spans="1:34" s="43" customFormat="1" x14ac:dyDescent="0.2">
      <c r="A184" s="38">
        <v>891780111</v>
      </c>
      <c r="B184" s="38" t="s">
        <v>54</v>
      </c>
      <c r="C184" s="85" t="s">
        <v>56</v>
      </c>
      <c r="D184" s="38" t="s">
        <v>60</v>
      </c>
      <c r="E184" s="39" t="s">
        <v>6210</v>
      </c>
      <c r="F184" s="38" t="s">
        <v>61</v>
      </c>
      <c r="G184" s="85" t="s">
        <v>61</v>
      </c>
      <c r="H184" s="85" t="s">
        <v>72</v>
      </c>
      <c r="I184" s="36">
        <v>200000000</v>
      </c>
      <c r="J184" s="325"/>
      <c r="K184" s="328"/>
      <c r="L184" s="61"/>
      <c r="M184" s="40">
        <f t="shared" si="5"/>
        <v>200000000</v>
      </c>
      <c r="N184" s="39" t="s">
        <v>6211</v>
      </c>
      <c r="O184" s="39" t="s">
        <v>6212</v>
      </c>
      <c r="P184" s="39" t="s">
        <v>6213</v>
      </c>
      <c r="Q184" s="41">
        <v>45003</v>
      </c>
      <c r="R184" s="41">
        <v>45003</v>
      </c>
      <c r="S184" s="41">
        <v>45291</v>
      </c>
      <c r="T184" s="41" t="s">
        <v>612</v>
      </c>
      <c r="U184" s="41"/>
      <c r="V184" s="41"/>
      <c r="W184" s="236"/>
      <c r="X184" s="237">
        <v>85928017.340000004</v>
      </c>
      <c r="Y184" s="36">
        <f t="shared" si="0"/>
        <v>114071982.66</v>
      </c>
      <c r="Z184" s="37">
        <f t="shared" si="1"/>
        <v>0.42964008670000003</v>
      </c>
      <c r="AA184" s="85">
        <v>85459497</v>
      </c>
      <c r="AB184" s="85" t="s">
        <v>4837</v>
      </c>
      <c r="AC184" s="85" t="s">
        <v>196</v>
      </c>
      <c r="AD184" s="85" t="s">
        <v>196</v>
      </c>
      <c r="AE184" s="236"/>
      <c r="AF184" s="238" t="s">
        <v>6214</v>
      </c>
      <c r="AG184" s="85" t="s">
        <v>192</v>
      </c>
      <c r="AH184" s="85" t="s">
        <v>191</v>
      </c>
    </row>
    <row r="185" spans="1:34" s="4" customFormat="1" x14ac:dyDescent="0.2">
      <c r="A185" s="16">
        <v>891780111</v>
      </c>
      <c r="B185" s="16" t="s">
        <v>54</v>
      </c>
      <c r="C185" s="85" t="s">
        <v>57</v>
      </c>
      <c r="D185" s="16" t="s">
        <v>60</v>
      </c>
      <c r="E185" s="1" t="s">
        <v>6215</v>
      </c>
      <c r="F185" s="16" t="s">
        <v>61</v>
      </c>
      <c r="G185" s="85" t="s">
        <v>61</v>
      </c>
      <c r="H185" s="85" t="s">
        <v>72</v>
      </c>
      <c r="I185" s="9">
        <v>60000000</v>
      </c>
      <c r="J185" s="94"/>
      <c r="K185" s="312"/>
      <c r="L185" s="2"/>
      <c r="M185" s="40">
        <f t="shared" si="5"/>
        <v>60000000</v>
      </c>
      <c r="N185" s="1" t="s">
        <v>6216</v>
      </c>
      <c r="O185" s="1" t="s">
        <v>6217</v>
      </c>
      <c r="P185" s="1" t="s">
        <v>6218</v>
      </c>
      <c r="Q185" s="3">
        <v>45007</v>
      </c>
      <c r="R185" s="3">
        <v>45027</v>
      </c>
      <c r="S185" s="3">
        <v>45289</v>
      </c>
      <c r="T185" s="41" t="s">
        <v>612</v>
      </c>
      <c r="U185" s="3"/>
      <c r="V185" s="3"/>
      <c r="W185" s="236"/>
      <c r="X185" s="237">
        <v>0</v>
      </c>
      <c r="Y185" s="9">
        <f t="shared" si="0"/>
        <v>60000000</v>
      </c>
      <c r="Z185" s="34">
        <f t="shared" si="1"/>
        <v>0</v>
      </c>
      <c r="AA185" s="85">
        <v>85152695</v>
      </c>
      <c r="AB185" s="85" t="s">
        <v>4890</v>
      </c>
      <c r="AC185" s="85" t="s">
        <v>196</v>
      </c>
      <c r="AD185" s="85" t="s">
        <v>196</v>
      </c>
      <c r="AE185" s="236">
        <v>45027</v>
      </c>
      <c r="AF185" s="238" t="s">
        <v>6219</v>
      </c>
      <c r="AG185" s="85" t="s">
        <v>192</v>
      </c>
      <c r="AH185" s="85" t="s">
        <v>191</v>
      </c>
    </row>
    <row r="186" spans="1:34" s="4" customFormat="1" x14ac:dyDescent="0.2">
      <c r="A186" s="16">
        <v>891780111</v>
      </c>
      <c r="B186" s="16" t="s">
        <v>54</v>
      </c>
      <c r="C186" s="85" t="s">
        <v>56</v>
      </c>
      <c r="D186" s="16" t="s">
        <v>60</v>
      </c>
      <c r="E186" s="1" t="s">
        <v>6220</v>
      </c>
      <c r="F186" s="16" t="s">
        <v>61</v>
      </c>
      <c r="G186" s="85" t="s">
        <v>61</v>
      </c>
      <c r="H186" s="85" t="s">
        <v>72</v>
      </c>
      <c r="I186" s="9">
        <v>30000000</v>
      </c>
      <c r="J186" s="94"/>
      <c r="K186" s="312"/>
      <c r="L186" s="2"/>
      <c r="M186" s="40">
        <f t="shared" si="5"/>
        <v>30000000</v>
      </c>
      <c r="N186" s="1" t="s">
        <v>6221</v>
      </c>
      <c r="O186" s="1" t="s">
        <v>6222</v>
      </c>
      <c r="P186" s="1" t="s">
        <v>6223</v>
      </c>
      <c r="Q186" s="3">
        <v>45008</v>
      </c>
      <c r="R186" s="3">
        <v>45009</v>
      </c>
      <c r="S186" s="3">
        <v>45291</v>
      </c>
      <c r="T186" s="41" t="s">
        <v>612</v>
      </c>
      <c r="U186" s="3"/>
      <c r="V186" s="3"/>
      <c r="W186" s="236"/>
      <c r="X186" s="237">
        <v>12198005</v>
      </c>
      <c r="Y186" s="9">
        <f t="shared" si="0"/>
        <v>17801995</v>
      </c>
      <c r="Z186" s="34">
        <f t="shared" si="1"/>
        <v>0.40660016666666665</v>
      </c>
      <c r="AA186" s="85">
        <v>36665858</v>
      </c>
      <c r="AB186" s="85" t="s">
        <v>5707</v>
      </c>
      <c r="AC186" s="85" t="s">
        <v>196</v>
      </c>
      <c r="AD186" s="85" t="s">
        <v>196</v>
      </c>
      <c r="AE186" s="236"/>
      <c r="AF186" s="238" t="s">
        <v>6224</v>
      </c>
      <c r="AG186" s="85" t="s">
        <v>192</v>
      </c>
      <c r="AH186" s="85" t="s">
        <v>191</v>
      </c>
    </row>
    <row r="187" spans="1:34" s="4" customFormat="1" x14ac:dyDescent="0.2">
      <c r="A187" s="16">
        <v>891780111</v>
      </c>
      <c r="B187" s="16" t="s">
        <v>54</v>
      </c>
      <c r="C187" s="85" t="s">
        <v>56</v>
      </c>
      <c r="D187" s="16" t="s">
        <v>60</v>
      </c>
      <c r="E187" s="1" t="s">
        <v>6225</v>
      </c>
      <c r="F187" s="16" t="s">
        <v>61</v>
      </c>
      <c r="G187" s="85" t="s">
        <v>61</v>
      </c>
      <c r="H187" s="85" t="s">
        <v>72</v>
      </c>
      <c r="I187" s="9">
        <v>180000000</v>
      </c>
      <c r="J187" s="94">
        <v>1</v>
      </c>
      <c r="K187" s="312">
        <v>14556250</v>
      </c>
      <c r="L187" s="2"/>
      <c r="M187" s="40">
        <f t="shared" si="5"/>
        <v>194556250</v>
      </c>
      <c r="N187" s="1" t="s">
        <v>6226</v>
      </c>
      <c r="O187" s="1" t="s">
        <v>6227</v>
      </c>
      <c r="P187" s="1" t="s">
        <v>6228</v>
      </c>
      <c r="Q187" s="3">
        <v>45013</v>
      </c>
      <c r="R187" s="3">
        <v>45013</v>
      </c>
      <c r="S187" s="3">
        <v>45107</v>
      </c>
      <c r="T187" s="41" t="s">
        <v>612</v>
      </c>
      <c r="U187" s="3"/>
      <c r="V187" s="3"/>
      <c r="W187" s="236">
        <v>45149</v>
      </c>
      <c r="X187" s="237">
        <v>60608596</v>
      </c>
      <c r="Y187" s="9">
        <f t="shared" si="0"/>
        <v>133947654</v>
      </c>
      <c r="Z187" s="34">
        <f t="shared" si="1"/>
        <v>0.31152222557743581</v>
      </c>
      <c r="AA187" s="85">
        <v>85459497</v>
      </c>
      <c r="AB187" s="85" t="s">
        <v>4837</v>
      </c>
      <c r="AC187" s="263" t="s">
        <v>196</v>
      </c>
      <c r="AD187" s="85" t="s">
        <v>196</v>
      </c>
      <c r="AE187" s="236">
        <v>45014</v>
      </c>
      <c r="AF187" s="238" t="s">
        <v>6229</v>
      </c>
      <c r="AG187" s="85" t="s">
        <v>192</v>
      </c>
      <c r="AH187" s="85" t="s">
        <v>191</v>
      </c>
    </row>
    <row r="188" spans="1:34" s="4" customFormat="1" x14ac:dyDescent="0.2">
      <c r="A188" s="16">
        <v>891780111</v>
      </c>
      <c r="B188" s="16" t="s">
        <v>54</v>
      </c>
      <c r="C188" s="85" t="s">
        <v>56</v>
      </c>
      <c r="D188" s="16" t="s">
        <v>60</v>
      </c>
      <c r="E188" s="1" t="s">
        <v>6230</v>
      </c>
      <c r="F188" s="16" t="s">
        <v>61</v>
      </c>
      <c r="G188" s="85" t="s">
        <v>61</v>
      </c>
      <c r="H188" s="85" t="s">
        <v>72</v>
      </c>
      <c r="I188" s="9">
        <v>99782404</v>
      </c>
      <c r="J188" s="94"/>
      <c r="K188" s="312"/>
      <c r="L188" s="2"/>
      <c r="M188" s="40">
        <f t="shared" si="5"/>
        <v>99782404</v>
      </c>
      <c r="N188" s="1" t="s">
        <v>6231</v>
      </c>
      <c r="O188" s="1" t="s">
        <v>6232</v>
      </c>
      <c r="P188" s="1" t="s">
        <v>6233</v>
      </c>
      <c r="Q188" s="3">
        <v>45014</v>
      </c>
      <c r="R188" s="3">
        <v>45028</v>
      </c>
      <c r="S188" s="3">
        <v>45290</v>
      </c>
      <c r="T188" s="41" t="s">
        <v>612</v>
      </c>
      <c r="U188" s="3"/>
      <c r="V188" s="3"/>
      <c r="W188" s="236"/>
      <c r="X188" s="237">
        <v>33779369</v>
      </c>
      <c r="Y188" s="9">
        <f t="shared" si="0"/>
        <v>66003035</v>
      </c>
      <c r="Z188" s="34">
        <f t="shared" si="1"/>
        <v>0.33853031843169462</v>
      </c>
      <c r="AA188" s="264">
        <v>26668285</v>
      </c>
      <c r="AB188" s="264" t="s">
        <v>5038</v>
      </c>
      <c r="AC188" s="263" t="s">
        <v>196</v>
      </c>
      <c r="AD188" s="85" t="s">
        <v>196</v>
      </c>
      <c r="AE188" s="236">
        <v>45028</v>
      </c>
      <c r="AF188" s="238" t="s">
        <v>6234</v>
      </c>
      <c r="AG188" s="85" t="s">
        <v>192</v>
      </c>
      <c r="AH188" s="85" t="s">
        <v>191</v>
      </c>
    </row>
    <row r="189" spans="1:34" s="4" customFormat="1" x14ac:dyDescent="0.2">
      <c r="A189" s="16">
        <v>891780111</v>
      </c>
      <c r="B189" s="16" t="s">
        <v>54</v>
      </c>
      <c r="C189" s="85" t="s">
        <v>56</v>
      </c>
      <c r="D189" s="16" t="s">
        <v>60</v>
      </c>
      <c r="E189" s="1" t="s">
        <v>6235</v>
      </c>
      <c r="F189" s="16" t="s">
        <v>61</v>
      </c>
      <c r="G189" s="85" t="s">
        <v>61</v>
      </c>
      <c r="H189" s="85" t="s">
        <v>72</v>
      </c>
      <c r="I189" s="9">
        <v>42140976</v>
      </c>
      <c r="J189" s="94"/>
      <c r="K189" s="312"/>
      <c r="L189" s="2"/>
      <c r="M189" s="40">
        <f t="shared" si="5"/>
        <v>42140976</v>
      </c>
      <c r="N189" s="1" t="s">
        <v>6236</v>
      </c>
      <c r="O189" s="1" t="s">
        <v>6237</v>
      </c>
      <c r="P189" s="1" t="s">
        <v>6238</v>
      </c>
      <c r="Q189" s="3">
        <v>45014</v>
      </c>
      <c r="R189" s="3">
        <v>45015</v>
      </c>
      <c r="S189" s="3">
        <v>45104</v>
      </c>
      <c r="T189" s="41" t="s">
        <v>612</v>
      </c>
      <c r="U189" s="3"/>
      <c r="V189" s="3"/>
      <c r="W189" s="236"/>
      <c r="X189" s="237">
        <v>32298129</v>
      </c>
      <c r="Y189" s="9">
        <f t="shared" si="0"/>
        <v>9842847</v>
      </c>
      <c r="Z189" s="34">
        <f t="shared" si="1"/>
        <v>0.76643049273467234</v>
      </c>
      <c r="AA189" s="255">
        <v>57297693</v>
      </c>
      <c r="AB189" s="255" t="s">
        <v>5446</v>
      </c>
      <c r="AC189" s="85" t="s">
        <v>196</v>
      </c>
      <c r="AD189" s="85" t="s">
        <v>196</v>
      </c>
      <c r="AE189" s="236"/>
      <c r="AF189" s="238" t="s">
        <v>6239</v>
      </c>
      <c r="AG189" s="85" t="s">
        <v>192</v>
      </c>
      <c r="AH189" s="85" t="s">
        <v>191</v>
      </c>
    </row>
    <row r="190" spans="1:34" s="4" customFormat="1" x14ac:dyDescent="0.25">
      <c r="A190" s="16">
        <v>891780111</v>
      </c>
      <c r="B190" s="16" t="s">
        <v>54</v>
      </c>
      <c r="C190" s="85" t="s">
        <v>57</v>
      </c>
      <c r="D190" s="16" t="s">
        <v>60</v>
      </c>
      <c r="E190" s="1" t="s">
        <v>6240</v>
      </c>
      <c r="F190" s="16" t="s">
        <v>61</v>
      </c>
      <c r="G190" s="85" t="s">
        <v>61</v>
      </c>
      <c r="H190" s="85" t="s">
        <v>72</v>
      </c>
      <c r="I190" s="9">
        <v>40230000</v>
      </c>
      <c r="J190" s="94"/>
      <c r="K190" s="312"/>
      <c r="L190" s="2"/>
      <c r="M190" s="40">
        <f t="shared" si="5"/>
        <v>40230000</v>
      </c>
      <c r="N190" s="1" t="s">
        <v>6241</v>
      </c>
      <c r="O190" s="1" t="s">
        <v>6242</v>
      </c>
      <c r="P190" s="1" t="s">
        <v>6238</v>
      </c>
      <c r="Q190" s="3">
        <v>45026</v>
      </c>
      <c r="R190" s="3">
        <v>45026</v>
      </c>
      <c r="S190" s="3">
        <v>45168</v>
      </c>
      <c r="T190" s="41" t="s">
        <v>612</v>
      </c>
      <c r="U190" s="3"/>
      <c r="V190" s="3"/>
      <c r="W190" s="236"/>
      <c r="X190" s="237">
        <v>32558843</v>
      </c>
      <c r="Y190" s="9">
        <f t="shared" si="0"/>
        <v>7671157</v>
      </c>
      <c r="Z190" s="34">
        <f t="shared" si="1"/>
        <v>0.80931749937857322</v>
      </c>
      <c r="AA190" s="85">
        <v>85152695</v>
      </c>
      <c r="AB190" s="85" t="s">
        <v>4890</v>
      </c>
      <c r="AC190" s="85" t="s">
        <v>196</v>
      </c>
      <c r="AD190" s="85" t="s">
        <v>196</v>
      </c>
      <c r="AE190" s="236"/>
      <c r="AF190" s="77" t="s">
        <v>6243</v>
      </c>
      <c r="AG190" s="85" t="s">
        <v>192</v>
      </c>
      <c r="AH190" s="85" t="s">
        <v>191</v>
      </c>
    </row>
    <row r="191" spans="1:34" s="4" customFormat="1" x14ac:dyDescent="0.25">
      <c r="A191" s="16">
        <v>891780111</v>
      </c>
      <c r="B191" s="16" t="s">
        <v>54</v>
      </c>
      <c r="C191" s="85" t="s">
        <v>56</v>
      </c>
      <c r="D191" s="16" t="s">
        <v>60</v>
      </c>
      <c r="E191" s="1" t="s">
        <v>6244</v>
      </c>
      <c r="F191" s="16" t="s">
        <v>61</v>
      </c>
      <c r="G191" s="85" t="s">
        <v>61</v>
      </c>
      <c r="H191" s="85" t="s">
        <v>72</v>
      </c>
      <c r="I191" s="9">
        <v>8228850</v>
      </c>
      <c r="J191" s="94"/>
      <c r="K191" s="312"/>
      <c r="L191" s="2"/>
      <c r="M191" s="40">
        <f t="shared" si="5"/>
        <v>8228850</v>
      </c>
      <c r="N191" s="1" t="s">
        <v>6245</v>
      </c>
      <c r="O191" s="1" t="s">
        <v>6246</v>
      </c>
      <c r="P191" s="1" t="s">
        <v>6238</v>
      </c>
      <c r="Q191" s="3">
        <v>45026</v>
      </c>
      <c r="R191" s="3">
        <v>45026</v>
      </c>
      <c r="S191" s="3">
        <v>45054</v>
      </c>
      <c r="T191" s="41" t="s">
        <v>612</v>
      </c>
      <c r="U191" s="3"/>
      <c r="V191" s="3"/>
      <c r="W191" s="236"/>
      <c r="X191" s="237">
        <v>3978200</v>
      </c>
      <c r="Y191" s="9">
        <f t="shared" si="0"/>
        <v>4250650</v>
      </c>
      <c r="Z191" s="34">
        <f t="shared" si="1"/>
        <v>0.48344543891309233</v>
      </c>
      <c r="AA191" s="85">
        <v>57297693</v>
      </c>
      <c r="AB191" s="85" t="s">
        <v>5446</v>
      </c>
      <c r="AC191" s="85" t="s">
        <v>196</v>
      </c>
      <c r="AD191" s="85" t="s">
        <v>196</v>
      </c>
      <c r="AE191" s="236"/>
      <c r="AF191" s="77" t="s">
        <v>6247</v>
      </c>
      <c r="AG191" s="85" t="s">
        <v>192</v>
      </c>
      <c r="AH191" s="85" t="s">
        <v>191</v>
      </c>
    </row>
    <row r="192" spans="1:34" s="4" customFormat="1" x14ac:dyDescent="0.25">
      <c r="A192" s="16">
        <v>891780111</v>
      </c>
      <c r="B192" s="16" t="s">
        <v>54</v>
      </c>
      <c r="C192" s="85" t="s">
        <v>58</v>
      </c>
      <c r="D192" s="16" t="s">
        <v>60</v>
      </c>
      <c r="E192" s="1" t="s">
        <v>6248</v>
      </c>
      <c r="F192" s="16" t="s">
        <v>61</v>
      </c>
      <c r="G192" s="85" t="s">
        <v>61</v>
      </c>
      <c r="H192" s="85" t="s">
        <v>72</v>
      </c>
      <c r="I192" s="9">
        <v>93249000</v>
      </c>
      <c r="J192" s="94"/>
      <c r="K192" s="312"/>
      <c r="L192" s="2"/>
      <c r="M192" s="40">
        <f t="shared" si="5"/>
        <v>93249000</v>
      </c>
      <c r="N192" s="1" t="s">
        <v>6249</v>
      </c>
      <c r="O192" s="1" t="s">
        <v>6192</v>
      </c>
      <c r="P192" s="1" t="s">
        <v>6238</v>
      </c>
      <c r="Q192" s="3">
        <v>45027</v>
      </c>
      <c r="R192" s="3">
        <v>45028</v>
      </c>
      <c r="S192" s="3">
        <v>45291</v>
      </c>
      <c r="T192" s="41" t="s">
        <v>612</v>
      </c>
      <c r="U192" s="3"/>
      <c r="V192" s="3"/>
      <c r="W192" s="236"/>
      <c r="X192" s="237">
        <v>33696613.170000002</v>
      </c>
      <c r="Y192" s="9">
        <f t="shared" si="0"/>
        <v>59552386.829999998</v>
      </c>
      <c r="Z192" s="34">
        <f t="shared" si="1"/>
        <v>0.36136165717594831</v>
      </c>
      <c r="AA192" s="85">
        <v>85466528</v>
      </c>
      <c r="AB192" s="85" t="s">
        <v>5602</v>
      </c>
      <c r="AC192" s="85" t="s">
        <v>196</v>
      </c>
      <c r="AD192" s="85" t="s">
        <v>196</v>
      </c>
      <c r="AE192" s="236">
        <v>45029</v>
      </c>
      <c r="AF192" s="77" t="s">
        <v>6250</v>
      </c>
      <c r="AG192" s="85" t="s">
        <v>192</v>
      </c>
      <c r="AH192" s="85" t="s">
        <v>191</v>
      </c>
    </row>
    <row r="193" spans="1:34" s="4" customFormat="1" x14ac:dyDescent="0.25">
      <c r="A193" s="16">
        <v>891780111</v>
      </c>
      <c r="B193" s="16" t="s">
        <v>54</v>
      </c>
      <c r="C193" s="85" t="s">
        <v>57</v>
      </c>
      <c r="D193" s="16" t="s">
        <v>60</v>
      </c>
      <c r="E193" s="1" t="s">
        <v>6251</v>
      </c>
      <c r="F193" s="16" t="s">
        <v>61</v>
      </c>
      <c r="G193" s="85" t="s">
        <v>61</v>
      </c>
      <c r="H193" s="85" t="s">
        <v>72</v>
      </c>
      <c r="I193" s="9">
        <v>25000000</v>
      </c>
      <c r="J193" s="94"/>
      <c r="K193" s="312"/>
      <c r="L193" s="2"/>
      <c r="M193" s="40">
        <f t="shared" si="5"/>
        <v>25000000</v>
      </c>
      <c r="N193" s="1" t="s">
        <v>6252</v>
      </c>
      <c r="O193" s="1" t="s">
        <v>6253</v>
      </c>
      <c r="P193" s="1" t="s">
        <v>6238</v>
      </c>
      <c r="Q193" s="3">
        <v>45033</v>
      </c>
      <c r="R193" s="3">
        <v>45035</v>
      </c>
      <c r="S193" s="3">
        <v>45289</v>
      </c>
      <c r="T193" s="41" t="s">
        <v>612</v>
      </c>
      <c r="U193" s="3"/>
      <c r="V193" s="3"/>
      <c r="W193" s="236"/>
      <c r="X193" s="237">
        <v>10353164.16</v>
      </c>
      <c r="Y193" s="9">
        <f t="shared" si="0"/>
        <v>14646835.84</v>
      </c>
      <c r="Z193" s="34">
        <f t="shared" si="1"/>
        <v>0.41412656640000001</v>
      </c>
      <c r="AA193" s="85">
        <v>85152695</v>
      </c>
      <c r="AB193" s="85" t="s">
        <v>4890</v>
      </c>
      <c r="AC193" s="85" t="s">
        <v>196</v>
      </c>
      <c r="AD193" s="85" t="s">
        <v>196</v>
      </c>
      <c r="AE193" s="236">
        <v>45035</v>
      </c>
      <c r="AF193" s="77" t="s">
        <v>6254</v>
      </c>
      <c r="AG193" s="85" t="s">
        <v>192</v>
      </c>
      <c r="AH193" s="85" t="s">
        <v>191</v>
      </c>
    </row>
    <row r="194" spans="1:34" s="4" customFormat="1" x14ac:dyDescent="0.25">
      <c r="A194" s="16">
        <v>891780111</v>
      </c>
      <c r="B194" s="16" t="s">
        <v>54</v>
      </c>
      <c r="C194" s="85" t="s">
        <v>56</v>
      </c>
      <c r="D194" s="16" t="s">
        <v>60</v>
      </c>
      <c r="E194" s="1" t="s">
        <v>6255</v>
      </c>
      <c r="F194" s="16" t="s">
        <v>61</v>
      </c>
      <c r="G194" s="85" t="s">
        <v>61</v>
      </c>
      <c r="H194" s="85" t="s">
        <v>72</v>
      </c>
      <c r="I194" s="9">
        <v>3944000</v>
      </c>
      <c r="J194" s="94"/>
      <c r="K194" s="312"/>
      <c r="L194" s="2"/>
      <c r="M194" s="40">
        <f t="shared" si="5"/>
        <v>3944000</v>
      </c>
      <c r="N194" s="1" t="s">
        <v>6256</v>
      </c>
      <c r="O194" s="1" t="s">
        <v>6257</v>
      </c>
      <c r="P194" s="1" t="s">
        <v>6238</v>
      </c>
      <c r="Q194" s="3">
        <v>45036</v>
      </c>
      <c r="R194" s="3">
        <v>45036</v>
      </c>
      <c r="S194" s="3">
        <v>45291</v>
      </c>
      <c r="T194" s="41" t="s">
        <v>612</v>
      </c>
      <c r="U194" s="3"/>
      <c r="V194" s="3"/>
      <c r="W194" s="236"/>
      <c r="X194" s="237">
        <v>2730000</v>
      </c>
      <c r="Y194" s="9">
        <f t="shared" si="0"/>
        <v>1214000</v>
      </c>
      <c r="Z194" s="34">
        <f t="shared" si="1"/>
        <v>0.69219066937119678</v>
      </c>
      <c r="AA194" s="85">
        <v>72175282</v>
      </c>
      <c r="AB194" s="85" t="s">
        <v>5399</v>
      </c>
      <c r="AC194" s="85" t="s">
        <v>196</v>
      </c>
      <c r="AD194" s="85" t="s">
        <v>196</v>
      </c>
      <c r="AE194" s="236"/>
      <c r="AF194" s="66" t="s">
        <v>6258</v>
      </c>
      <c r="AG194" s="85" t="s">
        <v>192</v>
      </c>
      <c r="AH194" s="85" t="s">
        <v>191</v>
      </c>
    </row>
    <row r="195" spans="1:34" s="4" customFormat="1" x14ac:dyDescent="0.25">
      <c r="A195" s="16">
        <v>891780111</v>
      </c>
      <c r="B195" s="16" t="s">
        <v>54</v>
      </c>
      <c r="C195" s="85" t="s">
        <v>56</v>
      </c>
      <c r="D195" s="16" t="s">
        <v>60</v>
      </c>
      <c r="E195" s="1" t="s">
        <v>6259</v>
      </c>
      <c r="F195" s="16" t="s">
        <v>61</v>
      </c>
      <c r="G195" s="85" t="s">
        <v>61</v>
      </c>
      <c r="H195" s="85" t="s">
        <v>72</v>
      </c>
      <c r="I195" s="9">
        <v>100000000</v>
      </c>
      <c r="J195" s="94"/>
      <c r="K195" s="312"/>
      <c r="L195" s="2"/>
      <c r="M195" s="40">
        <f t="shared" si="5"/>
        <v>100000000</v>
      </c>
      <c r="N195" s="1" t="s">
        <v>5730</v>
      </c>
      <c r="O195" s="1" t="s">
        <v>5731</v>
      </c>
      <c r="P195" s="1" t="s">
        <v>6238</v>
      </c>
      <c r="Q195" s="3">
        <v>45040</v>
      </c>
      <c r="R195" s="3">
        <v>45048</v>
      </c>
      <c r="S195" s="3">
        <v>45291</v>
      </c>
      <c r="T195" s="41" t="s">
        <v>612</v>
      </c>
      <c r="U195" s="3"/>
      <c r="V195" s="3"/>
      <c r="W195" s="236"/>
      <c r="X195" s="237">
        <v>40684596.57</v>
      </c>
      <c r="Y195" s="9">
        <f t="shared" si="0"/>
        <v>59315403.43</v>
      </c>
      <c r="Z195" s="34">
        <f t="shared" si="1"/>
        <v>0.40684596569999998</v>
      </c>
      <c r="AA195" s="85">
        <v>36665858</v>
      </c>
      <c r="AB195" s="85" t="s">
        <v>5707</v>
      </c>
      <c r="AC195" s="85" t="s">
        <v>196</v>
      </c>
      <c r="AD195" s="85" t="s">
        <v>196</v>
      </c>
      <c r="AE195" s="236">
        <v>45048</v>
      </c>
      <c r="AF195" s="77" t="s">
        <v>6260</v>
      </c>
      <c r="AG195" s="85" t="s">
        <v>192</v>
      </c>
      <c r="AH195" s="85" t="s">
        <v>191</v>
      </c>
    </row>
    <row r="196" spans="1:34" s="4" customFormat="1" x14ac:dyDescent="0.2">
      <c r="A196" s="16">
        <v>891780111</v>
      </c>
      <c r="B196" s="16" t="s">
        <v>54</v>
      </c>
      <c r="C196" s="85" t="s">
        <v>57</v>
      </c>
      <c r="D196" s="16" t="s">
        <v>60</v>
      </c>
      <c r="E196" s="1" t="s">
        <v>6261</v>
      </c>
      <c r="F196" s="16" t="s">
        <v>61</v>
      </c>
      <c r="G196" s="85" t="s">
        <v>61</v>
      </c>
      <c r="H196" s="85" t="s">
        <v>72</v>
      </c>
      <c r="I196" s="9">
        <v>5000000</v>
      </c>
      <c r="J196" s="94"/>
      <c r="K196" s="312"/>
      <c r="L196" s="2"/>
      <c r="M196" s="40">
        <f t="shared" si="5"/>
        <v>5000000</v>
      </c>
      <c r="N196" s="1" t="s">
        <v>6262</v>
      </c>
      <c r="O196" s="1" t="s">
        <v>6263</v>
      </c>
      <c r="P196" s="1" t="s">
        <v>6264</v>
      </c>
      <c r="Q196" s="3">
        <v>45062</v>
      </c>
      <c r="R196" s="3">
        <v>45062</v>
      </c>
      <c r="S196" s="3">
        <v>45289</v>
      </c>
      <c r="T196" s="41" t="s">
        <v>612</v>
      </c>
      <c r="U196" s="3"/>
      <c r="V196" s="3"/>
      <c r="W196" s="236"/>
      <c r="X196" s="237">
        <v>2257849.7400000002</v>
      </c>
      <c r="Y196" s="9">
        <f t="shared" si="0"/>
        <v>2742150.26</v>
      </c>
      <c r="Z196" s="34">
        <f t="shared" si="1"/>
        <v>0.45156994800000005</v>
      </c>
      <c r="AA196" s="85">
        <v>85152695</v>
      </c>
      <c r="AB196" s="85" t="s">
        <v>4890</v>
      </c>
      <c r="AC196" s="85" t="s">
        <v>196</v>
      </c>
      <c r="AD196" s="85" t="s">
        <v>196</v>
      </c>
      <c r="AE196" s="236"/>
      <c r="AF196" s="216" t="s">
        <v>6265</v>
      </c>
      <c r="AG196" s="85" t="s">
        <v>192</v>
      </c>
      <c r="AH196" s="85" t="s">
        <v>191</v>
      </c>
    </row>
    <row r="197" spans="1:34" s="4" customFormat="1" x14ac:dyDescent="0.2">
      <c r="A197" s="16">
        <v>891780111</v>
      </c>
      <c r="B197" s="16" t="s">
        <v>54</v>
      </c>
      <c r="C197" s="85" t="s">
        <v>56</v>
      </c>
      <c r="D197" s="16" t="s">
        <v>60</v>
      </c>
      <c r="E197" s="1" t="s">
        <v>6266</v>
      </c>
      <c r="F197" s="16" t="s">
        <v>61</v>
      </c>
      <c r="G197" s="85" t="s">
        <v>61</v>
      </c>
      <c r="H197" s="85" t="s">
        <v>72</v>
      </c>
      <c r="I197" s="9">
        <v>102392120</v>
      </c>
      <c r="J197" s="94"/>
      <c r="K197" s="312"/>
      <c r="L197" s="2"/>
      <c r="M197" s="40">
        <f t="shared" si="5"/>
        <v>102392120</v>
      </c>
      <c r="N197" s="1">
        <v>900406952</v>
      </c>
      <c r="O197" s="1" t="s">
        <v>6267</v>
      </c>
      <c r="P197" s="1" t="s">
        <v>6268</v>
      </c>
      <c r="Q197" s="3">
        <v>45104</v>
      </c>
      <c r="R197" s="3">
        <v>45106</v>
      </c>
      <c r="S197" s="3">
        <v>45138</v>
      </c>
      <c r="T197" s="41" t="s">
        <v>612</v>
      </c>
      <c r="U197" s="3"/>
      <c r="V197" s="3"/>
      <c r="W197" s="236"/>
      <c r="X197" s="237">
        <v>20793103</v>
      </c>
      <c r="Y197" s="9">
        <f t="shared" si="0"/>
        <v>81599017</v>
      </c>
      <c r="Z197" s="34">
        <f t="shared" si="1"/>
        <v>0.20307327360738306</v>
      </c>
      <c r="AA197" s="85">
        <v>45507423</v>
      </c>
      <c r="AB197" s="85" t="s">
        <v>6269</v>
      </c>
      <c r="AC197" s="85" t="s">
        <v>196</v>
      </c>
      <c r="AD197" s="85" t="s">
        <v>196</v>
      </c>
      <c r="AE197" s="236">
        <v>45106</v>
      </c>
      <c r="AF197" s="216" t="s">
        <v>6270</v>
      </c>
      <c r="AG197" s="85" t="s">
        <v>192</v>
      </c>
      <c r="AH197" s="85" t="s">
        <v>191</v>
      </c>
    </row>
    <row r="198" spans="1:34" s="4" customFormat="1" x14ac:dyDescent="0.25">
      <c r="A198" s="16">
        <v>891780111</v>
      </c>
      <c r="B198" s="16" t="s">
        <v>54</v>
      </c>
      <c r="C198" s="85" t="s">
        <v>56</v>
      </c>
      <c r="D198" s="16" t="s">
        <v>60</v>
      </c>
      <c r="E198" s="1" t="s">
        <v>6271</v>
      </c>
      <c r="F198" s="16" t="s">
        <v>61</v>
      </c>
      <c r="G198" s="85" t="s">
        <v>61</v>
      </c>
      <c r="H198" s="85" t="s">
        <v>72</v>
      </c>
      <c r="I198" s="9">
        <v>15000000</v>
      </c>
      <c r="J198" s="94"/>
      <c r="K198" s="312"/>
      <c r="L198" s="2"/>
      <c r="M198" s="40">
        <f t="shared" si="5"/>
        <v>15000000</v>
      </c>
      <c r="N198" s="1">
        <v>36549782</v>
      </c>
      <c r="O198" s="1" t="s">
        <v>6257</v>
      </c>
      <c r="P198" t="s">
        <v>6272</v>
      </c>
      <c r="Q198" s="3" t="s">
        <v>5940</v>
      </c>
      <c r="R198" s="3" t="s">
        <v>5940</v>
      </c>
      <c r="S198" s="3" t="s">
        <v>4836</v>
      </c>
      <c r="T198" s="41" t="s">
        <v>612</v>
      </c>
      <c r="U198" s="3"/>
      <c r="V198" s="3"/>
      <c r="W198" s="236"/>
      <c r="X198" s="237">
        <v>0</v>
      </c>
      <c r="Y198" s="9">
        <f t="shared" si="0"/>
        <v>15000000</v>
      </c>
      <c r="Z198" s="34">
        <f t="shared" si="1"/>
        <v>0</v>
      </c>
      <c r="AA198" s="85">
        <v>26668285</v>
      </c>
      <c r="AB198" s="85" t="s">
        <v>5038</v>
      </c>
      <c r="AC198" s="85" t="s">
        <v>196</v>
      </c>
      <c r="AD198" s="85" t="s">
        <v>196</v>
      </c>
      <c r="AE198" s="236"/>
      <c r="AF198" s="216" t="s">
        <v>6273</v>
      </c>
      <c r="AG198" s="85" t="s">
        <v>192</v>
      </c>
      <c r="AH198" s="85" t="s">
        <v>191</v>
      </c>
    </row>
    <row r="199" spans="1:34" s="4" customFormat="1" x14ac:dyDescent="0.2">
      <c r="A199" s="16">
        <v>891780111</v>
      </c>
      <c r="B199" s="16" t="s">
        <v>54</v>
      </c>
      <c r="C199" s="85" t="s">
        <v>56</v>
      </c>
      <c r="D199" s="16" t="s">
        <v>60</v>
      </c>
      <c r="E199" s="1" t="s">
        <v>6274</v>
      </c>
      <c r="F199" s="16" t="s">
        <v>61</v>
      </c>
      <c r="G199" s="85" t="s">
        <v>61</v>
      </c>
      <c r="H199" s="85" t="s">
        <v>72</v>
      </c>
      <c r="I199" s="9">
        <v>150000000</v>
      </c>
      <c r="J199" s="94"/>
      <c r="K199" s="312"/>
      <c r="L199" s="2"/>
      <c r="M199" s="40">
        <f t="shared" si="5"/>
        <v>150000000</v>
      </c>
      <c r="N199" s="1" t="s">
        <v>5882</v>
      </c>
      <c r="O199" s="1" t="s">
        <v>5883</v>
      </c>
      <c r="P199" s="85" t="s">
        <v>6275</v>
      </c>
      <c r="Q199" s="3">
        <v>45135</v>
      </c>
      <c r="R199" s="3">
        <v>45139</v>
      </c>
      <c r="S199" s="3">
        <v>45290</v>
      </c>
      <c r="T199" s="41" t="s">
        <v>612</v>
      </c>
      <c r="U199" s="3"/>
      <c r="V199" s="3"/>
      <c r="W199" s="236"/>
      <c r="X199" s="237">
        <v>34938400</v>
      </c>
      <c r="Y199" s="9">
        <f t="shared" si="0"/>
        <v>115061600</v>
      </c>
      <c r="Z199" s="34">
        <f t="shared" si="1"/>
        <v>0.23292266666666667</v>
      </c>
      <c r="AA199" s="85">
        <v>85465146</v>
      </c>
      <c r="AB199" s="85" t="s">
        <v>4857</v>
      </c>
      <c r="AC199" s="85" t="s">
        <v>196</v>
      </c>
      <c r="AD199" s="85" t="s">
        <v>196</v>
      </c>
      <c r="AE199" s="236">
        <v>45139</v>
      </c>
      <c r="AF199" s="216" t="s">
        <v>6276</v>
      </c>
      <c r="AG199" s="85" t="s">
        <v>192</v>
      </c>
      <c r="AH199" s="85" t="s">
        <v>191</v>
      </c>
    </row>
    <row r="200" spans="1:34" s="4" customFormat="1" x14ac:dyDescent="0.2">
      <c r="A200" s="16">
        <v>891780111</v>
      </c>
      <c r="B200" s="16" t="s">
        <v>54</v>
      </c>
      <c r="C200" s="85" t="s">
        <v>57</v>
      </c>
      <c r="D200" s="16" t="s">
        <v>60</v>
      </c>
      <c r="E200" s="1" t="s">
        <v>6277</v>
      </c>
      <c r="F200" s="16" t="s">
        <v>61</v>
      </c>
      <c r="G200" s="85" t="s">
        <v>61</v>
      </c>
      <c r="H200" s="85" t="s">
        <v>71</v>
      </c>
      <c r="I200" s="9">
        <v>287150006</v>
      </c>
      <c r="J200" s="94">
        <v>1</v>
      </c>
      <c r="K200" s="312">
        <v>27388028</v>
      </c>
      <c r="L200" s="2"/>
      <c r="M200" s="40">
        <f t="shared" si="5"/>
        <v>314538034</v>
      </c>
      <c r="N200" s="1">
        <v>901185241</v>
      </c>
      <c r="O200" s="1" t="s">
        <v>6278</v>
      </c>
      <c r="P200" s="1" t="s">
        <v>6279</v>
      </c>
      <c r="Q200" s="3">
        <v>44971</v>
      </c>
      <c r="R200" s="3">
        <v>44986</v>
      </c>
      <c r="S200" s="3">
        <v>45076</v>
      </c>
      <c r="T200" s="41" t="s">
        <v>612</v>
      </c>
      <c r="U200" s="3"/>
      <c r="V200" s="3"/>
      <c r="W200" s="236"/>
      <c r="X200" s="237">
        <v>314538034</v>
      </c>
      <c r="Y200" s="9">
        <f t="shared" si="0"/>
        <v>0</v>
      </c>
      <c r="Z200" s="34">
        <f t="shared" si="1"/>
        <v>1</v>
      </c>
      <c r="AA200" s="85">
        <v>85151631</v>
      </c>
      <c r="AB200" s="85" t="s">
        <v>5873</v>
      </c>
      <c r="AC200" s="85" t="s">
        <v>192</v>
      </c>
      <c r="AD200" s="85" t="s">
        <v>196</v>
      </c>
      <c r="AE200" s="236">
        <v>44984</v>
      </c>
      <c r="AF200" s="238" t="s">
        <v>6280</v>
      </c>
      <c r="AG200" s="85" t="s">
        <v>192</v>
      </c>
      <c r="AH200" s="85" t="s">
        <v>191</v>
      </c>
    </row>
    <row r="201" spans="1:34" s="4" customFormat="1" x14ac:dyDescent="0.2">
      <c r="A201" s="16">
        <v>891780111</v>
      </c>
      <c r="B201" s="16" t="s">
        <v>54</v>
      </c>
      <c r="C201" s="85" t="s">
        <v>57</v>
      </c>
      <c r="D201" s="16" t="s">
        <v>60</v>
      </c>
      <c r="E201" s="1" t="s">
        <v>6281</v>
      </c>
      <c r="F201" s="16" t="s">
        <v>61</v>
      </c>
      <c r="G201" s="85" t="s">
        <v>61</v>
      </c>
      <c r="H201" s="85" t="s">
        <v>71</v>
      </c>
      <c r="I201" s="9">
        <v>105169041</v>
      </c>
      <c r="J201" s="94">
        <v>1</v>
      </c>
      <c r="K201" s="312">
        <v>4422973</v>
      </c>
      <c r="L201" s="2"/>
      <c r="M201" s="40">
        <f t="shared" si="5"/>
        <v>109592014</v>
      </c>
      <c r="N201" s="1" t="s">
        <v>6282</v>
      </c>
      <c r="O201" s="1" t="s">
        <v>6283</v>
      </c>
      <c r="P201" s="1" t="s">
        <v>6284</v>
      </c>
      <c r="Q201" s="3">
        <v>44998</v>
      </c>
      <c r="R201" s="3">
        <v>45007</v>
      </c>
      <c r="S201" s="3">
        <v>45043</v>
      </c>
      <c r="T201" s="41" t="s">
        <v>612</v>
      </c>
      <c r="U201" s="3"/>
      <c r="V201" s="3"/>
      <c r="W201" s="236"/>
      <c r="X201" s="237">
        <v>109592014</v>
      </c>
      <c r="Y201" s="9">
        <f t="shared" si="0"/>
        <v>0</v>
      </c>
      <c r="Z201" s="34">
        <f t="shared" si="1"/>
        <v>1</v>
      </c>
      <c r="AA201" s="85">
        <v>72221403</v>
      </c>
      <c r="AB201" s="85" t="s">
        <v>2259</v>
      </c>
      <c r="AC201" s="85" t="s">
        <v>192</v>
      </c>
      <c r="AD201" s="85" t="s">
        <v>196</v>
      </c>
      <c r="AE201" s="236">
        <v>44973</v>
      </c>
      <c r="AF201" s="238" t="s">
        <v>6285</v>
      </c>
      <c r="AG201" s="85" t="s">
        <v>192</v>
      </c>
      <c r="AH201" s="85" t="s">
        <v>191</v>
      </c>
    </row>
    <row r="202" spans="1:34" s="4" customFormat="1" x14ac:dyDescent="0.25">
      <c r="A202" s="16">
        <v>891780111</v>
      </c>
      <c r="B202" s="16" t="s">
        <v>54</v>
      </c>
      <c r="C202" s="85" t="s">
        <v>58</v>
      </c>
      <c r="D202" s="16" t="s">
        <v>60</v>
      </c>
      <c r="E202" s="1" t="s">
        <v>6286</v>
      </c>
      <c r="F202" s="16" t="s">
        <v>61</v>
      </c>
      <c r="G202" s="85" t="s">
        <v>61</v>
      </c>
      <c r="H202" s="85" t="s">
        <v>71</v>
      </c>
      <c r="I202" s="9">
        <v>287680000</v>
      </c>
      <c r="J202" s="94"/>
      <c r="K202" s="312"/>
      <c r="L202" s="2"/>
      <c r="M202" s="40">
        <f>+I202+K202-L202</f>
        <v>287680000</v>
      </c>
      <c r="N202" s="1" t="s">
        <v>6287</v>
      </c>
      <c r="O202" s="1" t="s">
        <v>6288</v>
      </c>
      <c r="P202" s="1" t="s">
        <v>6289</v>
      </c>
      <c r="Q202" s="3">
        <v>45034</v>
      </c>
      <c r="R202" s="3">
        <v>45041</v>
      </c>
      <c r="S202" s="3">
        <v>45080</v>
      </c>
      <c r="T202" s="41" t="s">
        <v>192</v>
      </c>
      <c r="U202" s="3">
        <v>45070</v>
      </c>
      <c r="V202" s="3"/>
      <c r="W202" s="236"/>
      <c r="X202" s="237">
        <v>143840000</v>
      </c>
      <c r="Y202" s="9">
        <f>M202-X202</f>
        <v>143840000</v>
      </c>
      <c r="Z202" s="34">
        <f>+(X202/M202)</f>
        <v>0.5</v>
      </c>
      <c r="AA202" s="85">
        <v>15443332</v>
      </c>
      <c r="AB202" s="85" t="s">
        <v>5907</v>
      </c>
      <c r="AC202" s="85" t="s">
        <v>192</v>
      </c>
      <c r="AD202" s="85" t="s">
        <v>196</v>
      </c>
      <c r="AE202" s="236">
        <v>45035</v>
      </c>
      <c r="AF202" s="77" t="s">
        <v>6290</v>
      </c>
      <c r="AG202" s="85" t="s">
        <v>192</v>
      </c>
      <c r="AH202" s="85" t="s">
        <v>191</v>
      </c>
    </row>
    <row r="203" spans="1:34" ht="15.75" customHeight="1" x14ac:dyDescent="0.25">
      <c r="A203" s="16">
        <v>891780111</v>
      </c>
      <c r="B203" s="16" t="s">
        <v>54</v>
      </c>
      <c r="C203" s="265" t="s">
        <v>57</v>
      </c>
      <c r="D203" s="16" t="s">
        <v>60</v>
      </c>
      <c r="E203" s="1" t="s">
        <v>6291</v>
      </c>
      <c r="F203" s="16" t="s">
        <v>61</v>
      </c>
      <c r="G203" s="85" t="s">
        <v>61</v>
      </c>
      <c r="H203" s="85" t="s">
        <v>71</v>
      </c>
      <c r="I203" s="9">
        <v>28984746</v>
      </c>
      <c r="J203" s="94"/>
      <c r="K203" s="312"/>
      <c r="L203" s="2"/>
      <c r="M203" s="40">
        <f>+I203+K203-L203</f>
        <v>28984746</v>
      </c>
      <c r="N203" s="1">
        <v>901468858</v>
      </c>
      <c r="O203" s="1" t="s">
        <v>6292</v>
      </c>
      <c r="P203" s="190" t="s">
        <v>6293</v>
      </c>
      <c r="Q203" s="3" t="s">
        <v>4962</v>
      </c>
      <c r="R203" s="3" t="s">
        <v>5173</v>
      </c>
      <c r="S203" s="3" t="s">
        <v>6294</v>
      </c>
      <c r="T203" s="41" t="s">
        <v>612</v>
      </c>
      <c r="U203" s="70"/>
      <c r="V203" s="70"/>
      <c r="W203" s="70"/>
      <c r="X203" s="237">
        <v>14492373</v>
      </c>
      <c r="Y203" s="9">
        <f>M203-X203</f>
        <v>14492373</v>
      </c>
      <c r="Z203" s="34">
        <f>+(X203/M203)</f>
        <v>0.5</v>
      </c>
      <c r="AA203" s="85">
        <v>15443332</v>
      </c>
      <c r="AB203" s="85" t="s">
        <v>5907</v>
      </c>
      <c r="AC203" s="85" t="s">
        <v>192</v>
      </c>
      <c r="AD203" s="85" t="s">
        <v>196</v>
      </c>
      <c r="AE203" s="236">
        <v>45132</v>
      </c>
      <c r="AF203" s="216" t="s">
        <v>6295</v>
      </c>
      <c r="AG203" s="85" t="s">
        <v>192</v>
      </c>
      <c r="AH203" s="85" t="s">
        <v>191</v>
      </c>
    </row>
    <row r="204" spans="1:34" s="5" customFormat="1" x14ac:dyDescent="0.25">
      <c r="A204" s="10"/>
      <c r="B204" s="11"/>
      <c r="C204" s="10" t="s">
        <v>311</v>
      </c>
      <c r="D204" s="12"/>
      <c r="E204" s="188">
        <f>COUNTA(E5:E203)</f>
        <v>199</v>
      </c>
      <c r="F204" s="11"/>
      <c r="G204" s="11"/>
      <c r="H204" s="12"/>
      <c r="I204" s="13">
        <f>SUM(I5:I203)</f>
        <v>10337238180</v>
      </c>
      <c r="J204" s="188">
        <f>COUNTA(J5:J203)</f>
        <v>8</v>
      </c>
      <c r="K204" s="13">
        <f>SUM(K5:K203)</f>
        <v>354521794</v>
      </c>
      <c r="L204" s="13">
        <f>SUM(L5:L203)</f>
        <v>0</v>
      </c>
      <c r="M204" s="13">
        <f>SUM(M5:M203)</f>
        <v>10691759974</v>
      </c>
      <c r="N204" s="11"/>
      <c r="O204" s="11"/>
      <c r="P204" s="11"/>
      <c r="Q204" s="11"/>
      <c r="R204" s="11"/>
      <c r="S204" s="11"/>
      <c r="T204" s="11"/>
      <c r="U204" s="11"/>
      <c r="V204" s="11"/>
      <c r="W204" s="11"/>
      <c r="X204" s="13">
        <f>SUM(X5:X203)</f>
        <v>6965136942.4099989</v>
      </c>
      <c r="Y204" s="13">
        <f>SUM(Y5:Y203)</f>
        <v>3726623031.5900002</v>
      </c>
      <c r="Z204" s="69"/>
      <c r="AA204" s="11"/>
      <c r="AB204" s="11"/>
      <c r="AC204" s="11"/>
      <c r="AD204" s="11"/>
      <c r="AE204" s="11"/>
      <c r="AF204" s="11"/>
      <c r="AG204" s="11"/>
      <c r="AH204" s="11"/>
    </row>
  </sheetData>
  <mergeCells count="7">
    <mergeCell ref="AF3:AH3"/>
    <mergeCell ref="A1:D1"/>
    <mergeCell ref="G1:H1"/>
    <mergeCell ref="A2:C2"/>
    <mergeCell ref="D2:F2"/>
    <mergeCell ref="G2:H3"/>
    <mergeCell ref="K2:P3"/>
  </mergeCells>
  <conditionalFormatting sqref="D2">
    <cfRule type="containsText" dxfId="26" priority="2" operator="containsText" text="Seleccione Ordenador">
      <formula>NOT(ISERROR(SEARCH("Seleccione Ordenador",D2)))</formula>
    </cfRule>
  </conditionalFormatting>
  <conditionalFormatting sqref="E1">
    <cfRule type="containsText" dxfId="25" priority="1" operator="containsText" text="Seleccione Periodo">
      <formula>NOT(ISERROR(SEARCH("Seleccione Periodo",E1)))</formula>
    </cfRule>
  </conditionalFormatting>
  <dataValidations count="9">
    <dataValidation type="list" allowBlank="1" showInputMessage="1" showErrorMessage="1" sqref="AH5:AH203" xr:uid="{47F48800-9271-4818-A33A-A333AC45935B}">
      <formula1>"SI,NA por TIPO Contrato"</formula1>
    </dataValidation>
    <dataValidation type="list" allowBlank="1" showInputMessage="1" showErrorMessage="1" sqref="AG5:AG203" xr:uid="{920EB1C5-F007-457D-B7F2-AFD4857E7320}">
      <formula1>"SI,NO HA INICIADO"</formula1>
    </dataValidation>
    <dataValidation type="list" allowBlank="1" showInputMessage="1" showErrorMessage="1" sqref="H5:H203" xr:uid="{BDA11EAD-05D4-4263-A25F-2999EADD5906}">
      <formula1>tipologia</formula1>
    </dataValidation>
    <dataValidation type="list" allowBlank="1" showInputMessage="1" showErrorMessage="1" sqref="G5:G203" xr:uid="{B0A9FF44-A4B7-4B59-B7A2-084B00695D95}">
      <formula1>modalidad</formula1>
    </dataValidation>
    <dataValidation type="list" allowBlank="1" showInputMessage="1" showErrorMessage="1" sqref="C5:C202" xr:uid="{37985027-F862-435D-9009-6D54CB6E9287}">
      <formula1>rubro</formula1>
    </dataValidation>
    <dataValidation type="list" allowBlank="1" showInputMessage="1" showErrorMessage="1" sqref="T5:T97 T99:T203" xr:uid="{8FCD28FD-5C7D-47BB-B110-F66159747F16}">
      <formula1>"SI,N/A"</formula1>
    </dataValidation>
    <dataValidation type="list" allowBlank="1" showInputMessage="1" showErrorMessage="1" sqref="AC5:AD97 AC99:AD203" xr:uid="{FEB454F5-532E-42C1-84AF-9A515419E9B6}">
      <formula1>"SI,NO"</formula1>
    </dataValidation>
    <dataValidation type="list" allowBlank="1" showInputMessage="1" showErrorMessage="1" sqref="E1" xr:uid="{8C1C86AD-7708-442C-B3AE-B3C563789A6F}">
      <formula1>cortea</formula1>
    </dataValidation>
    <dataValidation type="list" allowBlank="1" showInputMessage="1" showErrorMessage="1" sqref="D2" xr:uid="{EAB098D4-52F7-41CE-BBDE-9E1346AAED3D}">
      <formula1>Delegatarios</formula1>
    </dataValidation>
  </dataValidations>
  <hyperlinks>
    <hyperlink ref="AF5" r:id="rId1" xr:uid="{99EBC53D-0730-4C66-8D64-5E2820E6EB70}"/>
    <hyperlink ref="AF6" r:id="rId2" xr:uid="{2AD61E85-B491-41F3-88AC-445DDCE2A014}"/>
    <hyperlink ref="AF13" r:id="rId3" xr:uid="{5A0F9AA5-DBF8-4DFE-B681-C59563732D70}"/>
    <hyperlink ref="AF14" r:id="rId4" xr:uid="{F587EA12-C67F-4310-995A-651712C78051}"/>
    <hyperlink ref="AF15" r:id="rId5" xr:uid="{838C1FAF-2CA8-4641-B674-567F1FB3B5ED}"/>
    <hyperlink ref="AF17" r:id="rId6" xr:uid="{F0780D69-E271-4BD1-8120-97908C31A168}"/>
    <hyperlink ref="AF18" r:id="rId7" xr:uid="{D61D7D37-4B47-4FF1-8000-E5F8DBB0A7FD}"/>
    <hyperlink ref="AF130" r:id="rId8" xr:uid="{F56313C4-2353-4EEB-82E7-A642DAE57B3B}"/>
    <hyperlink ref="AF131" r:id="rId9" xr:uid="{5CAB05ED-8773-4FCC-9165-138F81EE49F1}"/>
    <hyperlink ref="AF132" r:id="rId10" xr:uid="{769247CB-D1C0-4EC9-842A-0FC5E64B4143}"/>
    <hyperlink ref="AF175" r:id="rId11" xr:uid="{57D1B63E-F092-45C0-BA4A-14C8D564B030}"/>
    <hyperlink ref="AF7" r:id="rId12" xr:uid="{2743D76C-4B91-4505-8285-FCA2373B0AE7}"/>
    <hyperlink ref="AF8" r:id="rId13" xr:uid="{288FC5EE-8820-4591-A5AB-AF62BCE39442}"/>
    <hyperlink ref="AF9" r:id="rId14" xr:uid="{2DCCDFDA-D540-469C-810C-2BB9DB7B1092}"/>
    <hyperlink ref="AF10" r:id="rId15" xr:uid="{C170091D-0494-4D18-A60D-E07FF6DE61FB}"/>
    <hyperlink ref="AF11" r:id="rId16" xr:uid="{6FFBD47C-BCDD-47C5-BB62-3783C1D2F189}"/>
    <hyperlink ref="AF12" r:id="rId17" xr:uid="{6D7FB8D2-43A3-4C60-860F-12959826C92C}"/>
    <hyperlink ref="AF16" r:id="rId18" xr:uid="{68E92358-81DE-4F96-A2E3-DF064F0095EC}"/>
    <hyperlink ref="AF19" r:id="rId19" xr:uid="{99AE3081-FBA6-4B22-8576-14741885D145}"/>
    <hyperlink ref="AF20" r:id="rId20" xr:uid="{E2A5288B-974E-4274-8E74-CB2BFAD6F73E}"/>
    <hyperlink ref="AF133" r:id="rId21" xr:uid="{E837315E-EC3C-494E-8861-0CBB437CED6A}"/>
    <hyperlink ref="AF134" r:id="rId22" xr:uid="{60B2EE19-3EE9-4F47-AABE-2B672E282A1E}"/>
    <hyperlink ref="AF135" r:id="rId23" xr:uid="{3ACF6AB0-D481-410E-A294-CC4452B69260}"/>
    <hyperlink ref="AF176" r:id="rId24" xr:uid="{BA4BE4EF-467B-4169-8821-531CD308D1FE}"/>
    <hyperlink ref="AF177" r:id="rId25" xr:uid="{583B03AC-0604-4450-89A6-8B6D30295627}"/>
    <hyperlink ref="AF178" r:id="rId26" xr:uid="{EDD04796-8FDE-440A-80B0-30EDACF5B045}"/>
    <hyperlink ref="AF179" r:id="rId27" xr:uid="{536B7AD6-35D7-439A-842C-DE45271FB827}"/>
    <hyperlink ref="AF180" r:id="rId28" xr:uid="{FE6846FB-CA64-434B-B171-62219D717BBB}"/>
    <hyperlink ref="AF200" r:id="rId29" xr:uid="{580DA054-550E-45E5-B96D-F407DCED20DA}"/>
    <hyperlink ref="AF181" r:id="rId30" xr:uid="{266C86C7-B3EB-4D80-9198-2E2C5BE67E7A}"/>
    <hyperlink ref="AF22" r:id="rId31" xr:uid="{404E1F35-0421-416C-892C-98B1DF554F8F}"/>
    <hyperlink ref="AF23" r:id="rId32" xr:uid="{47CE70B6-B2C3-4C8C-840D-1C9BBE69DBED}"/>
    <hyperlink ref="AF24" r:id="rId33" xr:uid="{F7B88BD8-1A14-4AF3-990E-8496EB3EB304}"/>
    <hyperlink ref="AF25" r:id="rId34" xr:uid="{B8E16640-7DF0-43BB-9DD9-3131DC567C1E}"/>
    <hyperlink ref="AF26" r:id="rId35" xr:uid="{388697DA-1A94-432D-9216-C59300A8F8B5}"/>
    <hyperlink ref="AF27" r:id="rId36" xr:uid="{1B03629A-0911-4C28-9EFA-257B5646CCB9}"/>
    <hyperlink ref="AF28" r:id="rId37" xr:uid="{0200D946-E112-4A3F-8EC8-F0FC0119F4ED}"/>
    <hyperlink ref="AF29" r:id="rId38" xr:uid="{B000AFFC-EAB4-43A6-A0F8-E0368CAE4E14}"/>
    <hyperlink ref="AF30" r:id="rId39" xr:uid="{F52F16D2-8D15-475D-9C33-06FEF7FC9163}"/>
    <hyperlink ref="AF31" r:id="rId40" xr:uid="{F739CE45-ABC6-4402-A25F-1128F63A16B3}"/>
    <hyperlink ref="AF32" r:id="rId41" xr:uid="{175C2562-9D1C-462D-A43A-9A8A0796A119}"/>
    <hyperlink ref="AF33" r:id="rId42" xr:uid="{B44210A9-6BDD-4D8A-AB7F-D79509726A33}"/>
    <hyperlink ref="AF34" r:id="rId43" xr:uid="{370450E3-A201-4A4D-8C41-76CE0E64B7D0}"/>
    <hyperlink ref="AF35" r:id="rId44" xr:uid="{D768C2D5-CFFC-4421-A3E9-4724A0991996}"/>
    <hyperlink ref="AF36" r:id="rId45" xr:uid="{A15A48D2-92F2-4664-BEA0-D3305A05AAA2}"/>
    <hyperlink ref="AF37" r:id="rId46" xr:uid="{45C81E07-019F-4350-8DC8-7BB18E144A78}"/>
    <hyperlink ref="AF38" r:id="rId47" xr:uid="{FAB39F67-7ADE-4C39-B753-654B3B69949E}"/>
    <hyperlink ref="AF39" r:id="rId48" xr:uid="{E3EA074C-36DA-4182-8078-4C4018AE7F91}"/>
    <hyperlink ref="AF40" r:id="rId49" xr:uid="{2D1DF89E-0195-4FE7-80A9-0BA7345A5CE3}"/>
    <hyperlink ref="AF41" r:id="rId50" xr:uid="{827B4398-732B-4333-848D-BCB8E553DDA2}"/>
    <hyperlink ref="AF42" r:id="rId51" xr:uid="{68A7C3DE-650C-4E6B-B464-4BE8A12D2AD2}"/>
    <hyperlink ref="AF44" r:id="rId52" xr:uid="{5E1CC90C-FEAC-4FCB-AD34-961C69F8C86B}"/>
    <hyperlink ref="AF43" r:id="rId53" xr:uid="{B33E91DA-6DFE-4160-B559-77B8DA4FB5B5}"/>
    <hyperlink ref="AF45" r:id="rId54" xr:uid="{724A08EB-2A5A-4727-870D-D3A09287ED01}"/>
    <hyperlink ref="AF46" r:id="rId55" xr:uid="{F670F3DD-190D-4FEE-BE2B-20411F9EFF8E}"/>
    <hyperlink ref="AF47" r:id="rId56" xr:uid="{B4FCB005-FF4B-4808-B916-AFA0CE2483F9}"/>
    <hyperlink ref="AF48" r:id="rId57" xr:uid="{6DBCF85D-C505-4034-B3A9-0B70E7909803}"/>
    <hyperlink ref="AF49" r:id="rId58" xr:uid="{7C75DB4D-E4A8-496B-9E3A-229023BE33FE}"/>
    <hyperlink ref="AF50" r:id="rId59" xr:uid="{3BE9BFA6-971F-491B-A5A2-20DFDA564925}"/>
    <hyperlink ref="AF51" r:id="rId60" xr:uid="{65284546-F2AF-46AB-A8E6-26BE441D3514}"/>
    <hyperlink ref="AF52" r:id="rId61" xr:uid="{83DEA039-FD14-4773-8030-043B0D47084E}"/>
    <hyperlink ref="AF53" r:id="rId62" xr:uid="{38908B71-ECBB-4697-9F17-7B21C8F34E0F}"/>
    <hyperlink ref="AF54" r:id="rId63" xr:uid="{63C16989-BB0B-4208-B853-921E681AAA14}"/>
    <hyperlink ref="AF56" r:id="rId64" xr:uid="{2A4EB120-7CF0-489C-BC20-483858FB55C1}"/>
    <hyperlink ref="AF55" r:id="rId65" xr:uid="{C1D0ADEF-9020-487E-AE6D-5FED0822B731}"/>
    <hyperlink ref="AF57" r:id="rId66" xr:uid="{79530703-0823-4748-9683-BA8E31856C21}"/>
    <hyperlink ref="AF136" r:id="rId67" xr:uid="{E20F8065-D22C-4466-96D8-3D53382BE839}"/>
    <hyperlink ref="AF58" r:id="rId68" xr:uid="{64C9E5C6-75B8-4679-ACEB-68FA758A915E}"/>
    <hyperlink ref="AF59" r:id="rId69" xr:uid="{D4D82F61-F1EA-444E-8B9C-BDE31B363C55}"/>
    <hyperlink ref="AF60" r:id="rId70" xr:uid="{1AB1DC66-B9A9-4217-8092-EB87E667A00F}"/>
    <hyperlink ref="AF61" r:id="rId71" xr:uid="{2A99A314-588D-436A-B012-5CFF9D4FBD12}"/>
    <hyperlink ref="AF62" r:id="rId72" xr:uid="{F1D5E563-8397-468A-AA84-D692647CAAD8}"/>
    <hyperlink ref="AF137" r:id="rId73" xr:uid="{047BBE76-A6A0-491E-A6A1-70C7CF131455}"/>
    <hyperlink ref="AF138" r:id="rId74" xr:uid="{33282CB1-22A9-4048-86A5-6CC0A581C836}"/>
    <hyperlink ref="AF139" r:id="rId75" xr:uid="{8DCD387D-7FF0-484C-8DDE-E9A820CFC8A6}"/>
    <hyperlink ref="AF140" r:id="rId76" xr:uid="{19469878-2965-4E78-8D85-A8D44E4C5C6E}"/>
    <hyperlink ref="AF141" r:id="rId77" xr:uid="{94F55C96-1B71-4A86-8B7A-B6DBAD54138D}"/>
    <hyperlink ref="AF142" r:id="rId78" xr:uid="{C9C6B60E-642F-4EB7-9495-10281A0C5925}"/>
    <hyperlink ref="AF143" r:id="rId79" xr:uid="{44A53D13-85A1-4509-849E-38AE97DCADB4}"/>
    <hyperlink ref="AF144" r:id="rId80" xr:uid="{C1CAA26C-1209-424F-96D8-C9CA2364F54B}"/>
    <hyperlink ref="AF145" r:id="rId81" xr:uid="{C6C3A929-6CF5-49B6-9E84-4CA1B18EB979}"/>
    <hyperlink ref="AF146" r:id="rId82" xr:uid="{77AE23DC-2A23-4070-A833-F9A8E4129712}"/>
    <hyperlink ref="AF182" r:id="rId83" xr:uid="{84847CCB-1D2E-48BC-8D35-D8AC7F64C411}"/>
    <hyperlink ref="AF183" r:id="rId84" xr:uid="{012D11EC-C685-42AD-A79B-2085B6FA2242}"/>
    <hyperlink ref="AF184" r:id="rId85" xr:uid="{4DAE510E-EB50-4985-A96F-6C42E1AE57E6}"/>
    <hyperlink ref="AF185" r:id="rId86" xr:uid="{19E74A8E-EE58-43E3-A45E-64B369B11E4A}"/>
    <hyperlink ref="AF187" r:id="rId87" xr:uid="{66F20893-2B63-4372-BF1A-C4AC02B921EF}"/>
    <hyperlink ref="AF188" r:id="rId88" xr:uid="{6311CEB6-53E5-4E19-BD30-0C0DC32C0326}"/>
    <hyperlink ref="AF189" r:id="rId89" xr:uid="{DCDEE5A2-94B2-4E30-9FBE-0628DDF99305}"/>
    <hyperlink ref="AF186" r:id="rId90" xr:uid="{D2A05C0D-CBE6-4010-A93D-D119CF4F20BC}"/>
    <hyperlink ref="AF201" r:id="rId91" xr:uid="{FEA98A4D-81B0-4866-8D35-E2FCAD1F26D8}"/>
    <hyperlink ref="AF64" r:id="rId92" xr:uid="{2E87F634-BE69-467E-90B9-796AC5188A8F}"/>
    <hyperlink ref="AF73" r:id="rId93" xr:uid="{4A26B1E0-002F-404D-B3CE-9337C0485E0A}"/>
    <hyperlink ref="AF66" r:id="rId94" xr:uid="{7F2E214B-2E84-43B1-8809-1899BC290AF0}"/>
    <hyperlink ref="AF68" r:id="rId95" xr:uid="{00A69D67-3338-48F7-8DAA-D387CB281267}"/>
    <hyperlink ref="AF69" r:id="rId96" xr:uid="{EBBCCC7E-F946-4B02-A965-226E0C81460E}"/>
    <hyperlink ref="AF70" r:id="rId97" xr:uid="{2542E23D-52FC-4AC2-AEEC-EE89054C8924}"/>
    <hyperlink ref="AF72" r:id="rId98" xr:uid="{5774A48C-5CC7-4451-B730-49AD2ACB915F}"/>
    <hyperlink ref="AF190" r:id="rId99" xr:uid="{1275C2B4-D3D7-4342-931E-6D07A02FF00F}"/>
    <hyperlink ref="AF191" r:id="rId100" xr:uid="{3D65508E-15B4-4740-92D3-BEA61CD53992}"/>
    <hyperlink ref="AF192" r:id="rId101" xr:uid="{792F2B56-62ED-4EB9-AC97-74C4355857E9}"/>
    <hyperlink ref="AF193" r:id="rId102" xr:uid="{61CD3DD1-E113-404C-9436-8500CA0C5AD5}"/>
    <hyperlink ref="AF194" r:id="rId103" xr:uid="{ED74C989-D700-4142-898B-7EF81DA23EF5}"/>
    <hyperlink ref="AF148" r:id="rId104" xr:uid="{68575E9C-A25A-449A-A5D2-6EC318A8EF31}"/>
    <hyperlink ref="AF149" r:id="rId105" xr:uid="{C001FE2D-E2F8-4D23-B374-202F5A114969}"/>
    <hyperlink ref="AF63" r:id="rId106" xr:uid="{D67F92B8-F326-489D-A41A-D4677BBAA1B3}"/>
    <hyperlink ref="AF65" r:id="rId107" xr:uid="{EC2FCBBA-0C35-4197-BDDC-D430385EA8DA}"/>
    <hyperlink ref="AF150" r:id="rId108" xr:uid="{45072993-11B3-49BA-A2B1-FD7FBB41C1C7}"/>
    <hyperlink ref="AF151" r:id="rId109" xr:uid="{93CAE313-466C-4707-BCD7-F8596AB497E7}"/>
    <hyperlink ref="AF152" r:id="rId110" xr:uid="{5FCCE3C5-3599-4167-A190-43EBCD9F86F6}"/>
    <hyperlink ref="AF153" r:id="rId111" xr:uid="{9410F997-6DEE-4ACA-8398-2DE0EB61363C}"/>
    <hyperlink ref="AF154" r:id="rId112" xr:uid="{5FAC00B2-8613-42F7-9B06-2CA72D6E8B4C}"/>
    <hyperlink ref="AF74" r:id="rId113" xr:uid="{8D95AC19-A95D-43AB-A9EE-77581BC6DA94}"/>
    <hyperlink ref="AF67" r:id="rId114" xr:uid="{0854E67D-C3DC-4246-8108-F1B1B4A83DCC}"/>
    <hyperlink ref="AF71" r:id="rId115" xr:uid="{CD586F6E-C024-44BC-8449-E77067832E1B}"/>
    <hyperlink ref="AF75" r:id="rId116" xr:uid="{D338DB20-9EBF-4089-8591-5336007BB973}"/>
    <hyperlink ref="AF147" r:id="rId117" xr:uid="{CFAED739-64D2-416A-82EC-4A4D969574F3}"/>
    <hyperlink ref="AF195" r:id="rId118" xr:uid="{4DC3BE8B-9536-40B2-BB47-D6C5ADE7081E}"/>
    <hyperlink ref="AF202" r:id="rId119" xr:uid="{AE857B4E-E577-4256-96F1-53F9FEAE8769}"/>
    <hyperlink ref="AF95" r:id="rId120" xr:uid="{9E194D87-6C09-4638-9F24-194BDB4BB1AA}"/>
    <hyperlink ref="AF170" r:id="rId121" xr:uid="{21B76366-0A40-4C59-A9C5-3C297CB36064}"/>
    <hyperlink ref="AF172" r:id="rId122" xr:uid="{8E4EB1D6-3821-48B8-B499-55F7E0BF49C4}"/>
    <hyperlink ref="AF129" r:id="rId123" xr:uid="{5EB5EF75-D186-4F0F-A718-126E3B47F187}"/>
  </hyperlinks>
  <pageMargins left="0" right="0" top="0" bottom="0" header="0.3" footer="0.3"/>
  <pageSetup paperSize="5" scale="38" orientation="landscape" r:id="rId1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B631-455C-4387-BD5D-FF0AAAAD4CAB}">
  <sheetPr>
    <tabColor theme="8" tint="0.59999389629810485"/>
  </sheetPr>
  <dimension ref="A1:AF14"/>
  <sheetViews>
    <sheetView zoomScaleNormal="100" zoomScaleSheetLayoutView="100" workbookViewId="0">
      <selection activeCell="AK12" sqref="AK12"/>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3.5703125" customWidth="1"/>
    <col min="8" max="8" width="12.85546875" customWidth="1"/>
    <col min="9" max="9" width="17.7109375" style="8" customWidth="1"/>
    <col min="10" max="10" width="16.140625" customWidth="1"/>
    <col min="11" max="11" width="15.7109375" customWidth="1"/>
    <col min="12" max="12" width="15.5703125" customWidth="1"/>
    <col min="13" max="13" width="16.7109375" customWidth="1"/>
    <col min="17" max="17" width="15.5703125" customWidth="1"/>
    <col min="18" max="18" width="14.42578125" customWidth="1"/>
    <col min="19" max="19" width="12.5703125" customWidth="1"/>
    <col min="20" max="20" width="17.140625" customWidth="1"/>
    <col min="21" max="21" width="16.85546875" customWidth="1"/>
    <col min="22" max="22" width="16.140625" customWidth="1"/>
    <col min="23" max="23" width="16.7109375" customWidth="1"/>
    <col min="24" max="24" width="14.140625" customWidth="1"/>
    <col min="25" max="25" width="14.42578125" customWidth="1"/>
    <col min="26" max="26" width="14.7109375" customWidth="1"/>
    <col min="29" max="29" width="14.85546875" customWidth="1"/>
    <col min="30" max="30" width="10.7109375" customWidth="1"/>
    <col min="31" max="31" width="10.28515625" customWidth="1"/>
    <col min="32" max="32" width="8.42578125" customWidth="1"/>
  </cols>
  <sheetData>
    <row r="1" spans="1:32" x14ac:dyDescent="0.25">
      <c r="A1" s="333" t="s">
        <v>84</v>
      </c>
      <c r="B1" s="333"/>
      <c r="C1" s="333"/>
      <c r="D1" s="333"/>
      <c r="E1" t="s">
        <v>46</v>
      </c>
      <c r="G1" s="334" t="s">
        <v>111</v>
      </c>
      <c r="H1" s="334"/>
      <c r="I1" s="29">
        <v>1160000</v>
      </c>
    </row>
    <row r="2" spans="1:32" ht="15" customHeight="1" x14ac:dyDescent="0.25">
      <c r="A2" s="335" t="s">
        <v>21</v>
      </c>
      <c r="B2" s="335"/>
      <c r="C2" s="335"/>
      <c r="D2" s="336" t="s">
        <v>33</v>
      </c>
      <c r="E2" s="336"/>
      <c r="F2" s="336"/>
      <c r="G2" s="337" t="s">
        <v>99</v>
      </c>
      <c r="H2" s="337"/>
      <c r="I2" s="21">
        <f>VLOOKUP($D$2,[4]Datos!$B$20:$C$35,2,FALSE)</f>
        <v>42</v>
      </c>
      <c r="J2" s="22" t="s">
        <v>85</v>
      </c>
      <c r="K2" s="339" t="str">
        <f>VLOOKUP($D$2,[4]Datos!$B$20:$D$35,3,FALSE)</f>
        <v>Sobre los recursos y fondos que segun las funciones esten a su cargo, proyectos del plan de acción que sea responsable, y aquellos generados en convenios o contratos</v>
      </c>
      <c r="L2" s="339"/>
      <c r="M2" s="339"/>
      <c r="N2" s="339"/>
      <c r="O2" s="339"/>
      <c r="P2" s="339"/>
    </row>
    <row r="3" spans="1:32" ht="15.75" customHeight="1" x14ac:dyDescent="0.25">
      <c r="G3" s="338"/>
      <c r="H3" s="338"/>
      <c r="I3" s="21">
        <f>I2*I1</f>
        <v>48720000</v>
      </c>
      <c r="J3" s="22" t="s">
        <v>93</v>
      </c>
      <c r="K3" s="340"/>
      <c r="L3" s="340"/>
      <c r="M3" s="340"/>
      <c r="N3" s="340"/>
      <c r="O3" s="340"/>
      <c r="P3" s="340"/>
      <c r="AD3" s="332" t="s">
        <v>80</v>
      </c>
      <c r="AE3" s="332"/>
      <c r="AF3" s="332"/>
    </row>
    <row r="4" spans="1:32" s="7" customFormat="1" ht="76.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7" t="s">
        <v>312</v>
      </c>
      <c r="U4" s="24" t="s">
        <v>313</v>
      </c>
      <c r="V4" s="28" t="s">
        <v>16</v>
      </c>
      <c r="W4" s="28" t="s">
        <v>17</v>
      </c>
      <c r="X4" s="28" t="s">
        <v>18</v>
      </c>
      <c r="Y4" s="24" t="s">
        <v>19</v>
      </c>
      <c r="Z4" s="24" t="s">
        <v>20</v>
      </c>
      <c r="AA4" s="24" t="s">
        <v>52</v>
      </c>
      <c r="AB4" s="24" t="s">
        <v>53</v>
      </c>
      <c r="AC4" s="27" t="s">
        <v>94</v>
      </c>
      <c r="AD4" s="24" t="s">
        <v>83</v>
      </c>
      <c r="AE4" s="24" t="s">
        <v>81</v>
      </c>
      <c r="AF4" s="24" t="s">
        <v>82</v>
      </c>
    </row>
    <row r="5" spans="1:32" s="4" customFormat="1" x14ac:dyDescent="0.25">
      <c r="A5" s="16">
        <v>891780111</v>
      </c>
      <c r="B5" s="16" t="s">
        <v>54</v>
      </c>
      <c r="C5" s="58" t="s">
        <v>56</v>
      </c>
      <c r="D5" s="16" t="s">
        <v>60</v>
      </c>
      <c r="E5" s="70" t="s">
        <v>5293</v>
      </c>
      <c r="F5" s="16" t="s">
        <v>61</v>
      </c>
      <c r="G5" s="1" t="s">
        <v>69</v>
      </c>
      <c r="H5" s="1" t="s">
        <v>73</v>
      </c>
      <c r="I5" s="71">
        <v>17050000</v>
      </c>
      <c r="J5" s="94"/>
      <c r="K5" s="2"/>
      <c r="L5" s="2"/>
      <c r="M5" s="30">
        <f>I5+K5-L5</f>
        <v>17050000</v>
      </c>
      <c r="N5" s="70">
        <v>1082907794</v>
      </c>
      <c r="O5" s="72" t="s">
        <v>314</v>
      </c>
      <c r="P5" s="73" t="s">
        <v>315</v>
      </c>
      <c r="Q5" s="74">
        <v>44952</v>
      </c>
      <c r="R5" s="74">
        <v>44952</v>
      </c>
      <c r="S5" s="74">
        <v>45103</v>
      </c>
      <c r="T5" s="3"/>
      <c r="U5" s="75"/>
      <c r="V5" s="76">
        <v>17050000</v>
      </c>
      <c r="W5" s="36">
        <f>M5-V5</f>
        <v>0</v>
      </c>
      <c r="X5" s="37">
        <f>V5/M5</f>
        <v>1</v>
      </c>
      <c r="Y5" s="70">
        <v>72148417</v>
      </c>
      <c r="Z5" s="70" t="s">
        <v>316</v>
      </c>
      <c r="AA5" s="1" t="s">
        <v>196</v>
      </c>
      <c r="AB5" s="1" t="s">
        <v>196</v>
      </c>
      <c r="AC5" s="3"/>
      <c r="AD5" s="77" t="s">
        <v>317</v>
      </c>
      <c r="AE5" s="15" t="s">
        <v>192</v>
      </c>
      <c r="AF5" s="15" t="s">
        <v>192</v>
      </c>
    </row>
    <row r="6" spans="1:32" s="4" customFormat="1" x14ac:dyDescent="0.25">
      <c r="A6" s="16">
        <v>891780111</v>
      </c>
      <c r="B6" s="16" t="s">
        <v>54</v>
      </c>
      <c r="C6" s="58" t="s">
        <v>56</v>
      </c>
      <c r="D6" s="16" t="s">
        <v>60</v>
      </c>
      <c r="E6" s="70" t="s">
        <v>5294</v>
      </c>
      <c r="F6" s="16" t="s">
        <v>61</v>
      </c>
      <c r="G6" s="1" t="s">
        <v>69</v>
      </c>
      <c r="H6" s="1" t="s">
        <v>73</v>
      </c>
      <c r="I6" s="71">
        <v>19250000</v>
      </c>
      <c r="J6" s="94"/>
      <c r="K6" s="2"/>
      <c r="L6" s="2"/>
      <c r="M6" s="30">
        <f t="shared" ref="M6:M14" si="0">I6+K6-L6</f>
        <v>19250000</v>
      </c>
      <c r="N6" s="70">
        <v>1082862655</v>
      </c>
      <c r="O6" s="70" t="s">
        <v>318</v>
      </c>
      <c r="P6" s="70" t="s">
        <v>319</v>
      </c>
      <c r="Q6" s="74">
        <v>44951</v>
      </c>
      <c r="R6" s="74">
        <v>44951</v>
      </c>
      <c r="S6" s="74">
        <v>45103</v>
      </c>
      <c r="T6" s="3"/>
      <c r="U6" s="75"/>
      <c r="V6" s="78">
        <v>19250000</v>
      </c>
      <c r="W6" s="36">
        <f t="shared" ref="W6:W8" si="1">M6-V6</f>
        <v>0</v>
      </c>
      <c r="X6" s="37">
        <f t="shared" ref="X6:X13" si="2">V6/M6</f>
        <v>1</v>
      </c>
      <c r="Y6" s="70">
        <v>12548945</v>
      </c>
      <c r="Z6" s="70" t="s">
        <v>320</v>
      </c>
      <c r="AA6" s="1" t="s">
        <v>196</v>
      </c>
      <c r="AB6" s="1" t="s">
        <v>196</v>
      </c>
      <c r="AC6" s="3"/>
      <c r="AD6" s="66" t="s">
        <v>321</v>
      </c>
      <c r="AE6" s="15" t="s">
        <v>192</v>
      </c>
      <c r="AF6" s="15" t="s">
        <v>192</v>
      </c>
    </row>
    <row r="7" spans="1:32" s="4" customFormat="1" x14ac:dyDescent="0.25">
      <c r="A7" s="16">
        <v>891780111</v>
      </c>
      <c r="B7" s="16" t="s">
        <v>54</v>
      </c>
      <c r="C7" s="58" t="s">
        <v>56</v>
      </c>
      <c r="D7" s="16" t="s">
        <v>60</v>
      </c>
      <c r="E7" s="70" t="s">
        <v>5295</v>
      </c>
      <c r="F7" s="16" t="s">
        <v>61</v>
      </c>
      <c r="G7" s="1" t="s">
        <v>69</v>
      </c>
      <c r="H7" s="1" t="s">
        <v>73</v>
      </c>
      <c r="I7" s="71">
        <v>12000000</v>
      </c>
      <c r="J7" s="94"/>
      <c r="K7" s="2"/>
      <c r="L7" s="2"/>
      <c r="M7" s="30">
        <f t="shared" si="0"/>
        <v>12000000</v>
      </c>
      <c r="N7" s="70">
        <v>41937205</v>
      </c>
      <c r="O7" s="70" t="s">
        <v>322</v>
      </c>
      <c r="P7" s="70" t="s">
        <v>323</v>
      </c>
      <c r="Q7" s="74">
        <v>44981</v>
      </c>
      <c r="R7" s="74">
        <v>44981</v>
      </c>
      <c r="S7" s="74">
        <v>45103</v>
      </c>
      <c r="T7" s="3"/>
      <c r="U7" s="75"/>
      <c r="V7" s="78">
        <v>12000000</v>
      </c>
      <c r="W7" s="36">
        <f t="shared" si="1"/>
        <v>0</v>
      </c>
      <c r="X7" s="37">
        <f t="shared" si="2"/>
        <v>1</v>
      </c>
      <c r="Y7" s="70">
        <v>12548945</v>
      </c>
      <c r="Z7" s="70" t="s">
        <v>320</v>
      </c>
      <c r="AA7" s="1" t="s">
        <v>196</v>
      </c>
      <c r="AB7" s="1" t="s">
        <v>196</v>
      </c>
      <c r="AC7" s="3"/>
      <c r="AD7" s="66" t="s">
        <v>324</v>
      </c>
      <c r="AE7" s="15" t="s">
        <v>192</v>
      </c>
      <c r="AF7" s="15" t="s">
        <v>192</v>
      </c>
    </row>
    <row r="8" spans="1:32" s="4" customFormat="1" x14ac:dyDescent="0.25">
      <c r="A8" s="16">
        <v>891780111</v>
      </c>
      <c r="B8" s="16" t="s">
        <v>54</v>
      </c>
      <c r="C8" s="58" t="s">
        <v>56</v>
      </c>
      <c r="D8" s="16" t="s">
        <v>60</v>
      </c>
      <c r="E8" s="1" t="s">
        <v>5296</v>
      </c>
      <c r="F8" s="16" t="s">
        <v>61</v>
      </c>
      <c r="G8" s="1" t="s">
        <v>69</v>
      </c>
      <c r="H8" s="1" t="s">
        <v>73</v>
      </c>
      <c r="I8" s="9">
        <v>12000000</v>
      </c>
      <c r="J8" s="94"/>
      <c r="K8" s="2"/>
      <c r="L8" s="2"/>
      <c r="M8" s="30">
        <f t="shared" si="0"/>
        <v>12000000</v>
      </c>
      <c r="N8" s="79">
        <v>84454604</v>
      </c>
      <c r="O8" s="1" t="s">
        <v>325</v>
      </c>
      <c r="P8" s="1" t="s">
        <v>326</v>
      </c>
      <c r="Q8" s="80">
        <v>45036</v>
      </c>
      <c r="R8" s="80">
        <v>45037</v>
      </c>
      <c r="S8" s="80">
        <v>45097</v>
      </c>
      <c r="T8" s="3"/>
      <c r="U8" s="75"/>
      <c r="V8" s="9">
        <v>12000000</v>
      </c>
      <c r="W8" s="36">
        <f t="shared" si="1"/>
        <v>0</v>
      </c>
      <c r="X8" s="37">
        <f t="shared" si="2"/>
        <v>1</v>
      </c>
      <c r="Y8" s="79">
        <v>12548945</v>
      </c>
      <c r="Z8" s="1" t="s">
        <v>320</v>
      </c>
      <c r="AA8" s="1" t="s">
        <v>196</v>
      </c>
      <c r="AB8" s="1" t="s">
        <v>196</v>
      </c>
      <c r="AC8" s="3"/>
      <c r="AD8" s="66" t="s">
        <v>327</v>
      </c>
      <c r="AE8" s="15" t="s">
        <v>192</v>
      </c>
      <c r="AF8" s="15" t="s">
        <v>192</v>
      </c>
    </row>
    <row r="9" spans="1:32" s="4" customFormat="1" x14ac:dyDescent="0.25">
      <c r="A9" s="16">
        <v>891780111</v>
      </c>
      <c r="B9" s="16" t="s">
        <v>54</v>
      </c>
      <c r="C9" s="58" t="s">
        <v>56</v>
      </c>
      <c r="D9" s="16" t="s">
        <v>60</v>
      </c>
      <c r="E9" s="1" t="s">
        <v>5297</v>
      </c>
      <c r="F9" s="16" t="s">
        <v>61</v>
      </c>
      <c r="G9" s="1" t="s">
        <v>69</v>
      </c>
      <c r="H9" s="1" t="s">
        <v>73</v>
      </c>
      <c r="I9" s="9">
        <v>7800000</v>
      </c>
      <c r="J9" s="94">
        <v>1</v>
      </c>
      <c r="K9" s="71">
        <v>2600000</v>
      </c>
      <c r="L9" s="2"/>
      <c r="M9" s="30">
        <f t="shared" si="0"/>
        <v>10400000</v>
      </c>
      <c r="N9" s="1">
        <v>1083019037</v>
      </c>
      <c r="O9" s="1" t="s">
        <v>254</v>
      </c>
      <c r="P9" s="1" t="s">
        <v>328</v>
      </c>
      <c r="Q9" s="80">
        <v>45048</v>
      </c>
      <c r="R9" s="80">
        <v>45049</v>
      </c>
      <c r="S9" s="80">
        <v>45137</v>
      </c>
      <c r="T9" s="3">
        <v>45169</v>
      </c>
      <c r="U9" s="75">
        <v>1</v>
      </c>
      <c r="V9" s="9">
        <v>5200000</v>
      </c>
      <c r="W9" s="36">
        <f>M9-V9</f>
        <v>5200000</v>
      </c>
      <c r="X9" s="37">
        <f t="shared" si="2"/>
        <v>0.5</v>
      </c>
      <c r="Y9" s="79">
        <v>12548945</v>
      </c>
      <c r="Z9" s="1" t="s">
        <v>320</v>
      </c>
      <c r="AA9" s="1" t="s">
        <v>196</v>
      </c>
      <c r="AB9" s="1" t="s">
        <v>196</v>
      </c>
      <c r="AC9" s="3"/>
      <c r="AD9" s="66" t="s">
        <v>329</v>
      </c>
      <c r="AE9" s="15" t="s">
        <v>192</v>
      </c>
      <c r="AF9" s="15" t="s">
        <v>192</v>
      </c>
    </row>
    <row r="10" spans="1:32" s="4" customFormat="1" x14ac:dyDescent="0.25">
      <c r="A10" s="16">
        <v>891780111</v>
      </c>
      <c r="B10" s="16" t="s">
        <v>54</v>
      </c>
      <c r="C10" s="58" t="s">
        <v>56</v>
      </c>
      <c r="D10" s="16" t="s">
        <v>60</v>
      </c>
      <c r="E10" s="1" t="s">
        <v>330</v>
      </c>
      <c r="F10" s="16" t="s">
        <v>61</v>
      </c>
      <c r="G10" s="1" t="s">
        <v>69</v>
      </c>
      <c r="H10" s="1" t="s">
        <v>73</v>
      </c>
      <c r="I10" s="71">
        <v>17050000</v>
      </c>
      <c r="J10" s="94">
        <v>1</v>
      </c>
      <c r="K10" s="2"/>
      <c r="L10" s="71">
        <v>2777000</v>
      </c>
      <c r="M10" s="30">
        <f t="shared" si="0"/>
        <v>14273000</v>
      </c>
      <c r="N10" s="70">
        <v>1082907794</v>
      </c>
      <c r="O10" s="72" t="s">
        <v>314</v>
      </c>
      <c r="P10" s="73" t="s">
        <v>315</v>
      </c>
      <c r="Q10" s="80">
        <v>45119</v>
      </c>
      <c r="R10" s="80">
        <v>45120</v>
      </c>
      <c r="S10" s="80">
        <v>45275</v>
      </c>
      <c r="T10" s="3">
        <v>45283</v>
      </c>
      <c r="U10" s="75">
        <v>1</v>
      </c>
      <c r="V10" s="9">
        <v>0</v>
      </c>
      <c r="W10" s="9">
        <v>14273000</v>
      </c>
      <c r="X10" s="37">
        <f t="shared" si="2"/>
        <v>0</v>
      </c>
      <c r="Y10" s="70">
        <v>72148417</v>
      </c>
      <c r="Z10" s="70" t="s">
        <v>316</v>
      </c>
      <c r="AA10" s="1" t="s">
        <v>196</v>
      </c>
      <c r="AB10" s="1" t="s">
        <v>196</v>
      </c>
      <c r="AC10" s="3"/>
      <c r="AD10" s="66" t="s">
        <v>331</v>
      </c>
      <c r="AE10" s="15" t="s">
        <v>192</v>
      </c>
      <c r="AF10" s="15" t="s">
        <v>192</v>
      </c>
    </row>
    <row r="11" spans="1:32" s="4" customFormat="1" x14ac:dyDescent="0.25">
      <c r="A11" s="16">
        <v>891780111</v>
      </c>
      <c r="B11" s="16" t="s">
        <v>54</v>
      </c>
      <c r="C11" s="58" t="s">
        <v>56</v>
      </c>
      <c r="D11" s="16" t="s">
        <v>60</v>
      </c>
      <c r="E11" s="1" t="s">
        <v>332</v>
      </c>
      <c r="F11" s="16" t="s">
        <v>61</v>
      </c>
      <c r="G11" s="1" t="s">
        <v>69</v>
      </c>
      <c r="H11" s="1" t="s">
        <v>73</v>
      </c>
      <c r="I11" s="71">
        <v>19250000</v>
      </c>
      <c r="J11" s="94">
        <v>1</v>
      </c>
      <c r="K11" s="2"/>
      <c r="L11" s="71">
        <v>4950000</v>
      </c>
      <c r="M11" s="30">
        <f t="shared" si="0"/>
        <v>14300000</v>
      </c>
      <c r="N11" s="70">
        <v>1082862655</v>
      </c>
      <c r="O11" s="70" t="s">
        <v>318</v>
      </c>
      <c r="P11" s="70" t="s">
        <v>319</v>
      </c>
      <c r="Q11" s="80">
        <v>45119</v>
      </c>
      <c r="R11" s="80">
        <v>45120</v>
      </c>
      <c r="S11" s="80">
        <v>45275</v>
      </c>
      <c r="T11" s="3">
        <v>45283</v>
      </c>
      <c r="U11" s="75">
        <v>1</v>
      </c>
      <c r="V11" s="9">
        <v>0</v>
      </c>
      <c r="W11" s="9">
        <v>14300000</v>
      </c>
      <c r="X11" s="37">
        <f t="shared" si="2"/>
        <v>0</v>
      </c>
      <c r="Y11" s="70">
        <v>12548945</v>
      </c>
      <c r="Z11" s="70" t="s">
        <v>320</v>
      </c>
      <c r="AA11" s="1" t="s">
        <v>196</v>
      </c>
      <c r="AB11" s="1" t="s">
        <v>196</v>
      </c>
      <c r="AC11" s="3"/>
      <c r="AD11" s="66" t="s">
        <v>333</v>
      </c>
      <c r="AE11" s="15" t="s">
        <v>192</v>
      </c>
      <c r="AF11" s="15" t="s">
        <v>192</v>
      </c>
    </row>
    <row r="12" spans="1:32" s="4" customFormat="1" x14ac:dyDescent="0.25">
      <c r="A12" s="16">
        <v>891780111</v>
      </c>
      <c r="B12" s="16" t="s">
        <v>54</v>
      </c>
      <c r="C12" s="58" t="s">
        <v>56</v>
      </c>
      <c r="D12" s="16" t="s">
        <v>60</v>
      </c>
      <c r="E12" s="1" t="s">
        <v>334</v>
      </c>
      <c r="F12" s="16" t="s">
        <v>61</v>
      </c>
      <c r="G12" s="1" t="s">
        <v>69</v>
      </c>
      <c r="H12" s="1" t="s">
        <v>73</v>
      </c>
      <c r="I12" s="71">
        <v>12000000</v>
      </c>
      <c r="J12" s="94"/>
      <c r="K12" s="2"/>
      <c r="M12" s="30">
        <f t="shared" si="0"/>
        <v>12000000</v>
      </c>
      <c r="N12" s="70">
        <v>41937205</v>
      </c>
      <c r="O12" s="70" t="s">
        <v>322</v>
      </c>
      <c r="P12" s="70" t="s">
        <v>323</v>
      </c>
      <c r="Q12" s="80">
        <v>45120</v>
      </c>
      <c r="R12" s="80">
        <v>45120</v>
      </c>
      <c r="S12" s="80">
        <v>45275</v>
      </c>
      <c r="T12" s="3"/>
      <c r="U12" s="75"/>
      <c r="V12" s="9">
        <v>0</v>
      </c>
      <c r="W12" s="36">
        <f t="shared" ref="W12:W13" si="3">M12-V12</f>
        <v>12000000</v>
      </c>
      <c r="X12" s="37">
        <f t="shared" si="2"/>
        <v>0</v>
      </c>
      <c r="Y12" s="70">
        <v>12548945</v>
      </c>
      <c r="Z12" s="70" t="s">
        <v>320</v>
      </c>
      <c r="AA12" s="1" t="s">
        <v>196</v>
      </c>
      <c r="AB12" s="1" t="s">
        <v>196</v>
      </c>
      <c r="AC12" s="3"/>
      <c r="AD12" s="66" t="s">
        <v>335</v>
      </c>
      <c r="AE12" s="15" t="s">
        <v>192</v>
      </c>
      <c r="AF12" s="15" t="s">
        <v>192</v>
      </c>
    </row>
    <row r="13" spans="1:32" s="4" customFormat="1" x14ac:dyDescent="0.25">
      <c r="A13" s="16">
        <v>891780111</v>
      </c>
      <c r="B13" s="16" t="s">
        <v>54</v>
      </c>
      <c r="C13" s="58" t="s">
        <v>56</v>
      </c>
      <c r="D13" s="16" t="s">
        <v>60</v>
      </c>
      <c r="E13" s="1" t="s">
        <v>336</v>
      </c>
      <c r="F13" s="16" t="s">
        <v>61</v>
      </c>
      <c r="G13" s="1" t="s">
        <v>69</v>
      </c>
      <c r="H13" s="1" t="s">
        <v>73</v>
      </c>
      <c r="I13" s="9">
        <v>13600000</v>
      </c>
      <c r="J13" s="94"/>
      <c r="K13" s="2"/>
      <c r="L13" s="2"/>
      <c r="M13" s="30">
        <f t="shared" si="0"/>
        <v>13600000</v>
      </c>
      <c r="N13" s="79">
        <v>84454604</v>
      </c>
      <c r="O13" s="1" t="s">
        <v>325</v>
      </c>
      <c r="P13" s="1" t="s">
        <v>326</v>
      </c>
      <c r="Q13" s="80">
        <v>45120</v>
      </c>
      <c r="R13" s="80">
        <v>45120</v>
      </c>
      <c r="S13" s="80">
        <v>45275</v>
      </c>
      <c r="T13" s="3"/>
      <c r="U13" s="75"/>
      <c r="V13" s="9">
        <v>0</v>
      </c>
      <c r="W13" s="36">
        <f t="shared" si="3"/>
        <v>13600000</v>
      </c>
      <c r="X13" s="37">
        <f t="shared" si="2"/>
        <v>0</v>
      </c>
      <c r="Y13" s="79">
        <v>12548945</v>
      </c>
      <c r="Z13" s="1" t="s">
        <v>320</v>
      </c>
      <c r="AA13" s="1" t="s">
        <v>196</v>
      </c>
      <c r="AB13" s="1" t="s">
        <v>196</v>
      </c>
      <c r="AC13" s="3"/>
      <c r="AD13" s="66" t="s">
        <v>337</v>
      </c>
      <c r="AE13" s="15" t="s">
        <v>192</v>
      </c>
      <c r="AF13" s="15" t="s">
        <v>192</v>
      </c>
    </row>
    <row r="14" spans="1:32" s="5" customFormat="1" x14ac:dyDescent="0.25">
      <c r="A14" s="10"/>
      <c r="B14" s="11"/>
      <c r="C14" s="10" t="s">
        <v>311</v>
      </c>
      <c r="D14" s="12"/>
      <c r="E14" s="188">
        <f>COUNTA(E5:E13)</f>
        <v>9</v>
      </c>
      <c r="F14" s="11"/>
      <c r="G14" s="11"/>
      <c r="H14" s="12"/>
      <c r="I14" s="13">
        <f>SUM(I5:I13)</f>
        <v>130000000</v>
      </c>
      <c r="J14" s="188">
        <f>COUNTA(J5:J13)</f>
        <v>3</v>
      </c>
      <c r="K14" s="13">
        <f>SUM(K5:K13)</f>
        <v>2600000</v>
      </c>
      <c r="L14" s="13">
        <f>SUM(L5:L13)</f>
        <v>7727000</v>
      </c>
      <c r="M14" s="13">
        <f t="shared" si="0"/>
        <v>124873000</v>
      </c>
      <c r="N14" s="11"/>
      <c r="O14" s="11"/>
      <c r="P14" s="11"/>
      <c r="Q14" s="11"/>
      <c r="R14" s="11"/>
      <c r="S14" s="11"/>
      <c r="T14" s="11"/>
      <c r="U14" s="11">
        <f>SUM(U5:U13)</f>
        <v>3</v>
      </c>
      <c r="V14" s="13">
        <f>SUM(V5:V13)</f>
        <v>65500000</v>
      </c>
      <c r="W14" s="13">
        <f>SUM(W5:W13)</f>
        <v>59373000</v>
      </c>
      <c r="X14" s="11"/>
      <c r="Y14" s="11"/>
      <c r="Z14" s="11"/>
      <c r="AA14" s="11"/>
      <c r="AB14" s="11"/>
      <c r="AC14" s="11"/>
      <c r="AD14" s="11"/>
      <c r="AE14" s="11"/>
      <c r="AF14" s="11"/>
    </row>
  </sheetData>
  <mergeCells count="7">
    <mergeCell ref="AD3:AF3"/>
    <mergeCell ref="A1:D1"/>
    <mergeCell ref="G1:H1"/>
    <mergeCell ref="A2:C2"/>
    <mergeCell ref="D2:F2"/>
    <mergeCell ref="G2:H3"/>
    <mergeCell ref="K2:P3"/>
  </mergeCells>
  <conditionalFormatting sqref="D2">
    <cfRule type="containsText" dxfId="24" priority="2" operator="containsText" text="Seleccione Ordenador">
      <formula>NOT(ISERROR(SEARCH("Seleccione Ordenador",D2)))</formula>
    </cfRule>
  </conditionalFormatting>
  <conditionalFormatting sqref="E1">
    <cfRule type="containsText" dxfId="23" priority="1" operator="containsText" text="Seleccione Periodo">
      <formula>NOT(ISERROR(SEARCH("Seleccione Periodo",E1)))</formula>
    </cfRule>
  </conditionalFormatting>
  <dataValidations count="8">
    <dataValidation type="list" allowBlank="1" showInputMessage="1" showErrorMessage="1" sqref="AA5:AB13" xr:uid="{0F5301D9-B02D-4E97-AC82-205A5BCFBEEB}">
      <formula1>"SI,NO"</formula1>
    </dataValidation>
    <dataValidation type="list" allowBlank="1" showInputMessage="1" showErrorMessage="1" sqref="AF5:AF13" xr:uid="{BF8E7291-417C-4614-A34D-69C61A66661A}">
      <formula1>"SI,NA por TIPO Contrato"</formula1>
    </dataValidation>
    <dataValidation type="list" allowBlank="1" showInputMessage="1" showErrorMessage="1" sqref="AE5:AE13" xr:uid="{B76B9A04-0D7C-43EF-B970-93143C56CB80}">
      <formula1>"SI,NO HA INICIADO"</formula1>
    </dataValidation>
    <dataValidation type="list" allowBlank="1" showInputMessage="1" showErrorMessage="1" sqref="H5:H13" xr:uid="{E9A7D623-04F4-495F-BAA6-D0D6141ACEFE}">
      <formula1>tipologia</formula1>
    </dataValidation>
    <dataValidation type="list" allowBlank="1" showInputMessage="1" showErrorMessage="1" sqref="G5:G13" xr:uid="{8A183B18-E3E8-4ED9-8B55-9012C4D72951}">
      <formula1>modalidad</formula1>
    </dataValidation>
    <dataValidation type="list" allowBlank="1" showInputMessage="1" showErrorMessage="1" sqref="C5:C13" xr:uid="{37D361CA-438A-43BC-B273-059A65C9E335}">
      <formula1>rubro</formula1>
    </dataValidation>
    <dataValidation type="list" allowBlank="1" showInputMessage="1" showErrorMessage="1" sqref="E1" xr:uid="{C5FA3BE0-94B6-4419-A502-4D82A9F3157F}">
      <formula1>cortea</formula1>
    </dataValidation>
    <dataValidation type="list" allowBlank="1" showInputMessage="1" showErrorMessage="1" sqref="D2" xr:uid="{BDF67C59-88F8-4230-9505-13B06432B672}">
      <formula1>Delegatarios</formula1>
    </dataValidation>
  </dataValidations>
  <hyperlinks>
    <hyperlink ref="AD5" r:id="rId1" xr:uid="{FBBAAB9B-6C98-4B93-B01F-A72CBD7A9388}"/>
  </hyperlinks>
  <pageMargins left="0" right="0" top="0" bottom="0" header="0.3" footer="0.3"/>
  <pageSetup paperSize="5" scale="38"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09E4-9369-4F55-8821-6F3F3769B9EA}">
  <sheetPr>
    <tabColor theme="8" tint="0.59999389629810485"/>
  </sheetPr>
  <dimension ref="A1:AQ28"/>
  <sheetViews>
    <sheetView zoomScaleNormal="100" zoomScaleSheetLayoutView="100" workbookViewId="0">
      <selection activeCell="AK15" sqref="AK15"/>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6.28515625" style="8" bestFit="1" customWidth="1"/>
    <col min="10" max="10" width="16.140625" customWidth="1"/>
    <col min="12" max="12" width="12.28515625" customWidth="1"/>
    <col min="13" max="13" width="16.28515625" bestFit="1" customWidth="1"/>
    <col min="17" max="17" width="15.5703125" customWidth="1"/>
    <col min="18" max="18" width="14.42578125" customWidth="1"/>
    <col min="19" max="22" width="12.5703125" customWidth="1"/>
    <col min="23" max="23" width="20.5703125" customWidth="1"/>
    <col min="24" max="24" width="16.28515625" bestFit="1" customWidth="1"/>
    <col min="25" max="25" width="16.7109375" customWidth="1"/>
    <col min="26" max="26" width="11.42578125" style="32"/>
    <col min="27" max="27" width="14.42578125" customWidth="1"/>
    <col min="28" max="28" width="14.7109375" customWidth="1"/>
    <col min="31" max="31" width="14.85546875" customWidth="1"/>
    <col min="32" max="33" width="8.42578125" customWidth="1"/>
    <col min="34" max="34" width="15" bestFit="1" customWidth="1"/>
  </cols>
  <sheetData>
    <row r="1" spans="1:43" x14ac:dyDescent="0.25">
      <c r="A1" s="333" t="s">
        <v>84</v>
      </c>
      <c r="B1" s="333"/>
      <c r="C1" s="333"/>
      <c r="D1" s="333"/>
      <c r="E1" t="s">
        <v>46</v>
      </c>
      <c r="G1" s="334" t="s">
        <v>111</v>
      </c>
      <c r="H1" s="334"/>
      <c r="I1" s="29">
        <v>1160000</v>
      </c>
    </row>
    <row r="2" spans="1:43" ht="15" customHeight="1" x14ac:dyDescent="0.25">
      <c r="A2" s="335" t="s">
        <v>21</v>
      </c>
      <c r="B2" s="335"/>
      <c r="C2" s="335"/>
      <c r="D2" s="336" t="s">
        <v>36</v>
      </c>
      <c r="E2" s="336"/>
      <c r="F2" s="336"/>
      <c r="G2" s="337" t="s">
        <v>99</v>
      </c>
      <c r="H2" s="337"/>
      <c r="I2" s="21">
        <v>42</v>
      </c>
      <c r="J2" s="22" t="s">
        <v>85</v>
      </c>
      <c r="K2" s="339" t="s">
        <v>88</v>
      </c>
      <c r="L2" s="339"/>
      <c r="M2" s="339"/>
      <c r="N2" s="339"/>
      <c r="O2" s="339"/>
      <c r="P2" s="339"/>
    </row>
    <row r="3" spans="1:43" ht="15.75" customHeight="1" x14ac:dyDescent="0.25">
      <c r="G3" s="338"/>
      <c r="H3" s="338"/>
      <c r="I3" s="21">
        <f>I2*I1</f>
        <v>48720000</v>
      </c>
      <c r="J3" s="22" t="s">
        <v>93</v>
      </c>
      <c r="K3" s="340"/>
      <c r="L3" s="340"/>
      <c r="M3" s="340"/>
      <c r="N3" s="340"/>
      <c r="O3" s="340"/>
      <c r="P3" s="340"/>
      <c r="AF3" s="332" t="s">
        <v>80</v>
      </c>
      <c r="AG3" s="332"/>
      <c r="AH3" s="332"/>
    </row>
    <row r="4" spans="1:43"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43" s="43" customFormat="1" x14ac:dyDescent="0.25">
      <c r="A5" s="38">
        <v>891780111</v>
      </c>
      <c r="B5" s="38" t="s">
        <v>54</v>
      </c>
      <c r="C5" s="58" t="s">
        <v>56</v>
      </c>
      <c r="D5" s="38" t="s">
        <v>60</v>
      </c>
      <c r="E5" s="59" t="s">
        <v>223</v>
      </c>
      <c r="F5" s="38" t="s">
        <v>61</v>
      </c>
      <c r="G5" s="39" t="s">
        <v>69</v>
      </c>
      <c r="H5" s="39" t="s">
        <v>73</v>
      </c>
      <c r="I5" s="60">
        <v>48070000</v>
      </c>
      <c r="J5" s="39"/>
      <c r="K5" s="61"/>
      <c r="L5" s="61"/>
      <c r="M5" s="40">
        <f>I5+K5-L5</f>
        <v>48070000</v>
      </c>
      <c r="N5" s="59">
        <v>1081761629</v>
      </c>
      <c r="O5" s="59" t="s">
        <v>224</v>
      </c>
      <c r="P5" s="62" t="s">
        <v>225</v>
      </c>
      <c r="Q5" s="63">
        <v>44958</v>
      </c>
      <c r="R5" s="63">
        <v>44958</v>
      </c>
      <c r="S5" s="63">
        <v>45289</v>
      </c>
      <c r="T5" s="41"/>
      <c r="U5" s="41"/>
      <c r="V5" s="41"/>
      <c r="W5" s="41"/>
      <c r="X5" s="64">
        <v>27170000</v>
      </c>
      <c r="Y5" s="60">
        <f t="shared" ref="Y5:Y27" si="0">M5-X5</f>
        <v>20900000</v>
      </c>
      <c r="Z5" s="65">
        <f t="shared" ref="Z5:Z27" si="1">+(X5/M5)</f>
        <v>0.56521739130434778</v>
      </c>
      <c r="AA5" s="59">
        <v>12550144</v>
      </c>
      <c r="AB5" s="62" t="s">
        <v>226</v>
      </c>
      <c r="AC5" s="39" t="s">
        <v>196</v>
      </c>
      <c r="AD5" s="39" t="s">
        <v>196</v>
      </c>
      <c r="AE5" s="41"/>
      <c r="AF5" s="66" t="s">
        <v>227</v>
      </c>
      <c r="AG5" s="15" t="s">
        <v>192</v>
      </c>
      <c r="AH5" s="15" t="s">
        <v>192</v>
      </c>
    </row>
    <row r="6" spans="1:43" s="4" customFormat="1" x14ac:dyDescent="0.25">
      <c r="A6" s="16">
        <v>891780111</v>
      </c>
      <c r="B6" s="16" t="s">
        <v>54</v>
      </c>
      <c r="C6" s="58" t="s">
        <v>56</v>
      </c>
      <c r="D6" s="16" t="s">
        <v>60</v>
      </c>
      <c r="E6" s="59" t="s">
        <v>228</v>
      </c>
      <c r="F6" s="16" t="s">
        <v>61</v>
      </c>
      <c r="G6" s="39" t="s">
        <v>69</v>
      </c>
      <c r="H6" s="39" t="s">
        <v>73</v>
      </c>
      <c r="I6" s="60">
        <v>33795300</v>
      </c>
      <c r="J6" s="1"/>
      <c r="K6" s="2"/>
      <c r="L6" s="2"/>
      <c r="M6" s="30">
        <f>I6+K6-L6</f>
        <v>33795300</v>
      </c>
      <c r="N6" s="59">
        <v>1083016566</v>
      </c>
      <c r="O6" s="59" t="s">
        <v>229</v>
      </c>
      <c r="P6" s="62" t="s">
        <v>230</v>
      </c>
      <c r="Q6" s="63">
        <v>44958</v>
      </c>
      <c r="R6" s="63">
        <v>44958</v>
      </c>
      <c r="S6" s="63">
        <v>45275</v>
      </c>
      <c r="T6" s="35"/>
      <c r="U6" s="3"/>
      <c r="V6" s="3"/>
      <c r="W6" s="3"/>
      <c r="X6" s="64">
        <v>16897650</v>
      </c>
      <c r="Y6" s="60">
        <f t="shared" si="0"/>
        <v>16897650</v>
      </c>
      <c r="Z6" s="67">
        <f t="shared" si="1"/>
        <v>0.5</v>
      </c>
      <c r="AA6" s="59">
        <v>12550144</v>
      </c>
      <c r="AB6" s="62" t="s">
        <v>226</v>
      </c>
      <c r="AC6" s="39" t="s">
        <v>196</v>
      </c>
      <c r="AD6" s="39" t="s">
        <v>196</v>
      </c>
      <c r="AE6" s="3"/>
      <c r="AF6" s="66" t="s">
        <v>231</v>
      </c>
      <c r="AG6" s="15" t="s">
        <v>192</v>
      </c>
      <c r="AH6" s="15" t="s">
        <v>192</v>
      </c>
    </row>
    <row r="7" spans="1:43" s="4" customFormat="1" x14ac:dyDescent="0.25">
      <c r="A7" s="16">
        <v>891780111</v>
      </c>
      <c r="B7" s="16" t="s">
        <v>54</v>
      </c>
      <c r="C7" s="58" t="s">
        <v>56</v>
      </c>
      <c r="D7" s="16" t="s">
        <v>60</v>
      </c>
      <c r="E7" s="59" t="s">
        <v>232</v>
      </c>
      <c r="F7" s="16" t="s">
        <v>61</v>
      </c>
      <c r="G7" s="39" t="s">
        <v>69</v>
      </c>
      <c r="H7" s="39" t="s">
        <v>73</v>
      </c>
      <c r="I7" s="60">
        <v>24150000</v>
      </c>
      <c r="J7" s="1"/>
      <c r="K7" s="2"/>
      <c r="L7" s="2"/>
      <c r="M7" s="30">
        <f t="shared" ref="M7:M27" si="2">I7+K7-L7</f>
        <v>24150000</v>
      </c>
      <c r="N7" s="59">
        <v>57434101</v>
      </c>
      <c r="O7" s="59" t="s">
        <v>233</v>
      </c>
      <c r="P7" s="62" t="s">
        <v>234</v>
      </c>
      <c r="Q7" s="63">
        <v>44959</v>
      </c>
      <c r="R7" s="63">
        <v>44959</v>
      </c>
      <c r="S7" s="63">
        <v>45275</v>
      </c>
      <c r="T7" s="35"/>
      <c r="U7" s="3"/>
      <c r="V7" s="3"/>
      <c r="W7" s="3"/>
      <c r="X7" s="64">
        <v>13800000</v>
      </c>
      <c r="Y7" s="60">
        <f t="shared" si="0"/>
        <v>10350000</v>
      </c>
      <c r="Z7" s="67">
        <f t="shared" si="1"/>
        <v>0.5714285714285714</v>
      </c>
      <c r="AA7" s="59">
        <v>36726383</v>
      </c>
      <c r="AB7" s="62" t="s">
        <v>235</v>
      </c>
      <c r="AC7" s="39" t="s">
        <v>196</v>
      </c>
      <c r="AD7" s="39" t="s">
        <v>196</v>
      </c>
      <c r="AE7" s="3"/>
      <c r="AF7" s="66" t="s">
        <v>236</v>
      </c>
      <c r="AG7" s="15" t="s">
        <v>192</v>
      </c>
      <c r="AH7" s="15" t="s">
        <v>192</v>
      </c>
    </row>
    <row r="8" spans="1:43" s="4" customFormat="1" x14ac:dyDescent="0.25">
      <c r="A8" s="16">
        <v>891780111</v>
      </c>
      <c r="B8" s="16" t="s">
        <v>54</v>
      </c>
      <c r="C8" s="58" t="s">
        <v>56</v>
      </c>
      <c r="D8" s="16" t="s">
        <v>60</v>
      </c>
      <c r="E8" s="59" t="s">
        <v>237</v>
      </c>
      <c r="F8" s="16" t="s">
        <v>61</v>
      </c>
      <c r="G8" s="39" t="s">
        <v>69</v>
      </c>
      <c r="H8" s="39" t="s">
        <v>73</v>
      </c>
      <c r="I8" s="60">
        <v>28135800</v>
      </c>
      <c r="J8" s="1"/>
      <c r="K8" s="2"/>
      <c r="L8" s="2"/>
      <c r="M8" s="30">
        <f t="shared" si="2"/>
        <v>28135800</v>
      </c>
      <c r="N8" s="59">
        <v>1083468618</v>
      </c>
      <c r="O8" s="59" t="s">
        <v>238</v>
      </c>
      <c r="P8" s="62" t="s">
        <v>239</v>
      </c>
      <c r="Q8" s="63">
        <v>44959</v>
      </c>
      <c r="R8" s="63">
        <v>44959</v>
      </c>
      <c r="S8" s="63">
        <v>45275</v>
      </c>
      <c r="T8" s="35"/>
      <c r="U8" s="3"/>
      <c r="V8" s="3"/>
      <c r="W8" s="3"/>
      <c r="X8" s="64">
        <v>15346800</v>
      </c>
      <c r="Y8" s="60">
        <f t="shared" si="0"/>
        <v>12789000</v>
      </c>
      <c r="Z8" s="67">
        <f t="shared" si="1"/>
        <v>0.54545454545454541</v>
      </c>
      <c r="AA8" s="59">
        <v>36726383</v>
      </c>
      <c r="AB8" s="62" t="s">
        <v>235</v>
      </c>
      <c r="AC8" s="39" t="s">
        <v>196</v>
      </c>
      <c r="AD8" s="39" t="s">
        <v>196</v>
      </c>
      <c r="AE8" s="3"/>
      <c r="AF8" s="66" t="s">
        <v>240</v>
      </c>
      <c r="AG8" s="15" t="s">
        <v>192</v>
      </c>
      <c r="AH8" s="15" t="s">
        <v>192</v>
      </c>
    </row>
    <row r="9" spans="1:43" s="4" customFormat="1" x14ac:dyDescent="0.25">
      <c r="A9" s="16">
        <v>891780111</v>
      </c>
      <c r="B9" s="16" t="s">
        <v>54</v>
      </c>
      <c r="C9" s="58" t="s">
        <v>56</v>
      </c>
      <c r="D9" s="16" t="s">
        <v>60</v>
      </c>
      <c r="E9" s="59" t="s">
        <v>241</v>
      </c>
      <c r="F9" s="16" t="s">
        <v>61</v>
      </c>
      <c r="G9" s="39" t="s">
        <v>69</v>
      </c>
      <c r="H9" s="39" t="s">
        <v>73</v>
      </c>
      <c r="I9" s="60">
        <v>14300000</v>
      </c>
      <c r="J9" s="1"/>
      <c r="K9" s="2"/>
      <c r="L9" s="2"/>
      <c r="M9" s="30">
        <f t="shared" si="2"/>
        <v>14300000</v>
      </c>
      <c r="N9" s="59">
        <v>1083433806</v>
      </c>
      <c r="O9" s="59" t="s">
        <v>242</v>
      </c>
      <c r="P9" s="62" t="s">
        <v>243</v>
      </c>
      <c r="Q9" s="63">
        <v>44959</v>
      </c>
      <c r="R9" s="63">
        <v>44959</v>
      </c>
      <c r="S9" s="63">
        <v>45100</v>
      </c>
      <c r="T9" s="35"/>
      <c r="U9" s="3"/>
      <c r="V9" s="3"/>
      <c r="W9" s="3"/>
      <c r="X9" s="64">
        <v>14300000</v>
      </c>
      <c r="Y9" s="60">
        <f t="shared" si="0"/>
        <v>0</v>
      </c>
      <c r="Z9" s="67">
        <f t="shared" si="1"/>
        <v>1</v>
      </c>
      <c r="AA9" s="59">
        <v>12550144</v>
      </c>
      <c r="AB9" s="62" t="s">
        <v>226</v>
      </c>
      <c r="AC9" s="39" t="s">
        <v>196</v>
      </c>
      <c r="AD9" s="39" t="s">
        <v>196</v>
      </c>
      <c r="AE9" s="3"/>
      <c r="AF9" s="66" t="s">
        <v>244</v>
      </c>
      <c r="AG9" s="15" t="s">
        <v>192</v>
      </c>
      <c r="AH9" s="15" t="s">
        <v>192</v>
      </c>
    </row>
    <row r="10" spans="1:43" s="4" customFormat="1" x14ac:dyDescent="0.25">
      <c r="A10" s="16">
        <v>891780111</v>
      </c>
      <c r="B10" s="16" t="s">
        <v>54</v>
      </c>
      <c r="C10" s="58" t="s">
        <v>56</v>
      </c>
      <c r="D10" s="16" t="s">
        <v>60</v>
      </c>
      <c r="E10" s="59" t="s">
        <v>245</v>
      </c>
      <c r="F10" s="16" t="s">
        <v>61</v>
      </c>
      <c r="G10" s="39" t="s">
        <v>69</v>
      </c>
      <c r="H10" s="39" t="s">
        <v>73</v>
      </c>
      <c r="I10" s="60">
        <v>35000000</v>
      </c>
      <c r="J10" s="1"/>
      <c r="K10" s="2"/>
      <c r="L10" s="2"/>
      <c r="M10" s="30">
        <f t="shared" si="2"/>
        <v>35000000</v>
      </c>
      <c r="N10" s="59">
        <v>36666875</v>
      </c>
      <c r="O10" s="59" t="s">
        <v>246</v>
      </c>
      <c r="P10" s="62" t="s">
        <v>247</v>
      </c>
      <c r="Q10" s="63">
        <v>44959</v>
      </c>
      <c r="R10" s="63">
        <v>44959</v>
      </c>
      <c r="S10" s="63">
        <v>45100</v>
      </c>
      <c r="T10" s="35"/>
      <c r="U10" s="3"/>
      <c r="V10" s="3"/>
      <c r="W10" s="3"/>
      <c r="X10" s="64">
        <v>35000000</v>
      </c>
      <c r="Y10" s="60">
        <f t="shared" si="0"/>
        <v>0</v>
      </c>
      <c r="Z10" s="67">
        <f t="shared" si="1"/>
        <v>1</v>
      </c>
      <c r="AA10" s="59">
        <v>36726383</v>
      </c>
      <c r="AB10" s="62" t="s">
        <v>235</v>
      </c>
      <c r="AC10" s="39" t="s">
        <v>196</v>
      </c>
      <c r="AD10" s="39" t="s">
        <v>196</v>
      </c>
      <c r="AE10" s="3"/>
      <c r="AF10" s="66" t="s">
        <v>248</v>
      </c>
      <c r="AG10" s="15" t="s">
        <v>192</v>
      </c>
      <c r="AH10" s="15" t="s">
        <v>192</v>
      </c>
    </row>
    <row r="11" spans="1:43" s="4" customFormat="1" x14ac:dyDescent="0.25">
      <c r="A11" s="16">
        <v>891780111</v>
      </c>
      <c r="B11" s="16" t="s">
        <v>54</v>
      </c>
      <c r="C11" s="58" t="s">
        <v>56</v>
      </c>
      <c r="D11" s="16" t="s">
        <v>60</v>
      </c>
      <c r="E11" s="59" t="s">
        <v>249</v>
      </c>
      <c r="F11" s="16" t="s">
        <v>61</v>
      </c>
      <c r="G11" s="39" t="s">
        <v>69</v>
      </c>
      <c r="H11" s="39" t="s">
        <v>73</v>
      </c>
      <c r="I11" s="60">
        <v>16093000</v>
      </c>
      <c r="J11" s="1"/>
      <c r="K11" s="2"/>
      <c r="L11" s="2"/>
      <c r="M11" s="30">
        <f t="shared" si="2"/>
        <v>16093000</v>
      </c>
      <c r="N11" s="59">
        <v>39046134</v>
      </c>
      <c r="O11" s="59" t="s">
        <v>250</v>
      </c>
      <c r="P11" s="62" t="s">
        <v>251</v>
      </c>
      <c r="Q11" s="63">
        <v>44960</v>
      </c>
      <c r="R11" s="63">
        <v>44960</v>
      </c>
      <c r="S11" s="63">
        <v>45100</v>
      </c>
      <c r="T11" s="35"/>
      <c r="U11" s="3"/>
      <c r="V11" s="3"/>
      <c r="W11" s="3"/>
      <c r="X11" s="64">
        <v>16093000</v>
      </c>
      <c r="Y11" s="60">
        <f t="shared" si="0"/>
        <v>0</v>
      </c>
      <c r="Z11" s="67">
        <f t="shared" si="1"/>
        <v>1</v>
      </c>
      <c r="AA11" s="59">
        <v>12550144</v>
      </c>
      <c r="AB11" s="62" t="s">
        <v>226</v>
      </c>
      <c r="AC11" s="39" t="s">
        <v>196</v>
      </c>
      <c r="AD11" s="39" t="s">
        <v>196</v>
      </c>
      <c r="AE11" s="3"/>
      <c r="AF11" s="66" t="s">
        <v>252</v>
      </c>
      <c r="AG11" s="15" t="s">
        <v>192</v>
      </c>
      <c r="AH11" s="15" t="s">
        <v>192</v>
      </c>
    </row>
    <row r="12" spans="1:43" s="4" customFormat="1" x14ac:dyDescent="0.25">
      <c r="A12" s="16">
        <v>891780111</v>
      </c>
      <c r="B12" s="16" t="s">
        <v>54</v>
      </c>
      <c r="C12" s="58" t="s">
        <v>56</v>
      </c>
      <c r="D12" s="16" t="s">
        <v>60</v>
      </c>
      <c r="E12" s="59" t="s">
        <v>253</v>
      </c>
      <c r="F12" s="16" t="s">
        <v>61</v>
      </c>
      <c r="G12" s="39" t="s">
        <v>69</v>
      </c>
      <c r="H12" s="39" t="s">
        <v>73</v>
      </c>
      <c r="I12" s="60">
        <v>1340000</v>
      </c>
      <c r="J12" s="1"/>
      <c r="K12" s="2"/>
      <c r="L12" s="2"/>
      <c r="M12" s="30">
        <f t="shared" si="2"/>
        <v>1340000</v>
      </c>
      <c r="N12" s="59">
        <v>1083019037</v>
      </c>
      <c r="O12" s="59" t="s">
        <v>254</v>
      </c>
      <c r="P12" s="62" t="s">
        <v>255</v>
      </c>
      <c r="Q12" s="63">
        <v>44964</v>
      </c>
      <c r="R12" s="63">
        <v>44964</v>
      </c>
      <c r="S12" s="63">
        <v>44972</v>
      </c>
      <c r="T12" s="35"/>
      <c r="U12" s="3"/>
      <c r="V12" s="3"/>
      <c r="W12" s="3"/>
      <c r="X12" s="60">
        <v>1340000</v>
      </c>
      <c r="Y12" s="60">
        <f t="shared" si="0"/>
        <v>0</v>
      </c>
      <c r="Z12" s="67">
        <f t="shared" si="1"/>
        <v>1</v>
      </c>
      <c r="AA12" s="59">
        <v>85472735</v>
      </c>
      <c r="AB12" s="62" t="s">
        <v>256</v>
      </c>
      <c r="AC12" s="39" t="s">
        <v>196</v>
      </c>
      <c r="AD12" s="39" t="s">
        <v>196</v>
      </c>
      <c r="AE12" s="3"/>
      <c r="AF12" s="66" t="s">
        <v>257</v>
      </c>
      <c r="AG12" s="15" t="s">
        <v>192</v>
      </c>
      <c r="AH12" s="15" t="s">
        <v>192</v>
      </c>
    </row>
    <row r="13" spans="1:43" s="4" customFormat="1" x14ac:dyDescent="0.25">
      <c r="A13" s="16">
        <v>891780111</v>
      </c>
      <c r="B13" s="16" t="s">
        <v>54</v>
      </c>
      <c r="C13" s="58" t="s">
        <v>56</v>
      </c>
      <c r="D13" s="16" t="s">
        <v>60</v>
      </c>
      <c r="E13" s="59" t="s">
        <v>258</v>
      </c>
      <c r="F13" s="16" t="s">
        <v>61</v>
      </c>
      <c r="G13" s="39" t="s">
        <v>69</v>
      </c>
      <c r="H13" s="39" t="s">
        <v>73</v>
      </c>
      <c r="I13" s="60">
        <v>1861000</v>
      </c>
      <c r="J13" s="1"/>
      <c r="K13" s="2"/>
      <c r="L13" s="2"/>
      <c r="M13" s="30">
        <f t="shared" si="2"/>
        <v>1861000</v>
      </c>
      <c r="N13" s="59">
        <v>1082988307</v>
      </c>
      <c r="O13" s="59" t="s">
        <v>259</v>
      </c>
      <c r="P13" s="62" t="s">
        <v>260</v>
      </c>
      <c r="Q13" s="63">
        <v>44964</v>
      </c>
      <c r="R13" s="63">
        <v>44964</v>
      </c>
      <c r="S13" s="63">
        <v>44972</v>
      </c>
      <c r="T13" s="35"/>
      <c r="U13" s="3"/>
      <c r="V13" s="3"/>
      <c r="W13" s="3"/>
      <c r="X13" s="60">
        <v>1861000</v>
      </c>
      <c r="Y13" s="60">
        <f t="shared" si="0"/>
        <v>0</v>
      </c>
      <c r="Z13" s="67">
        <f t="shared" si="1"/>
        <v>1</v>
      </c>
      <c r="AA13" s="59">
        <v>85472735</v>
      </c>
      <c r="AB13" s="62" t="s">
        <v>256</v>
      </c>
      <c r="AC13" s="39" t="s">
        <v>196</v>
      </c>
      <c r="AD13" s="39" t="s">
        <v>196</v>
      </c>
      <c r="AE13" s="3"/>
      <c r="AF13" s="66" t="s">
        <v>227</v>
      </c>
      <c r="AG13" s="15" t="s">
        <v>192</v>
      </c>
      <c r="AH13" s="15" t="s">
        <v>192</v>
      </c>
    </row>
    <row r="14" spans="1:43" s="43" customFormat="1" x14ac:dyDescent="0.25">
      <c r="A14" s="38">
        <v>891780111</v>
      </c>
      <c r="B14" s="38" t="s">
        <v>54</v>
      </c>
      <c r="C14" s="58" t="s">
        <v>56</v>
      </c>
      <c r="D14" s="38" t="s">
        <v>60</v>
      </c>
      <c r="E14" s="59" t="s">
        <v>261</v>
      </c>
      <c r="F14" s="38" t="s">
        <v>61</v>
      </c>
      <c r="G14" s="39" t="s">
        <v>69</v>
      </c>
      <c r="H14" s="39" t="s">
        <v>73</v>
      </c>
      <c r="I14" s="60">
        <v>1590000</v>
      </c>
      <c r="J14" s="39"/>
      <c r="K14" s="61"/>
      <c r="L14" s="61"/>
      <c r="M14" s="40">
        <f>I14+K14-L14</f>
        <v>1590000</v>
      </c>
      <c r="N14" s="59">
        <v>1082997207</v>
      </c>
      <c r="O14" s="59" t="s">
        <v>262</v>
      </c>
      <c r="P14" s="62" t="s">
        <v>263</v>
      </c>
      <c r="Q14" s="63">
        <v>44964</v>
      </c>
      <c r="R14" s="63">
        <v>44964</v>
      </c>
      <c r="S14" s="63">
        <v>44972</v>
      </c>
      <c r="T14" s="41"/>
      <c r="U14" s="41"/>
      <c r="V14" s="41"/>
      <c r="W14" s="41"/>
      <c r="X14" s="60">
        <v>1590000</v>
      </c>
      <c r="Y14" s="68">
        <f t="shared" si="0"/>
        <v>0</v>
      </c>
      <c r="Z14" s="65">
        <f t="shared" si="1"/>
        <v>1</v>
      </c>
      <c r="AA14" s="59">
        <v>85472735</v>
      </c>
      <c r="AB14" s="62" t="s">
        <v>256</v>
      </c>
      <c r="AC14" s="39" t="s">
        <v>196</v>
      </c>
      <c r="AD14" s="39" t="s">
        <v>196</v>
      </c>
      <c r="AE14" s="41"/>
      <c r="AF14" s="66" t="s">
        <v>264</v>
      </c>
      <c r="AG14" s="15" t="s">
        <v>192</v>
      </c>
      <c r="AH14" s="15" t="s">
        <v>192</v>
      </c>
      <c r="AQ14" s="4"/>
    </row>
    <row r="15" spans="1:43" s="4" customFormat="1" x14ac:dyDescent="0.25">
      <c r="A15" s="16">
        <v>891780111</v>
      </c>
      <c r="B15" s="16" t="s">
        <v>54</v>
      </c>
      <c r="C15" s="58" t="s">
        <v>56</v>
      </c>
      <c r="D15" s="16" t="s">
        <v>60</v>
      </c>
      <c r="E15" s="59" t="s">
        <v>265</v>
      </c>
      <c r="F15" s="16" t="s">
        <v>61</v>
      </c>
      <c r="G15" s="39" t="s">
        <v>69</v>
      </c>
      <c r="H15" s="39" t="s">
        <v>73</v>
      </c>
      <c r="I15" s="60">
        <v>1629000</v>
      </c>
      <c r="J15" s="1"/>
      <c r="K15" s="2"/>
      <c r="L15" s="2"/>
      <c r="M15" s="30">
        <f>I15+K15-L15</f>
        <v>1629000</v>
      </c>
      <c r="N15" s="59">
        <v>1082944854</v>
      </c>
      <c r="O15" s="59" t="s">
        <v>266</v>
      </c>
      <c r="P15" s="62" t="s">
        <v>267</v>
      </c>
      <c r="Q15" s="63">
        <v>44964</v>
      </c>
      <c r="R15" s="63">
        <v>44964</v>
      </c>
      <c r="S15" s="63">
        <v>44972</v>
      </c>
      <c r="T15" s="35"/>
      <c r="U15" s="3"/>
      <c r="V15" s="3"/>
      <c r="W15" s="3"/>
      <c r="X15" s="60">
        <v>1629000</v>
      </c>
      <c r="Y15" s="60">
        <f t="shared" si="0"/>
        <v>0</v>
      </c>
      <c r="Z15" s="67">
        <f t="shared" si="1"/>
        <v>1</v>
      </c>
      <c r="AA15" s="59">
        <v>85472735</v>
      </c>
      <c r="AB15" s="62" t="s">
        <v>256</v>
      </c>
      <c r="AC15" s="39" t="s">
        <v>196</v>
      </c>
      <c r="AD15" s="39" t="s">
        <v>196</v>
      </c>
      <c r="AE15" s="3"/>
      <c r="AF15" s="66" t="s">
        <v>268</v>
      </c>
      <c r="AG15" s="15" t="s">
        <v>192</v>
      </c>
      <c r="AH15" s="15" t="s">
        <v>192</v>
      </c>
    </row>
    <row r="16" spans="1:43" s="4" customFormat="1" x14ac:dyDescent="0.25">
      <c r="A16" s="16">
        <v>891780111</v>
      </c>
      <c r="B16" s="16" t="s">
        <v>54</v>
      </c>
      <c r="C16" s="58" t="s">
        <v>56</v>
      </c>
      <c r="D16" s="16" t="s">
        <v>60</v>
      </c>
      <c r="E16" s="59" t="s">
        <v>269</v>
      </c>
      <c r="F16" s="16" t="s">
        <v>61</v>
      </c>
      <c r="G16" s="39" t="s">
        <v>69</v>
      </c>
      <c r="H16" s="39" t="s">
        <v>73</v>
      </c>
      <c r="I16" s="60">
        <v>2982100</v>
      </c>
      <c r="J16" s="1"/>
      <c r="K16" s="2"/>
      <c r="L16" s="2"/>
      <c r="M16" s="30">
        <f t="shared" ref="M16:M22" si="3">I16+K16-L16</f>
        <v>2982100</v>
      </c>
      <c r="N16" s="59">
        <v>1083030283</v>
      </c>
      <c r="O16" s="59" t="s">
        <v>270</v>
      </c>
      <c r="P16" s="62" t="s">
        <v>271</v>
      </c>
      <c r="Q16" s="63">
        <v>44964</v>
      </c>
      <c r="R16" s="63">
        <v>44964</v>
      </c>
      <c r="S16" s="63">
        <v>44972</v>
      </c>
      <c r="T16" s="35"/>
      <c r="U16" s="3"/>
      <c r="V16" s="3"/>
      <c r="W16" s="3"/>
      <c r="X16" s="60">
        <v>2982100</v>
      </c>
      <c r="Y16" s="60">
        <f t="shared" si="0"/>
        <v>0</v>
      </c>
      <c r="Z16" s="67">
        <f t="shared" si="1"/>
        <v>1</v>
      </c>
      <c r="AA16" s="59">
        <v>85472735</v>
      </c>
      <c r="AB16" s="62" t="s">
        <v>256</v>
      </c>
      <c r="AC16" s="39" t="s">
        <v>196</v>
      </c>
      <c r="AD16" s="39" t="s">
        <v>196</v>
      </c>
      <c r="AE16" s="3"/>
      <c r="AF16" s="66" t="s">
        <v>272</v>
      </c>
      <c r="AG16" s="15" t="s">
        <v>192</v>
      </c>
      <c r="AH16" s="15" t="s">
        <v>192</v>
      </c>
    </row>
    <row r="17" spans="1:43" s="4" customFormat="1" x14ac:dyDescent="0.25">
      <c r="A17" s="16">
        <v>891780111</v>
      </c>
      <c r="B17" s="16" t="s">
        <v>54</v>
      </c>
      <c r="C17" s="58" t="s">
        <v>56</v>
      </c>
      <c r="D17" s="16" t="s">
        <v>60</v>
      </c>
      <c r="E17" s="59" t="s">
        <v>273</v>
      </c>
      <c r="F17" s="16" t="s">
        <v>61</v>
      </c>
      <c r="G17" s="39" t="s">
        <v>69</v>
      </c>
      <c r="H17" s="39" t="s">
        <v>73</v>
      </c>
      <c r="I17" s="60">
        <v>15000000</v>
      </c>
      <c r="J17" s="1"/>
      <c r="K17" s="2"/>
      <c r="L17" s="2"/>
      <c r="M17" s="30">
        <f t="shared" si="3"/>
        <v>15000000</v>
      </c>
      <c r="N17" s="59">
        <v>901238253</v>
      </c>
      <c r="O17" s="59" t="s">
        <v>274</v>
      </c>
      <c r="P17" s="62" t="s">
        <v>275</v>
      </c>
      <c r="Q17" s="63">
        <v>44974</v>
      </c>
      <c r="R17" s="63">
        <v>44974</v>
      </c>
      <c r="S17" s="63">
        <v>45291</v>
      </c>
      <c r="T17" s="35"/>
      <c r="U17" s="3"/>
      <c r="V17" s="3"/>
      <c r="W17" s="3"/>
      <c r="X17" s="64">
        <v>4403999</v>
      </c>
      <c r="Y17" s="60">
        <f t="shared" si="0"/>
        <v>10596001</v>
      </c>
      <c r="Z17" s="67">
        <f t="shared" si="1"/>
        <v>0.29359993333333334</v>
      </c>
      <c r="AA17" s="59">
        <v>12550144</v>
      </c>
      <c r="AB17" s="62" t="s">
        <v>226</v>
      </c>
      <c r="AC17" s="39" t="s">
        <v>196</v>
      </c>
      <c r="AD17" s="39" t="s">
        <v>196</v>
      </c>
      <c r="AE17" s="3"/>
      <c r="AF17" s="66" t="s">
        <v>276</v>
      </c>
      <c r="AG17" s="15" t="s">
        <v>192</v>
      </c>
      <c r="AH17" s="15" t="s">
        <v>191</v>
      </c>
    </row>
    <row r="18" spans="1:43" s="4" customFormat="1" x14ac:dyDescent="0.25">
      <c r="A18" s="16">
        <v>891780111</v>
      </c>
      <c r="B18" s="16" t="s">
        <v>54</v>
      </c>
      <c r="C18" s="58" t="s">
        <v>56</v>
      </c>
      <c r="D18" s="16" t="s">
        <v>60</v>
      </c>
      <c r="E18" s="59" t="s">
        <v>277</v>
      </c>
      <c r="F18" s="16" t="s">
        <v>61</v>
      </c>
      <c r="G18" s="39" t="s">
        <v>69</v>
      </c>
      <c r="H18" s="39" t="s">
        <v>73</v>
      </c>
      <c r="I18" s="60">
        <v>28137822</v>
      </c>
      <c r="J18" s="1"/>
      <c r="K18" s="2"/>
      <c r="L18" s="2"/>
      <c r="M18" s="30">
        <f t="shared" si="3"/>
        <v>28137822</v>
      </c>
      <c r="N18" s="59">
        <v>1083019037</v>
      </c>
      <c r="O18" s="59" t="s">
        <v>254</v>
      </c>
      <c r="P18" s="62" t="s">
        <v>278</v>
      </c>
      <c r="Q18" s="63">
        <v>44980</v>
      </c>
      <c r="R18" s="63">
        <v>44980</v>
      </c>
      <c r="S18" s="63">
        <v>45275</v>
      </c>
      <c r="T18" s="35"/>
      <c r="U18" s="3"/>
      <c r="V18" s="3"/>
      <c r="W18" s="3"/>
      <c r="X18" s="64">
        <v>16078752</v>
      </c>
      <c r="Y18" s="60">
        <f t="shared" si="0"/>
        <v>12059070</v>
      </c>
      <c r="Z18" s="67">
        <f t="shared" si="1"/>
        <v>0.57142844957935979</v>
      </c>
      <c r="AA18" s="59">
        <v>85472735</v>
      </c>
      <c r="AB18" s="62" t="s">
        <v>256</v>
      </c>
      <c r="AC18" s="39" t="s">
        <v>196</v>
      </c>
      <c r="AD18" s="39" t="s">
        <v>196</v>
      </c>
      <c r="AE18" s="3"/>
      <c r="AF18" s="66" t="s">
        <v>279</v>
      </c>
      <c r="AG18" s="15" t="s">
        <v>192</v>
      </c>
      <c r="AH18" s="15" t="s">
        <v>192</v>
      </c>
    </row>
    <row r="19" spans="1:43" s="4" customFormat="1" x14ac:dyDescent="0.25">
      <c r="A19" s="16">
        <v>891780111</v>
      </c>
      <c r="B19" s="16" t="s">
        <v>54</v>
      </c>
      <c r="C19" s="58" t="s">
        <v>56</v>
      </c>
      <c r="D19" s="16" t="s">
        <v>60</v>
      </c>
      <c r="E19" s="59" t="s">
        <v>280</v>
      </c>
      <c r="F19" s="16" t="s">
        <v>61</v>
      </c>
      <c r="G19" s="39" t="s">
        <v>69</v>
      </c>
      <c r="H19" s="39" t="s">
        <v>73</v>
      </c>
      <c r="I19" s="60">
        <v>39062100</v>
      </c>
      <c r="J19" s="1"/>
      <c r="K19" s="2"/>
      <c r="L19" s="2"/>
      <c r="M19" s="30">
        <f t="shared" si="3"/>
        <v>39062100</v>
      </c>
      <c r="N19" s="59">
        <v>1082988307</v>
      </c>
      <c r="O19" s="59" t="s">
        <v>259</v>
      </c>
      <c r="P19" s="62" t="s">
        <v>281</v>
      </c>
      <c r="Q19" s="63">
        <v>44980</v>
      </c>
      <c r="R19" s="63">
        <v>44980</v>
      </c>
      <c r="S19" s="63">
        <v>45275</v>
      </c>
      <c r="T19" s="35"/>
      <c r="U19" s="3"/>
      <c r="V19" s="3"/>
      <c r="W19" s="3"/>
      <c r="X19" s="64">
        <v>22321200</v>
      </c>
      <c r="Y19" s="60">
        <f t="shared" si="0"/>
        <v>16740900</v>
      </c>
      <c r="Z19" s="67">
        <f t="shared" si="1"/>
        <v>0.5714285714285714</v>
      </c>
      <c r="AA19" s="59">
        <v>85472735</v>
      </c>
      <c r="AB19" s="62" t="s">
        <v>256</v>
      </c>
      <c r="AC19" s="39" t="s">
        <v>196</v>
      </c>
      <c r="AD19" s="39" t="s">
        <v>196</v>
      </c>
      <c r="AE19" s="3"/>
      <c r="AF19" s="66" t="s">
        <v>282</v>
      </c>
      <c r="AG19" s="15" t="s">
        <v>192</v>
      </c>
      <c r="AH19" s="15" t="s">
        <v>192</v>
      </c>
    </row>
    <row r="20" spans="1:43" s="4" customFormat="1" x14ac:dyDescent="0.25">
      <c r="A20" s="16">
        <v>891780111</v>
      </c>
      <c r="B20" s="16" t="s">
        <v>54</v>
      </c>
      <c r="C20" s="58" t="s">
        <v>56</v>
      </c>
      <c r="D20" s="16" t="s">
        <v>60</v>
      </c>
      <c r="E20" s="59" t="s">
        <v>283</v>
      </c>
      <c r="F20" s="16" t="s">
        <v>61</v>
      </c>
      <c r="G20" s="39" t="s">
        <v>69</v>
      </c>
      <c r="H20" s="39" t="s">
        <v>73</v>
      </c>
      <c r="I20" s="60">
        <v>33379500</v>
      </c>
      <c r="J20" s="1"/>
      <c r="K20" s="2"/>
      <c r="L20" s="2"/>
      <c r="M20" s="30">
        <f t="shared" si="3"/>
        <v>33379500</v>
      </c>
      <c r="N20" s="59">
        <v>1082997207</v>
      </c>
      <c r="O20" s="59" t="s">
        <v>262</v>
      </c>
      <c r="P20" s="62" t="s">
        <v>284</v>
      </c>
      <c r="Q20" s="63">
        <v>44980</v>
      </c>
      <c r="R20" s="63">
        <v>44980</v>
      </c>
      <c r="S20" s="63">
        <v>45275</v>
      </c>
      <c r="T20" s="35"/>
      <c r="U20" s="3"/>
      <c r="V20" s="3"/>
      <c r="W20" s="3"/>
      <c r="X20" s="64">
        <v>19074000</v>
      </c>
      <c r="Y20" s="60">
        <f t="shared" si="0"/>
        <v>14305500</v>
      </c>
      <c r="Z20" s="67">
        <f t="shared" si="1"/>
        <v>0.5714285714285714</v>
      </c>
      <c r="AA20" s="59">
        <v>85472735</v>
      </c>
      <c r="AB20" s="62" t="s">
        <v>256</v>
      </c>
      <c r="AC20" s="39" t="s">
        <v>196</v>
      </c>
      <c r="AD20" s="39" t="s">
        <v>196</v>
      </c>
      <c r="AE20" s="3"/>
      <c r="AF20" s="66" t="s">
        <v>285</v>
      </c>
      <c r="AG20" s="15" t="s">
        <v>192</v>
      </c>
      <c r="AH20" s="15" t="s">
        <v>192</v>
      </c>
    </row>
    <row r="21" spans="1:43" s="4" customFormat="1" x14ac:dyDescent="0.25">
      <c r="A21" s="16">
        <v>891780111</v>
      </c>
      <c r="B21" s="16" t="s">
        <v>54</v>
      </c>
      <c r="C21" s="58" t="s">
        <v>56</v>
      </c>
      <c r="D21" s="16" t="s">
        <v>60</v>
      </c>
      <c r="E21" s="59" t="s">
        <v>286</v>
      </c>
      <c r="F21" s="16" t="s">
        <v>61</v>
      </c>
      <c r="G21" s="39" t="s">
        <v>69</v>
      </c>
      <c r="H21" s="39" t="s">
        <v>73</v>
      </c>
      <c r="I21" s="60">
        <v>34199550</v>
      </c>
      <c r="J21" s="1"/>
      <c r="K21" s="2"/>
      <c r="L21" s="2"/>
      <c r="M21" s="30">
        <f t="shared" si="3"/>
        <v>34199550</v>
      </c>
      <c r="N21" s="59">
        <v>1082944854</v>
      </c>
      <c r="O21" s="59" t="s">
        <v>266</v>
      </c>
      <c r="P21" s="62" t="s">
        <v>287</v>
      </c>
      <c r="Q21" s="63">
        <v>44980</v>
      </c>
      <c r="R21" s="63">
        <v>44980</v>
      </c>
      <c r="S21" s="63">
        <v>45275</v>
      </c>
      <c r="T21" s="35"/>
      <c r="U21" s="3"/>
      <c r="V21" s="3"/>
      <c r="W21" s="3"/>
      <c r="X21" s="64">
        <v>19542600</v>
      </c>
      <c r="Y21" s="60">
        <f t="shared" si="0"/>
        <v>14656950</v>
      </c>
      <c r="Z21" s="67">
        <f t="shared" si="1"/>
        <v>0.5714285714285714</v>
      </c>
      <c r="AA21" s="59">
        <v>85472735</v>
      </c>
      <c r="AB21" s="62" t="s">
        <v>256</v>
      </c>
      <c r="AC21" s="39" t="s">
        <v>196</v>
      </c>
      <c r="AD21" s="39" t="s">
        <v>196</v>
      </c>
      <c r="AE21" s="3"/>
      <c r="AF21" s="66" t="s">
        <v>288</v>
      </c>
      <c r="AG21" s="15" t="s">
        <v>192</v>
      </c>
      <c r="AH21" s="15" t="s">
        <v>192</v>
      </c>
    </row>
    <row r="22" spans="1:43" s="4" customFormat="1" x14ac:dyDescent="0.25">
      <c r="A22" s="16">
        <v>891780111</v>
      </c>
      <c r="B22" s="16" t="s">
        <v>54</v>
      </c>
      <c r="C22" s="58" t="s">
        <v>56</v>
      </c>
      <c r="D22" s="16" t="s">
        <v>60</v>
      </c>
      <c r="E22" s="59" t="s">
        <v>289</v>
      </c>
      <c r="F22" s="16" t="s">
        <v>61</v>
      </c>
      <c r="G22" s="39" t="s">
        <v>69</v>
      </c>
      <c r="H22" s="39" t="s">
        <v>73</v>
      </c>
      <c r="I22" s="60">
        <v>22050000</v>
      </c>
      <c r="J22" s="1"/>
      <c r="K22" s="2"/>
      <c r="L22" s="2"/>
      <c r="M22" s="30">
        <f t="shared" si="3"/>
        <v>22050000</v>
      </c>
      <c r="N22" s="59">
        <v>1083030283</v>
      </c>
      <c r="O22" s="59" t="s">
        <v>270</v>
      </c>
      <c r="P22" s="62" t="s">
        <v>290</v>
      </c>
      <c r="Q22" s="63">
        <v>44980</v>
      </c>
      <c r="R22" s="63">
        <v>44980</v>
      </c>
      <c r="S22" s="63">
        <v>45275</v>
      </c>
      <c r="T22" s="35"/>
      <c r="U22" s="3"/>
      <c r="V22" s="3"/>
      <c r="W22" s="3"/>
      <c r="X22" s="64">
        <v>12600000</v>
      </c>
      <c r="Y22" s="60">
        <f t="shared" si="0"/>
        <v>9450000</v>
      </c>
      <c r="Z22" s="67">
        <f t="shared" si="1"/>
        <v>0.5714285714285714</v>
      </c>
      <c r="AA22" s="59">
        <v>85472735</v>
      </c>
      <c r="AB22" s="62" t="s">
        <v>256</v>
      </c>
      <c r="AC22" s="39" t="s">
        <v>196</v>
      </c>
      <c r="AD22" s="39" t="s">
        <v>196</v>
      </c>
      <c r="AE22" s="3"/>
      <c r="AF22" s="66" t="s">
        <v>291</v>
      </c>
      <c r="AG22" s="15" t="s">
        <v>192</v>
      </c>
      <c r="AH22" s="15" t="s">
        <v>192</v>
      </c>
      <c r="AQ22" s="4" t="s">
        <v>292</v>
      </c>
    </row>
    <row r="23" spans="1:43" s="4" customFormat="1" x14ac:dyDescent="0.25">
      <c r="A23" s="16">
        <v>891780111</v>
      </c>
      <c r="B23" s="16" t="s">
        <v>54</v>
      </c>
      <c r="C23" s="58" t="s">
        <v>56</v>
      </c>
      <c r="D23" s="16" t="s">
        <v>60</v>
      </c>
      <c r="E23" s="59" t="s">
        <v>293</v>
      </c>
      <c r="F23" s="16" t="s">
        <v>61</v>
      </c>
      <c r="G23" s="39" t="s">
        <v>69</v>
      </c>
      <c r="H23" s="39" t="s">
        <v>73</v>
      </c>
      <c r="I23" s="60">
        <v>6600000</v>
      </c>
      <c r="J23" s="1"/>
      <c r="K23" s="2"/>
      <c r="L23" s="2"/>
      <c r="M23" s="30">
        <f t="shared" si="2"/>
        <v>6600000</v>
      </c>
      <c r="N23" s="59">
        <v>1235538810</v>
      </c>
      <c r="O23" s="59" t="s">
        <v>294</v>
      </c>
      <c r="P23" s="62" t="s">
        <v>295</v>
      </c>
      <c r="Q23" s="63">
        <v>45001</v>
      </c>
      <c r="R23" s="63">
        <v>45001</v>
      </c>
      <c r="S23" s="63">
        <v>45093</v>
      </c>
      <c r="T23" s="35"/>
      <c r="U23" s="3"/>
      <c r="V23" s="3"/>
      <c r="W23" s="3"/>
      <c r="X23" s="64">
        <v>6600000</v>
      </c>
      <c r="Y23" s="60">
        <f t="shared" si="0"/>
        <v>0</v>
      </c>
      <c r="Z23" s="67">
        <f t="shared" si="1"/>
        <v>1</v>
      </c>
      <c r="AA23" s="59">
        <v>36726383</v>
      </c>
      <c r="AB23" s="62" t="s">
        <v>235</v>
      </c>
      <c r="AC23" s="39" t="s">
        <v>196</v>
      </c>
      <c r="AD23" s="39" t="s">
        <v>196</v>
      </c>
      <c r="AE23" s="3"/>
      <c r="AF23" s="66" t="s">
        <v>291</v>
      </c>
      <c r="AG23" s="15" t="s">
        <v>192</v>
      </c>
      <c r="AH23" s="15" t="s">
        <v>192</v>
      </c>
    </row>
    <row r="24" spans="1:43" s="4" customFormat="1" x14ac:dyDescent="0.25">
      <c r="A24" s="16">
        <v>891780111</v>
      </c>
      <c r="B24" s="16" t="s">
        <v>54</v>
      </c>
      <c r="C24" s="58" t="s">
        <v>56</v>
      </c>
      <c r="D24" s="16" t="s">
        <v>60</v>
      </c>
      <c r="E24" s="59" t="s">
        <v>296</v>
      </c>
      <c r="F24" s="16" t="s">
        <v>61</v>
      </c>
      <c r="G24" s="39" t="s">
        <v>69</v>
      </c>
      <c r="H24" s="39" t="s">
        <v>73</v>
      </c>
      <c r="I24" s="60">
        <v>15000000</v>
      </c>
      <c r="J24" s="1"/>
      <c r="K24" s="2"/>
      <c r="L24" s="2"/>
      <c r="M24" s="30">
        <f t="shared" si="2"/>
        <v>15000000</v>
      </c>
      <c r="N24" s="59">
        <v>12557025</v>
      </c>
      <c r="O24" s="59" t="s">
        <v>297</v>
      </c>
      <c r="P24" s="62" t="s">
        <v>298</v>
      </c>
      <c r="Q24" s="63">
        <v>45035</v>
      </c>
      <c r="R24" s="63">
        <v>45035</v>
      </c>
      <c r="S24" s="63">
        <v>45107</v>
      </c>
      <c r="T24" s="35"/>
      <c r="U24" s="3"/>
      <c r="V24" s="3"/>
      <c r="W24" s="3"/>
      <c r="X24" s="64">
        <v>6287000</v>
      </c>
      <c r="Y24" s="60">
        <f t="shared" si="0"/>
        <v>8713000</v>
      </c>
      <c r="Z24" s="67">
        <f t="shared" si="1"/>
        <v>0.41913333333333336</v>
      </c>
      <c r="AA24" s="59">
        <v>12550144</v>
      </c>
      <c r="AB24" s="62" t="s">
        <v>226</v>
      </c>
      <c r="AC24" s="39" t="s">
        <v>196</v>
      </c>
      <c r="AD24" s="39" t="s">
        <v>196</v>
      </c>
      <c r="AE24" s="3"/>
      <c r="AF24" s="66" t="s">
        <v>299</v>
      </c>
      <c r="AG24" s="15" t="s">
        <v>192</v>
      </c>
      <c r="AH24" s="15" t="s">
        <v>191</v>
      </c>
    </row>
    <row r="25" spans="1:43" s="4" customFormat="1" x14ac:dyDescent="0.25">
      <c r="A25" s="16">
        <v>891780111</v>
      </c>
      <c r="B25" s="16" t="s">
        <v>54</v>
      </c>
      <c r="C25" s="58" t="s">
        <v>56</v>
      </c>
      <c r="D25" s="16" t="s">
        <v>60</v>
      </c>
      <c r="E25" s="59" t="s">
        <v>300</v>
      </c>
      <c r="F25" s="16" t="s">
        <v>61</v>
      </c>
      <c r="G25" s="39" t="s">
        <v>69</v>
      </c>
      <c r="H25" s="39" t="s">
        <v>73</v>
      </c>
      <c r="I25" s="60">
        <v>3000000</v>
      </c>
      <c r="J25" s="1"/>
      <c r="K25" s="2"/>
      <c r="L25" s="2"/>
      <c r="M25" s="30">
        <f t="shared" si="2"/>
        <v>3000000</v>
      </c>
      <c r="N25" s="59">
        <v>1082961155</v>
      </c>
      <c r="O25" s="59" t="s">
        <v>301</v>
      </c>
      <c r="P25" s="62" t="s">
        <v>302</v>
      </c>
      <c r="Q25" s="63">
        <v>45055</v>
      </c>
      <c r="R25" s="63">
        <v>45055</v>
      </c>
      <c r="S25" s="63">
        <v>45062</v>
      </c>
      <c r="T25" s="35"/>
      <c r="U25" s="3"/>
      <c r="V25" s="3"/>
      <c r="W25" s="3"/>
      <c r="X25" s="60">
        <v>3000000</v>
      </c>
      <c r="Y25" s="60">
        <f t="shared" si="0"/>
        <v>0</v>
      </c>
      <c r="Z25" s="67">
        <f t="shared" si="1"/>
        <v>1</v>
      </c>
      <c r="AA25" s="59">
        <v>36726383</v>
      </c>
      <c r="AB25" s="62" t="s">
        <v>235</v>
      </c>
      <c r="AC25" s="39" t="s">
        <v>196</v>
      </c>
      <c r="AD25" s="39" t="s">
        <v>196</v>
      </c>
      <c r="AE25" s="3"/>
      <c r="AF25" s="66" t="s">
        <v>303</v>
      </c>
      <c r="AG25" s="15" t="s">
        <v>192</v>
      </c>
      <c r="AH25" s="15" t="s">
        <v>192</v>
      </c>
    </row>
    <row r="26" spans="1:43" s="4" customFormat="1" x14ac:dyDescent="0.25">
      <c r="A26" s="16">
        <v>891780111</v>
      </c>
      <c r="B26" s="16" t="s">
        <v>54</v>
      </c>
      <c r="C26" s="58" t="s">
        <v>56</v>
      </c>
      <c r="D26" s="16" t="s">
        <v>60</v>
      </c>
      <c r="E26" s="59" t="s">
        <v>304</v>
      </c>
      <c r="F26" s="16" t="s">
        <v>61</v>
      </c>
      <c r="G26" s="39" t="s">
        <v>69</v>
      </c>
      <c r="H26" s="39" t="s">
        <v>305</v>
      </c>
      <c r="I26" s="60">
        <v>4500000</v>
      </c>
      <c r="J26" s="1"/>
      <c r="K26" s="2"/>
      <c r="L26" s="2"/>
      <c r="M26" s="30">
        <f t="shared" si="2"/>
        <v>4500000</v>
      </c>
      <c r="N26" s="59">
        <v>1085112129</v>
      </c>
      <c r="O26" s="59" t="s">
        <v>306</v>
      </c>
      <c r="P26" s="62" t="s">
        <v>307</v>
      </c>
      <c r="Q26" s="63">
        <v>45086</v>
      </c>
      <c r="R26" s="63">
        <v>45090</v>
      </c>
      <c r="S26" s="63">
        <v>45169</v>
      </c>
      <c r="T26" s="35"/>
      <c r="U26" s="3"/>
      <c r="V26" s="3"/>
      <c r="W26" s="3"/>
      <c r="X26" s="64">
        <v>0</v>
      </c>
      <c r="Y26" s="60">
        <f t="shared" si="0"/>
        <v>4500000</v>
      </c>
      <c r="Z26" s="67">
        <f t="shared" si="1"/>
        <v>0</v>
      </c>
      <c r="AA26" s="59">
        <v>12550144</v>
      </c>
      <c r="AB26" s="62" t="s">
        <v>226</v>
      </c>
      <c r="AC26" s="39" t="s">
        <v>196</v>
      </c>
      <c r="AD26" s="39" t="s">
        <v>196</v>
      </c>
      <c r="AE26" s="3"/>
      <c r="AF26" s="66" t="s">
        <v>308</v>
      </c>
      <c r="AG26" s="15" t="s">
        <v>192</v>
      </c>
      <c r="AH26" s="15" t="s">
        <v>192</v>
      </c>
    </row>
    <row r="27" spans="1:43" s="4" customFormat="1" x14ac:dyDescent="0.25">
      <c r="A27" s="16">
        <v>891780111</v>
      </c>
      <c r="B27" s="16" t="s">
        <v>54</v>
      </c>
      <c r="C27" s="58" t="s">
        <v>56</v>
      </c>
      <c r="D27" s="16" t="s">
        <v>60</v>
      </c>
      <c r="E27" s="59" t="s">
        <v>309</v>
      </c>
      <c r="F27" s="16" t="s">
        <v>61</v>
      </c>
      <c r="G27" s="39" t="s">
        <v>69</v>
      </c>
      <c r="H27" s="39" t="s">
        <v>73</v>
      </c>
      <c r="I27" s="60">
        <v>14300000</v>
      </c>
      <c r="J27" s="1"/>
      <c r="K27" s="2"/>
      <c r="L27" s="2"/>
      <c r="M27" s="30">
        <f t="shared" si="2"/>
        <v>14300000</v>
      </c>
      <c r="N27" s="59">
        <v>1083433806</v>
      </c>
      <c r="O27" s="59" t="s">
        <v>242</v>
      </c>
      <c r="P27" s="62" t="s">
        <v>310</v>
      </c>
      <c r="Q27" s="63">
        <v>45121</v>
      </c>
      <c r="R27" s="63">
        <v>45124</v>
      </c>
      <c r="S27" s="63">
        <v>45275</v>
      </c>
      <c r="T27" s="35"/>
      <c r="U27" s="3"/>
      <c r="V27" s="3"/>
      <c r="W27" s="3"/>
      <c r="X27" s="64"/>
      <c r="Y27" s="60">
        <f t="shared" si="0"/>
        <v>14300000</v>
      </c>
      <c r="Z27" s="67">
        <f t="shared" si="1"/>
        <v>0</v>
      </c>
      <c r="AA27" s="59">
        <v>12550144</v>
      </c>
      <c r="AB27" s="62" t="s">
        <v>226</v>
      </c>
      <c r="AC27" s="39" t="s">
        <v>196</v>
      </c>
      <c r="AD27" s="39" t="s">
        <v>196</v>
      </c>
      <c r="AE27" s="3"/>
      <c r="AF27" s="66"/>
      <c r="AG27" s="15" t="s">
        <v>192</v>
      </c>
      <c r="AH27" s="15" t="s">
        <v>192</v>
      </c>
    </row>
    <row r="28" spans="1:43" s="5" customFormat="1" x14ac:dyDescent="0.25">
      <c r="A28" s="10"/>
      <c r="B28" s="11"/>
      <c r="C28" s="10" t="s">
        <v>311</v>
      </c>
      <c r="D28" s="12"/>
      <c r="E28" s="188">
        <f>COUNTA(E5:E27)</f>
        <v>23</v>
      </c>
      <c r="F28" s="11"/>
      <c r="G28" s="11"/>
      <c r="H28" s="12"/>
      <c r="I28" s="13">
        <f>SUM(I5:I27)</f>
        <v>424175172</v>
      </c>
      <c r="J28" s="11">
        <f>COUNTA(J5:J25)</f>
        <v>0</v>
      </c>
      <c r="K28" s="13">
        <f>SUM(K5:K25)</f>
        <v>0</v>
      </c>
      <c r="L28" s="13">
        <f>SUM(L5:L25)</f>
        <v>0</v>
      </c>
      <c r="M28" s="13">
        <f>SUM(M5:M26)</f>
        <v>409875172</v>
      </c>
      <c r="N28" s="11"/>
      <c r="O28" s="11"/>
      <c r="P28" s="11"/>
      <c r="Q28" s="11"/>
      <c r="R28" s="11"/>
      <c r="S28" s="11"/>
      <c r="T28" s="11"/>
      <c r="U28" s="11"/>
      <c r="V28" s="11"/>
      <c r="W28" s="11"/>
      <c r="X28" s="13">
        <f>SUM(X5:X27)</f>
        <v>257917101</v>
      </c>
      <c r="Y28" s="13">
        <f>SUM(Y5:Y27)</f>
        <v>166258071</v>
      </c>
      <c r="Z28" s="69"/>
      <c r="AA28" s="11"/>
      <c r="AB28" s="11"/>
      <c r="AC28" s="11"/>
      <c r="AD28" s="11"/>
      <c r="AE28" s="11"/>
      <c r="AF28" s="11"/>
      <c r="AG28" s="11"/>
      <c r="AH28" s="11"/>
    </row>
  </sheetData>
  <mergeCells count="7">
    <mergeCell ref="AF3:AH3"/>
    <mergeCell ref="A1:D1"/>
    <mergeCell ref="G1:H1"/>
    <mergeCell ref="A2:C2"/>
    <mergeCell ref="D2:F2"/>
    <mergeCell ref="G2:H3"/>
    <mergeCell ref="K2:P3"/>
  </mergeCells>
  <conditionalFormatting sqref="D2">
    <cfRule type="containsText" dxfId="22" priority="2" operator="containsText" text="Seleccione Ordenador">
      <formula>NOT(ISERROR(SEARCH("Seleccione Ordenador",D2)))</formula>
    </cfRule>
  </conditionalFormatting>
  <conditionalFormatting sqref="E1">
    <cfRule type="containsText" dxfId="21" priority="1" operator="containsText" text="Seleccione Periodo">
      <formula>NOT(ISERROR(SEARCH("Seleccione Periodo",E1)))</formula>
    </cfRule>
  </conditionalFormatting>
  <dataValidations count="9">
    <dataValidation type="list" allowBlank="1" showInputMessage="1" showErrorMessage="1" sqref="T5:T27" xr:uid="{DC628184-8EA5-4D60-AD78-D0CAA4AF644A}">
      <formula1>"SI,N/A"</formula1>
    </dataValidation>
    <dataValidation type="list" allowBlank="1" showInputMessage="1" showErrorMessage="1" sqref="AC5:AD27" xr:uid="{11D87A5F-051F-4C5A-99D5-DCCDD536A613}">
      <formula1>"SI,NO"</formula1>
    </dataValidation>
    <dataValidation type="list" allowBlank="1" showInputMessage="1" showErrorMessage="1" sqref="AG5:AG16 AG18:AG23 AG25:AG27 AH5:AH27" xr:uid="{04E33029-3D9C-4394-A89E-1F0B454FA78A}">
      <formula1>"SI,NA por TIPO Contrato"</formula1>
    </dataValidation>
    <dataValidation type="list" allowBlank="1" showInputMessage="1" showErrorMessage="1" sqref="AG17 AG24" xr:uid="{BAFB311E-04E5-4149-B723-16089F980390}">
      <formula1>"SI,NO HA INICIADO"</formula1>
    </dataValidation>
    <dataValidation type="list" allowBlank="1" showInputMessage="1" showErrorMessage="1" sqref="H5:H27" xr:uid="{D33A5DC0-4A17-4432-B91C-7AA1746E5E04}">
      <formula1>tipologia</formula1>
    </dataValidation>
    <dataValidation type="list" allowBlank="1" showInputMessage="1" showErrorMessage="1" sqref="G5:G27" xr:uid="{BC0F9DBC-8B65-46B0-9E77-D1086E0D55FA}">
      <formula1>modalidad</formula1>
    </dataValidation>
    <dataValidation type="list" allowBlank="1" showInputMessage="1" showErrorMessage="1" sqref="C5:C27" xr:uid="{5B3CCAB4-4BFF-4BC8-87A6-820D4DADA270}">
      <formula1>rubro</formula1>
    </dataValidation>
    <dataValidation type="list" allowBlank="1" showInputMessage="1" showErrorMessage="1" sqref="E1" xr:uid="{AC191085-64B6-4BED-9BE4-244BBFBF9018}">
      <formula1>cortea</formula1>
    </dataValidation>
    <dataValidation type="list" allowBlank="1" showInputMessage="1" showErrorMessage="1" sqref="D2" xr:uid="{3FCDEB9A-A8C4-4B16-B6D9-C008BC440B2E}">
      <formula1>Delegatarios</formula1>
    </dataValidation>
  </dataValidations>
  <hyperlinks>
    <hyperlink ref="AF5" r:id="rId1" xr:uid="{771F4C1A-E2D8-48C1-B624-A9124D24035A}"/>
    <hyperlink ref="AF25" r:id="rId2" xr:uid="{F6412FFD-7B5C-4506-A7AE-5E1DF7B90AFA}"/>
    <hyperlink ref="AF26" r:id="rId3" xr:uid="{11370DDA-D331-4C71-810D-5744DBDC78C3}"/>
  </hyperlinks>
  <pageMargins left="0" right="0" top="0" bottom="0" header="0.3" footer="0.3"/>
  <pageSetup paperSize="5" scale="38"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6014-F4EE-4D9A-870C-86AC2D60940B}">
  <sheetPr>
    <tabColor theme="8" tint="0.59999389629810485"/>
  </sheetPr>
  <dimension ref="A1:AF24"/>
  <sheetViews>
    <sheetView zoomScaleNormal="100" zoomScaleSheetLayoutView="100" workbookViewId="0">
      <selection activeCell="J9" sqref="J9"/>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3.5703125" customWidth="1"/>
    <col min="8" max="8" width="12.85546875" customWidth="1"/>
    <col min="9" max="9" width="19.28515625" style="8" customWidth="1"/>
    <col min="10" max="10" width="16.140625" customWidth="1"/>
    <col min="12" max="12" width="12.28515625" customWidth="1"/>
    <col min="13" max="13" width="22.5703125" customWidth="1"/>
    <col min="15" max="15" width="22.85546875" customWidth="1"/>
    <col min="17" max="17" width="15.5703125" customWidth="1"/>
    <col min="18" max="18" width="14.42578125" customWidth="1"/>
    <col min="19" max="19" width="12.5703125" customWidth="1"/>
    <col min="20" max="20" width="17.140625" customWidth="1"/>
    <col min="21" max="21" width="16.85546875" customWidth="1"/>
    <col min="22" max="22" width="16.42578125" customWidth="1"/>
    <col min="23" max="23" width="16.28515625" customWidth="1"/>
    <col min="25" max="25" width="14.42578125" customWidth="1"/>
    <col min="26" max="26" width="14.7109375" customWidth="1"/>
    <col min="29" max="29" width="14.85546875" customWidth="1"/>
    <col min="30" max="32" width="8.42578125" customWidth="1"/>
  </cols>
  <sheetData>
    <row r="1" spans="1:32" x14ac:dyDescent="0.25">
      <c r="A1" s="333" t="s">
        <v>84</v>
      </c>
      <c r="B1" s="333"/>
      <c r="C1" s="333"/>
      <c r="D1" s="333"/>
      <c r="E1" t="s">
        <v>46</v>
      </c>
      <c r="G1" s="334" t="s">
        <v>111</v>
      </c>
      <c r="H1" s="334"/>
      <c r="I1" s="29">
        <v>1160000</v>
      </c>
    </row>
    <row r="2" spans="1:32" ht="15" customHeight="1" x14ac:dyDescent="0.25">
      <c r="A2" s="335" t="s">
        <v>21</v>
      </c>
      <c r="B2" s="335"/>
      <c r="C2" s="335"/>
      <c r="D2" s="336" t="s">
        <v>35</v>
      </c>
      <c r="E2" s="336"/>
      <c r="F2" s="336"/>
      <c r="G2" s="337" t="s">
        <v>99</v>
      </c>
      <c r="H2" s="337"/>
      <c r="I2" s="21">
        <f>VLOOKUP($D$2,[5]Datos!$B$20:$C$35,2,FALSE)</f>
        <v>42</v>
      </c>
      <c r="J2" s="22" t="s">
        <v>85</v>
      </c>
      <c r="K2" s="339" t="str">
        <f>VLOOKUP($D$2,[5]Datos!$B$20:$D$35,3,FALSE)</f>
        <v>Sobre los recursos y fondos que segun las funciones esten a su cargo, proyectos del plan de acción que sea responsable, y aquellos generados en convenios o contratos</v>
      </c>
      <c r="L2" s="339"/>
      <c r="M2" s="339"/>
      <c r="N2" s="339"/>
      <c r="O2" s="339"/>
      <c r="P2" s="339"/>
    </row>
    <row r="3" spans="1:32" ht="15.75" customHeight="1" x14ac:dyDescent="0.25">
      <c r="G3" s="338"/>
      <c r="H3" s="338"/>
      <c r="I3" s="21">
        <f>I2*I1</f>
        <v>48720000</v>
      </c>
      <c r="J3" s="22" t="s">
        <v>93</v>
      </c>
      <c r="K3" s="340"/>
      <c r="L3" s="340"/>
      <c r="M3" s="340"/>
      <c r="N3" s="340"/>
      <c r="O3" s="340"/>
      <c r="P3" s="340"/>
      <c r="AD3" s="332" t="s">
        <v>80</v>
      </c>
      <c r="AE3" s="332"/>
      <c r="AF3" s="332"/>
    </row>
    <row r="4" spans="1:32" s="7" customFormat="1" ht="76.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7" t="s">
        <v>312</v>
      </c>
      <c r="U4" s="24" t="s">
        <v>313</v>
      </c>
      <c r="V4" s="28" t="s">
        <v>16</v>
      </c>
      <c r="W4" s="28" t="s">
        <v>17</v>
      </c>
      <c r="X4" s="28" t="s">
        <v>18</v>
      </c>
      <c r="Y4" s="24" t="s">
        <v>19</v>
      </c>
      <c r="Z4" s="24" t="s">
        <v>20</v>
      </c>
      <c r="AA4" s="24" t="s">
        <v>52</v>
      </c>
      <c r="AB4" s="24" t="s">
        <v>53</v>
      </c>
      <c r="AC4" s="27" t="s">
        <v>94</v>
      </c>
      <c r="AD4" s="24" t="s">
        <v>83</v>
      </c>
      <c r="AE4" s="24" t="s">
        <v>81</v>
      </c>
      <c r="AF4" s="24" t="s">
        <v>82</v>
      </c>
    </row>
    <row r="5" spans="1:32" s="4" customFormat="1" x14ac:dyDescent="0.2">
      <c r="A5" s="16">
        <v>891780111</v>
      </c>
      <c r="B5" s="16" t="s">
        <v>54</v>
      </c>
      <c r="C5" s="14" t="s">
        <v>56</v>
      </c>
      <c r="D5" s="16" t="s">
        <v>60</v>
      </c>
      <c r="E5" s="267" t="s">
        <v>6301</v>
      </c>
      <c r="F5" s="16" t="s">
        <v>61</v>
      </c>
      <c r="G5" s="1" t="s">
        <v>69</v>
      </c>
      <c r="H5" s="1" t="s">
        <v>73</v>
      </c>
      <c r="I5" s="9">
        <v>16000000</v>
      </c>
      <c r="J5" s="1"/>
      <c r="K5" s="2"/>
      <c r="L5" s="2"/>
      <c r="M5" s="30">
        <f>I5+K5-L5</f>
        <v>16000000</v>
      </c>
      <c r="N5" s="1">
        <v>1082961539</v>
      </c>
      <c r="O5" s="1" t="s">
        <v>6302</v>
      </c>
      <c r="P5" s="1" t="s">
        <v>6303</v>
      </c>
      <c r="Q5" s="3">
        <v>44945</v>
      </c>
      <c r="R5" s="3">
        <v>44945</v>
      </c>
      <c r="S5" s="3">
        <v>45107</v>
      </c>
      <c r="T5" s="3"/>
      <c r="U5" s="75"/>
      <c r="V5" s="53">
        <v>15300000</v>
      </c>
      <c r="W5" s="53">
        <v>700000</v>
      </c>
      <c r="X5" s="268">
        <v>0.95</v>
      </c>
      <c r="Y5" s="1">
        <v>41947381</v>
      </c>
      <c r="Z5" s="1" t="s">
        <v>6304</v>
      </c>
      <c r="AA5" s="1" t="s">
        <v>196</v>
      </c>
      <c r="AB5" s="1" t="s">
        <v>196</v>
      </c>
      <c r="AC5" s="3"/>
      <c r="AD5" s="15" t="s">
        <v>6305</v>
      </c>
      <c r="AE5" s="15" t="s">
        <v>192</v>
      </c>
      <c r="AF5" s="15" t="s">
        <v>192</v>
      </c>
    </row>
    <row r="6" spans="1:32" s="4" customFormat="1" x14ac:dyDescent="0.2">
      <c r="A6" s="16">
        <v>891780111</v>
      </c>
      <c r="B6" s="16" t="s">
        <v>54</v>
      </c>
      <c r="C6" s="14" t="s">
        <v>56</v>
      </c>
      <c r="D6" s="16" t="s">
        <v>60</v>
      </c>
      <c r="E6" s="267" t="s">
        <v>6306</v>
      </c>
      <c r="F6" s="16" t="s">
        <v>61</v>
      </c>
      <c r="G6" s="1" t="s">
        <v>69</v>
      </c>
      <c r="H6" s="1" t="s">
        <v>73</v>
      </c>
      <c r="I6" s="9">
        <v>20900000</v>
      </c>
      <c r="J6" s="1"/>
      <c r="K6" s="2"/>
      <c r="L6" s="2"/>
      <c r="M6" s="30">
        <f t="shared" ref="M6:M22" si="0">I6+K6-L6</f>
        <v>20900000</v>
      </c>
      <c r="N6" s="1">
        <v>57291132</v>
      </c>
      <c r="O6" s="1" t="s">
        <v>6307</v>
      </c>
      <c r="P6" s="1" t="s">
        <v>6308</v>
      </c>
      <c r="Q6" s="3">
        <v>44950</v>
      </c>
      <c r="R6" s="3">
        <v>44950</v>
      </c>
      <c r="S6" s="3">
        <v>45107</v>
      </c>
      <c r="T6" s="3"/>
      <c r="U6" s="75"/>
      <c r="V6" s="53">
        <v>20900000</v>
      </c>
      <c r="W6" s="53">
        <v>0</v>
      </c>
      <c r="X6" s="268">
        <v>1</v>
      </c>
      <c r="Y6" s="1">
        <v>41947381</v>
      </c>
      <c r="Z6" s="1" t="s">
        <v>6304</v>
      </c>
      <c r="AA6" s="1" t="s">
        <v>196</v>
      </c>
      <c r="AB6" s="1" t="s">
        <v>196</v>
      </c>
      <c r="AC6" s="3"/>
      <c r="AD6" s="15" t="s">
        <v>6309</v>
      </c>
      <c r="AE6" s="15" t="s">
        <v>192</v>
      </c>
      <c r="AF6" s="15" t="s">
        <v>192</v>
      </c>
    </row>
    <row r="7" spans="1:32" s="4" customFormat="1" x14ac:dyDescent="0.2">
      <c r="A7" s="16">
        <v>891780111</v>
      </c>
      <c r="B7" s="16" t="s">
        <v>54</v>
      </c>
      <c r="C7" s="14" t="s">
        <v>56</v>
      </c>
      <c r="D7" s="16" t="s">
        <v>60</v>
      </c>
      <c r="E7" s="267" t="s">
        <v>6310</v>
      </c>
      <c r="F7" s="16" t="s">
        <v>61</v>
      </c>
      <c r="G7" s="1" t="s">
        <v>69</v>
      </c>
      <c r="H7" s="1" t="s">
        <v>73</v>
      </c>
      <c r="I7" s="9">
        <v>20900000</v>
      </c>
      <c r="J7" s="1"/>
      <c r="K7" s="2"/>
      <c r="L7" s="2"/>
      <c r="M7" s="30">
        <f t="shared" si="0"/>
        <v>20900000</v>
      </c>
      <c r="N7" s="1">
        <v>1083027929</v>
      </c>
      <c r="O7" s="1" t="s">
        <v>6311</v>
      </c>
      <c r="P7" s="1" t="s">
        <v>6312</v>
      </c>
      <c r="Q7" s="3">
        <v>44950</v>
      </c>
      <c r="R7" s="3">
        <v>44950</v>
      </c>
      <c r="S7" s="3">
        <v>45107</v>
      </c>
      <c r="T7" s="3"/>
      <c r="U7" s="75"/>
      <c r="V7" s="53">
        <v>20900000</v>
      </c>
      <c r="W7" s="53">
        <v>0</v>
      </c>
      <c r="X7" s="268">
        <v>1</v>
      </c>
      <c r="Y7" s="1">
        <v>41947381</v>
      </c>
      <c r="Z7" s="1" t="s">
        <v>6304</v>
      </c>
      <c r="AA7" s="1" t="s">
        <v>196</v>
      </c>
      <c r="AB7" s="1" t="s">
        <v>196</v>
      </c>
      <c r="AC7" s="3"/>
      <c r="AD7" s="15" t="s">
        <v>6313</v>
      </c>
      <c r="AE7" s="15" t="s">
        <v>192</v>
      </c>
      <c r="AF7" s="15" t="s">
        <v>192</v>
      </c>
    </row>
    <row r="8" spans="1:32" s="4" customFormat="1" x14ac:dyDescent="0.2">
      <c r="A8" s="16">
        <v>891780111</v>
      </c>
      <c r="B8" s="16" t="s">
        <v>54</v>
      </c>
      <c r="C8" s="14" t="s">
        <v>56</v>
      </c>
      <c r="D8" s="16" t="s">
        <v>60</v>
      </c>
      <c r="E8" s="267" t="s">
        <v>6314</v>
      </c>
      <c r="F8" s="16" t="s">
        <v>61</v>
      </c>
      <c r="G8" s="1" t="s">
        <v>69</v>
      </c>
      <c r="H8" s="1" t="s">
        <v>73</v>
      </c>
      <c r="I8" s="9">
        <v>18150000</v>
      </c>
      <c r="J8" s="1"/>
      <c r="K8" s="2"/>
      <c r="L8" s="2"/>
      <c r="M8" s="30">
        <f t="shared" si="0"/>
        <v>18150000</v>
      </c>
      <c r="N8" s="1">
        <v>1082986396</v>
      </c>
      <c r="O8" s="1" t="s">
        <v>6315</v>
      </c>
      <c r="P8" s="1" t="s">
        <v>6316</v>
      </c>
      <c r="Q8" s="3">
        <v>44950</v>
      </c>
      <c r="R8" s="3">
        <v>44950</v>
      </c>
      <c r="S8" s="3">
        <v>45107</v>
      </c>
      <c r="T8" s="3"/>
      <c r="U8" s="75"/>
      <c r="V8" s="53">
        <v>18150000</v>
      </c>
      <c r="W8" s="53">
        <v>0</v>
      </c>
      <c r="X8" s="268">
        <v>1</v>
      </c>
      <c r="Y8" s="1">
        <v>41947381</v>
      </c>
      <c r="Z8" s="1" t="s">
        <v>6304</v>
      </c>
      <c r="AA8" s="1" t="s">
        <v>196</v>
      </c>
      <c r="AB8" s="1" t="s">
        <v>196</v>
      </c>
      <c r="AC8" s="3"/>
      <c r="AD8" s="15" t="s">
        <v>6317</v>
      </c>
      <c r="AE8" s="15" t="s">
        <v>192</v>
      </c>
      <c r="AF8" s="15" t="s">
        <v>192</v>
      </c>
    </row>
    <row r="9" spans="1:32" s="4" customFormat="1" x14ac:dyDescent="0.2">
      <c r="A9" s="16">
        <v>891780111</v>
      </c>
      <c r="B9" s="16" t="s">
        <v>54</v>
      </c>
      <c r="C9" s="14" t="s">
        <v>56</v>
      </c>
      <c r="D9" s="16" t="s">
        <v>60</v>
      </c>
      <c r="E9" s="267" t="s">
        <v>6318</v>
      </c>
      <c r="F9" s="16" t="s">
        <v>61</v>
      </c>
      <c r="G9" s="1" t="s">
        <v>69</v>
      </c>
      <c r="H9" s="1" t="s">
        <v>73</v>
      </c>
      <c r="I9" s="9">
        <v>5950000</v>
      </c>
      <c r="J9" s="1"/>
      <c r="K9" s="2"/>
      <c r="L9" s="2"/>
      <c r="M9" s="30">
        <f t="shared" si="0"/>
        <v>5950000</v>
      </c>
      <c r="N9" s="1">
        <v>1083030443</v>
      </c>
      <c r="O9" s="1" t="s">
        <v>6319</v>
      </c>
      <c r="P9" s="1" t="s">
        <v>6320</v>
      </c>
      <c r="Q9" s="3">
        <v>44974</v>
      </c>
      <c r="R9" s="3">
        <v>44974</v>
      </c>
      <c r="S9" s="3">
        <v>45076</v>
      </c>
      <c r="T9" s="3"/>
      <c r="U9" s="75"/>
      <c r="V9" s="53">
        <v>5950000</v>
      </c>
      <c r="W9" s="53">
        <v>0</v>
      </c>
      <c r="X9" s="269">
        <v>1</v>
      </c>
      <c r="Y9" s="1">
        <v>41947381</v>
      </c>
      <c r="Z9" s="1" t="s">
        <v>6304</v>
      </c>
      <c r="AA9" s="1" t="s">
        <v>196</v>
      </c>
      <c r="AB9" s="1" t="s">
        <v>196</v>
      </c>
      <c r="AC9" s="3"/>
      <c r="AD9" s="15" t="s">
        <v>6321</v>
      </c>
      <c r="AE9" s="15" t="s">
        <v>192</v>
      </c>
      <c r="AF9" s="15" t="s">
        <v>192</v>
      </c>
    </row>
    <row r="10" spans="1:32" s="4" customFormat="1" x14ac:dyDescent="0.2">
      <c r="A10" s="16">
        <v>891780111</v>
      </c>
      <c r="B10" s="16" t="s">
        <v>54</v>
      </c>
      <c r="C10" s="14" t="s">
        <v>56</v>
      </c>
      <c r="D10" s="16" t="s">
        <v>60</v>
      </c>
      <c r="E10" s="267" t="s">
        <v>6322</v>
      </c>
      <c r="F10" s="16" t="s">
        <v>61</v>
      </c>
      <c r="G10" s="1" t="s">
        <v>69</v>
      </c>
      <c r="H10" s="1" t="s">
        <v>79</v>
      </c>
      <c r="I10" s="9">
        <v>36342600</v>
      </c>
      <c r="J10" s="1"/>
      <c r="K10" s="2"/>
      <c r="L10" s="2"/>
      <c r="M10" s="30">
        <f t="shared" si="0"/>
        <v>36342600</v>
      </c>
      <c r="N10" s="1">
        <v>8600024002</v>
      </c>
      <c r="O10" s="1" t="s">
        <v>6323</v>
      </c>
      <c r="P10" s="1" t="s">
        <v>6324</v>
      </c>
      <c r="Q10" s="3">
        <v>44958</v>
      </c>
      <c r="R10" s="3">
        <v>44958</v>
      </c>
      <c r="S10" s="3">
        <v>45323</v>
      </c>
      <c r="T10" s="3"/>
      <c r="U10" s="75"/>
      <c r="V10" s="53">
        <v>24323600</v>
      </c>
      <c r="W10" s="53">
        <v>12019000</v>
      </c>
      <c r="X10" s="269">
        <v>0.67</v>
      </c>
      <c r="Y10" s="1">
        <v>41947381</v>
      </c>
      <c r="Z10" s="1" t="s">
        <v>6304</v>
      </c>
      <c r="AA10" s="1" t="s">
        <v>196</v>
      </c>
      <c r="AB10" s="1" t="s">
        <v>196</v>
      </c>
      <c r="AC10" s="3"/>
      <c r="AD10" s="15" t="s">
        <v>6325</v>
      </c>
      <c r="AE10" s="15" t="s">
        <v>192</v>
      </c>
      <c r="AF10" s="15" t="s">
        <v>192</v>
      </c>
    </row>
    <row r="11" spans="1:32" s="4" customFormat="1" x14ac:dyDescent="0.2">
      <c r="A11" s="16">
        <v>891780111</v>
      </c>
      <c r="B11" s="16" t="s">
        <v>54</v>
      </c>
      <c r="C11" s="14" t="s">
        <v>56</v>
      </c>
      <c r="D11" s="16" t="s">
        <v>60</v>
      </c>
      <c r="E11" s="267" t="s">
        <v>6326</v>
      </c>
      <c r="F11" s="16" t="s">
        <v>61</v>
      </c>
      <c r="G11" s="1" t="s">
        <v>69</v>
      </c>
      <c r="H11" s="1" t="s">
        <v>79</v>
      </c>
      <c r="I11" s="9">
        <v>15340000</v>
      </c>
      <c r="J11" s="1"/>
      <c r="K11" s="2"/>
      <c r="L11" s="2"/>
      <c r="M11" s="30">
        <f t="shared" si="0"/>
        <v>15340000</v>
      </c>
      <c r="N11" s="1">
        <v>60385970</v>
      </c>
      <c r="O11" s="1" t="s">
        <v>6327</v>
      </c>
      <c r="P11" s="1" t="s">
        <v>6328</v>
      </c>
      <c r="Q11" s="3">
        <v>44971</v>
      </c>
      <c r="R11" s="3">
        <v>44971</v>
      </c>
      <c r="S11" s="3">
        <v>44985</v>
      </c>
      <c r="T11" s="3"/>
      <c r="U11" s="75"/>
      <c r="V11" s="53">
        <v>15340000</v>
      </c>
      <c r="W11" s="53">
        <v>0</v>
      </c>
      <c r="X11" s="269">
        <v>1</v>
      </c>
      <c r="Y11" s="1">
        <v>41947381</v>
      </c>
      <c r="Z11" s="1" t="s">
        <v>6304</v>
      </c>
      <c r="AA11" s="1" t="s">
        <v>196</v>
      </c>
      <c r="AB11" s="1" t="s">
        <v>196</v>
      </c>
      <c r="AC11" s="3"/>
      <c r="AD11" s="15" t="s">
        <v>6329</v>
      </c>
      <c r="AE11" s="15" t="s">
        <v>192</v>
      </c>
      <c r="AF11" s="15" t="s">
        <v>192</v>
      </c>
    </row>
    <row r="12" spans="1:32" s="4" customFormat="1" x14ac:dyDescent="0.2">
      <c r="A12" s="16">
        <v>891780111</v>
      </c>
      <c r="B12" s="16" t="s">
        <v>54</v>
      </c>
      <c r="C12" s="14" t="s">
        <v>56</v>
      </c>
      <c r="D12" s="16" t="s">
        <v>60</v>
      </c>
      <c r="E12" s="270" t="s">
        <v>6330</v>
      </c>
      <c r="F12" s="16" t="s">
        <v>61</v>
      </c>
      <c r="G12" s="1" t="s">
        <v>69</v>
      </c>
      <c r="H12" s="1" t="s">
        <v>73</v>
      </c>
      <c r="I12" s="9">
        <v>12500000</v>
      </c>
      <c r="J12" s="1"/>
      <c r="K12" s="2"/>
      <c r="L12" s="2"/>
      <c r="M12" s="30">
        <f t="shared" si="0"/>
        <v>12500000</v>
      </c>
      <c r="N12" s="1">
        <v>57430189</v>
      </c>
      <c r="O12" s="1" t="s">
        <v>6331</v>
      </c>
      <c r="P12" s="1" t="s">
        <v>6332</v>
      </c>
      <c r="Q12" s="3">
        <v>44966</v>
      </c>
      <c r="R12" s="3">
        <v>44966</v>
      </c>
      <c r="S12" s="3">
        <v>45107</v>
      </c>
      <c r="T12" s="3"/>
      <c r="U12" s="75"/>
      <c r="V12" s="53">
        <v>12500000</v>
      </c>
      <c r="W12" s="53">
        <v>0</v>
      </c>
      <c r="X12" s="269">
        <v>1</v>
      </c>
      <c r="Y12" s="1">
        <v>41947381</v>
      </c>
      <c r="Z12" s="1" t="s">
        <v>6304</v>
      </c>
      <c r="AA12" s="1" t="s">
        <v>196</v>
      </c>
      <c r="AB12" s="1" t="s">
        <v>196</v>
      </c>
      <c r="AC12" s="3"/>
      <c r="AD12" s="15" t="s">
        <v>6333</v>
      </c>
      <c r="AE12" s="15" t="s">
        <v>192</v>
      </c>
      <c r="AF12" s="15" t="s">
        <v>192</v>
      </c>
    </row>
    <row r="13" spans="1:32" s="4" customFormat="1" x14ac:dyDescent="0.2">
      <c r="A13" s="16">
        <v>891780111</v>
      </c>
      <c r="B13" s="16" t="s">
        <v>54</v>
      </c>
      <c r="C13" s="14" t="s">
        <v>56</v>
      </c>
      <c r="D13" s="16" t="s">
        <v>60</v>
      </c>
      <c r="E13" s="270" t="s">
        <v>6334</v>
      </c>
      <c r="F13" s="16" t="s">
        <v>61</v>
      </c>
      <c r="G13" s="1" t="s">
        <v>69</v>
      </c>
      <c r="H13" s="1" t="s">
        <v>73</v>
      </c>
      <c r="I13" s="9">
        <v>12500000</v>
      </c>
      <c r="J13" s="1"/>
      <c r="K13" s="2"/>
      <c r="L13" s="2"/>
      <c r="M13" s="30">
        <f t="shared" si="0"/>
        <v>12500000</v>
      </c>
      <c r="N13" s="1">
        <v>12540807</v>
      </c>
      <c r="O13" s="1" t="s">
        <v>6335</v>
      </c>
      <c r="P13" s="1" t="s">
        <v>6336</v>
      </c>
      <c r="Q13" s="3">
        <v>44966</v>
      </c>
      <c r="R13" s="3">
        <v>44966</v>
      </c>
      <c r="S13" s="3">
        <v>45107</v>
      </c>
      <c r="T13" s="3"/>
      <c r="U13" s="75"/>
      <c r="V13" s="53">
        <v>12500000</v>
      </c>
      <c r="W13" s="53">
        <v>0</v>
      </c>
      <c r="X13" s="269">
        <v>1</v>
      </c>
      <c r="Y13" s="1">
        <v>41947381</v>
      </c>
      <c r="Z13" s="1" t="s">
        <v>6304</v>
      </c>
      <c r="AA13" s="1" t="s">
        <v>196</v>
      </c>
      <c r="AB13" s="1" t="s">
        <v>196</v>
      </c>
      <c r="AC13" s="3"/>
      <c r="AD13" s="42" t="s">
        <v>6337</v>
      </c>
      <c r="AE13" s="15" t="s">
        <v>192</v>
      </c>
      <c r="AF13" s="15" t="s">
        <v>192</v>
      </c>
    </row>
    <row r="14" spans="1:32" s="4" customFormat="1" x14ac:dyDescent="0.2">
      <c r="A14" s="16">
        <v>891780111</v>
      </c>
      <c r="B14" s="16" t="s">
        <v>54</v>
      </c>
      <c r="C14" s="14" t="s">
        <v>56</v>
      </c>
      <c r="D14" s="16" t="s">
        <v>60</v>
      </c>
      <c r="E14" s="270" t="s">
        <v>6338</v>
      </c>
      <c r="F14" s="16" t="s">
        <v>61</v>
      </c>
      <c r="G14" s="1" t="s">
        <v>69</v>
      </c>
      <c r="H14" s="1" t="s">
        <v>73</v>
      </c>
      <c r="I14" s="9">
        <v>12500000</v>
      </c>
      <c r="J14" s="1"/>
      <c r="K14" s="2"/>
      <c r="L14" s="2"/>
      <c r="M14" s="30">
        <f t="shared" si="0"/>
        <v>12500000</v>
      </c>
      <c r="N14" s="1">
        <v>1082845936</v>
      </c>
      <c r="O14" s="1" t="s">
        <v>6339</v>
      </c>
      <c r="P14" s="1" t="s">
        <v>6340</v>
      </c>
      <c r="Q14" s="3">
        <v>44974</v>
      </c>
      <c r="R14" s="3">
        <v>44974</v>
      </c>
      <c r="S14" s="3">
        <v>45107</v>
      </c>
      <c r="T14" s="3"/>
      <c r="U14" s="75"/>
      <c r="V14" s="53">
        <v>12500000</v>
      </c>
      <c r="W14" s="53">
        <v>0</v>
      </c>
      <c r="X14" s="269">
        <v>1</v>
      </c>
      <c r="Y14" s="1">
        <v>41947381</v>
      </c>
      <c r="Z14" s="1" t="s">
        <v>6304</v>
      </c>
      <c r="AA14" s="1" t="s">
        <v>196</v>
      </c>
      <c r="AB14" s="1" t="s">
        <v>196</v>
      </c>
      <c r="AC14" s="3"/>
      <c r="AD14" s="42" t="s">
        <v>6341</v>
      </c>
      <c r="AE14" s="15" t="s">
        <v>192</v>
      </c>
      <c r="AF14" s="15" t="s">
        <v>192</v>
      </c>
    </row>
    <row r="15" spans="1:32" s="4" customFormat="1" x14ac:dyDescent="0.2">
      <c r="A15" s="16">
        <v>891780111</v>
      </c>
      <c r="B15" s="16" t="s">
        <v>54</v>
      </c>
      <c r="C15" s="14" t="s">
        <v>56</v>
      </c>
      <c r="D15" s="16" t="s">
        <v>60</v>
      </c>
      <c r="E15" s="270" t="s">
        <v>6342</v>
      </c>
      <c r="F15" s="16" t="s">
        <v>61</v>
      </c>
      <c r="G15" s="1" t="s">
        <v>69</v>
      </c>
      <c r="H15" s="1" t="s">
        <v>73</v>
      </c>
      <c r="I15" s="9">
        <v>11700000</v>
      </c>
      <c r="J15" s="1"/>
      <c r="K15" s="2"/>
      <c r="L15" s="2"/>
      <c r="M15" s="30">
        <f t="shared" si="0"/>
        <v>11700000</v>
      </c>
      <c r="N15" s="1">
        <v>1082951294</v>
      </c>
      <c r="O15" s="1" t="s">
        <v>6343</v>
      </c>
      <c r="P15" s="1" t="s">
        <v>6344</v>
      </c>
      <c r="Q15" s="3">
        <v>44978</v>
      </c>
      <c r="R15" s="3">
        <v>44978</v>
      </c>
      <c r="S15" s="3">
        <v>45107</v>
      </c>
      <c r="T15" s="3"/>
      <c r="U15" s="75"/>
      <c r="V15" s="53">
        <v>11700000</v>
      </c>
      <c r="W15" s="53">
        <v>0</v>
      </c>
      <c r="X15" s="269">
        <v>1</v>
      </c>
      <c r="Y15" s="1">
        <v>41947381</v>
      </c>
      <c r="Z15" s="1" t="s">
        <v>6304</v>
      </c>
      <c r="AA15" s="1" t="s">
        <v>196</v>
      </c>
      <c r="AB15" s="1" t="s">
        <v>196</v>
      </c>
      <c r="AC15" s="3"/>
      <c r="AD15" s="42" t="s">
        <v>6345</v>
      </c>
      <c r="AE15" s="15" t="s">
        <v>192</v>
      </c>
      <c r="AF15" s="15" t="s">
        <v>192</v>
      </c>
    </row>
    <row r="16" spans="1:32" s="4" customFormat="1" x14ac:dyDescent="0.2">
      <c r="A16" s="16">
        <v>891780111</v>
      </c>
      <c r="B16" s="16" t="s">
        <v>54</v>
      </c>
      <c r="C16" s="14" t="s">
        <v>56</v>
      </c>
      <c r="D16" s="16" t="s">
        <v>60</v>
      </c>
      <c r="E16" s="1" t="s">
        <v>6346</v>
      </c>
      <c r="F16" s="16" t="s">
        <v>61</v>
      </c>
      <c r="G16" s="1" t="s">
        <v>69</v>
      </c>
      <c r="H16" s="1" t="s">
        <v>73</v>
      </c>
      <c r="I16" s="9">
        <v>3400000</v>
      </c>
      <c r="J16" s="1"/>
      <c r="K16" s="2"/>
      <c r="L16" s="2"/>
      <c r="M16" s="30">
        <f t="shared" si="0"/>
        <v>3400000</v>
      </c>
      <c r="N16" s="1">
        <v>1037666977</v>
      </c>
      <c r="O16" s="1" t="s">
        <v>6347</v>
      </c>
      <c r="P16" s="1" t="s">
        <v>6348</v>
      </c>
      <c r="Q16" s="3">
        <v>45036</v>
      </c>
      <c r="R16" s="3">
        <v>45036</v>
      </c>
      <c r="S16" s="3">
        <v>45097</v>
      </c>
      <c r="T16" s="3"/>
      <c r="U16" s="75"/>
      <c r="V16" s="9">
        <v>3400000</v>
      </c>
      <c r="W16" s="53">
        <v>0</v>
      </c>
      <c r="X16" s="269">
        <v>1</v>
      </c>
      <c r="Y16" s="1">
        <v>41947381</v>
      </c>
      <c r="Z16" s="1" t="s">
        <v>6304</v>
      </c>
      <c r="AA16" s="1" t="s">
        <v>196</v>
      </c>
      <c r="AB16" s="1" t="s">
        <v>196</v>
      </c>
      <c r="AC16" s="3"/>
      <c r="AD16" s="42" t="s">
        <v>6349</v>
      </c>
      <c r="AE16" s="15" t="s">
        <v>192</v>
      </c>
      <c r="AF16" s="15" t="s">
        <v>192</v>
      </c>
    </row>
    <row r="17" spans="1:32" s="4" customFormat="1" x14ac:dyDescent="0.2">
      <c r="A17" s="16">
        <v>891780111</v>
      </c>
      <c r="B17" s="16" t="s">
        <v>54</v>
      </c>
      <c r="C17" s="14" t="s">
        <v>56</v>
      </c>
      <c r="D17" s="16" t="s">
        <v>60</v>
      </c>
      <c r="E17" s="1" t="s">
        <v>6350</v>
      </c>
      <c r="F17" s="16" t="s">
        <v>61</v>
      </c>
      <c r="G17" s="1" t="s">
        <v>69</v>
      </c>
      <c r="H17" s="1" t="s">
        <v>79</v>
      </c>
      <c r="I17" s="9">
        <v>1300000</v>
      </c>
      <c r="J17" s="1"/>
      <c r="K17" s="2"/>
      <c r="L17" s="2"/>
      <c r="M17" s="30">
        <f t="shared" si="0"/>
        <v>1300000</v>
      </c>
      <c r="N17" s="1">
        <v>1082887911</v>
      </c>
      <c r="O17" s="1" t="s">
        <v>6351</v>
      </c>
      <c r="P17" s="1" t="s">
        <v>6352</v>
      </c>
      <c r="Q17" s="3">
        <v>45076</v>
      </c>
      <c r="R17" s="3">
        <v>45076</v>
      </c>
      <c r="S17" s="3">
        <v>45079</v>
      </c>
      <c r="T17" s="3"/>
      <c r="U17" s="75"/>
      <c r="V17" s="9">
        <v>1300000</v>
      </c>
      <c r="W17" s="9">
        <v>0</v>
      </c>
      <c r="X17" s="269">
        <v>1</v>
      </c>
      <c r="Y17" s="1">
        <v>41947381</v>
      </c>
      <c r="Z17" s="1" t="s">
        <v>6304</v>
      </c>
      <c r="AA17" s="1" t="s">
        <v>196</v>
      </c>
      <c r="AB17" s="1" t="s">
        <v>196</v>
      </c>
      <c r="AC17" s="3"/>
      <c r="AD17" s="42" t="s">
        <v>6353</v>
      </c>
      <c r="AE17" s="15" t="s">
        <v>192</v>
      </c>
      <c r="AF17" s="15" t="s">
        <v>192</v>
      </c>
    </row>
    <row r="18" spans="1:32" s="4" customFormat="1" x14ac:dyDescent="0.2">
      <c r="A18" s="16">
        <v>891780111</v>
      </c>
      <c r="B18" s="16" t="s">
        <v>54</v>
      </c>
      <c r="C18" s="14" t="s">
        <v>56</v>
      </c>
      <c r="D18" s="16" t="s">
        <v>60</v>
      </c>
      <c r="E18" s="270" t="s">
        <v>6354</v>
      </c>
      <c r="F18" s="16" t="s">
        <v>61</v>
      </c>
      <c r="G18" s="1" t="s">
        <v>69</v>
      </c>
      <c r="H18" s="1" t="s">
        <v>73</v>
      </c>
      <c r="I18" s="9">
        <v>22800000</v>
      </c>
      <c r="J18" s="1"/>
      <c r="K18" s="2"/>
      <c r="L18" s="2"/>
      <c r="M18" s="30">
        <f t="shared" si="0"/>
        <v>22800000</v>
      </c>
      <c r="N18" s="1">
        <v>57291132</v>
      </c>
      <c r="O18" s="1" t="s">
        <v>6307</v>
      </c>
      <c r="P18" s="1" t="s">
        <v>6308</v>
      </c>
      <c r="Q18" s="3">
        <v>45114</v>
      </c>
      <c r="R18" s="3">
        <v>45114</v>
      </c>
      <c r="S18" s="3">
        <v>45275</v>
      </c>
      <c r="T18" s="3"/>
      <c r="U18" s="75"/>
      <c r="V18" s="9">
        <v>3800000</v>
      </c>
      <c r="W18" s="9">
        <v>19000000</v>
      </c>
      <c r="X18" s="269">
        <v>0.16</v>
      </c>
      <c r="Y18" s="1">
        <v>41947381</v>
      </c>
      <c r="Z18" s="1" t="s">
        <v>6304</v>
      </c>
      <c r="AA18" s="1" t="s">
        <v>196</v>
      </c>
      <c r="AB18" s="1" t="s">
        <v>196</v>
      </c>
      <c r="AC18" s="3"/>
      <c r="AD18" s="42" t="s">
        <v>6355</v>
      </c>
      <c r="AE18" s="15" t="s">
        <v>192</v>
      </c>
      <c r="AF18" s="15" t="s">
        <v>192</v>
      </c>
    </row>
    <row r="19" spans="1:32" s="4" customFormat="1" x14ac:dyDescent="0.2">
      <c r="A19" s="16">
        <v>891780111</v>
      </c>
      <c r="B19" s="16" t="s">
        <v>54</v>
      </c>
      <c r="C19" s="14" t="s">
        <v>56</v>
      </c>
      <c r="D19" s="16" t="s">
        <v>60</v>
      </c>
      <c r="E19" s="270" t="s">
        <v>6356</v>
      </c>
      <c r="F19" s="16" t="s">
        <v>61</v>
      </c>
      <c r="G19" s="1" t="s">
        <v>69</v>
      </c>
      <c r="H19" s="1" t="s">
        <v>73</v>
      </c>
      <c r="I19" s="9">
        <v>19800000</v>
      </c>
      <c r="J19" s="1"/>
      <c r="K19" s="2"/>
      <c r="L19" s="2"/>
      <c r="M19" s="30">
        <f t="shared" si="0"/>
        <v>19800000</v>
      </c>
      <c r="N19" s="1">
        <v>1083027929</v>
      </c>
      <c r="O19" s="1" t="s">
        <v>6311</v>
      </c>
      <c r="P19" s="1" t="s">
        <v>6312</v>
      </c>
      <c r="Q19" s="3">
        <v>45114</v>
      </c>
      <c r="R19" s="3">
        <v>45114</v>
      </c>
      <c r="S19" s="3">
        <v>45275</v>
      </c>
      <c r="T19" s="3"/>
      <c r="U19" s="75"/>
      <c r="V19" s="9">
        <v>3300000</v>
      </c>
      <c r="W19" s="9">
        <v>16500000</v>
      </c>
      <c r="X19" s="269">
        <v>0.16</v>
      </c>
      <c r="Y19" s="1">
        <v>41947381</v>
      </c>
      <c r="Z19" s="1" t="s">
        <v>6304</v>
      </c>
      <c r="AA19" s="1" t="s">
        <v>196</v>
      </c>
      <c r="AB19" s="1" t="s">
        <v>196</v>
      </c>
      <c r="AC19" s="3"/>
      <c r="AD19" s="42" t="s">
        <v>6357</v>
      </c>
      <c r="AE19" s="15" t="s">
        <v>192</v>
      </c>
      <c r="AF19" s="15" t="s">
        <v>192</v>
      </c>
    </row>
    <row r="20" spans="1:32" s="4" customFormat="1" x14ac:dyDescent="0.2">
      <c r="A20" s="16">
        <v>891780111</v>
      </c>
      <c r="B20" s="16" t="s">
        <v>54</v>
      </c>
      <c r="C20" s="14" t="s">
        <v>56</v>
      </c>
      <c r="D20" s="16" t="s">
        <v>60</v>
      </c>
      <c r="E20" s="270" t="s">
        <v>6358</v>
      </c>
      <c r="F20" s="16" t="s">
        <v>61</v>
      </c>
      <c r="G20" s="1" t="s">
        <v>69</v>
      </c>
      <c r="H20" s="1" t="s">
        <v>73</v>
      </c>
      <c r="I20" s="9">
        <v>19800000</v>
      </c>
      <c r="J20" s="1"/>
      <c r="K20" s="2"/>
      <c r="L20" s="2"/>
      <c r="M20" s="30">
        <f t="shared" si="0"/>
        <v>19800000</v>
      </c>
      <c r="N20" s="1">
        <v>1082986396</v>
      </c>
      <c r="O20" s="1" t="s">
        <v>6315</v>
      </c>
      <c r="P20" s="1" t="s">
        <v>6316</v>
      </c>
      <c r="Q20" s="3">
        <v>45114</v>
      </c>
      <c r="R20" s="3">
        <v>45114</v>
      </c>
      <c r="S20" s="3">
        <v>45275</v>
      </c>
      <c r="T20" s="3"/>
      <c r="U20" s="75"/>
      <c r="V20" s="9">
        <v>3300000</v>
      </c>
      <c r="W20" s="9">
        <v>16500000</v>
      </c>
      <c r="X20" s="269">
        <v>0.16</v>
      </c>
      <c r="Y20" s="1">
        <v>41947381</v>
      </c>
      <c r="Z20" s="1" t="s">
        <v>6304</v>
      </c>
      <c r="AA20" s="1" t="s">
        <v>196</v>
      </c>
      <c r="AB20" s="1" t="s">
        <v>196</v>
      </c>
      <c r="AC20" s="3"/>
      <c r="AD20" s="42" t="s">
        <v>6359</v>
      </c>
      <c r="AE20" s="15" t="s">
        <v>192</v>
      </c>
      <c r="AF20" s="15" t="s">
        <v>192</v>
      </c>
    </row>
    <row r="21" spans="1:32" s="4" customFormat="1" x14ac:dyDescent="0.2">
      <c r="A21" s="16">
        <v>891780111</v>
      </c>
      <c r="B21" s="16" t="s">
        <v>54</v>
      </c>
      <c r="C21" s="14" t="s">
        <v>56</v>
      </c>
      <c r="D21" s="16" t="s">
        <v>60</v>
      </c>
      <c r="E21" s="270" t="s">
        <v>6360</v>
      </c>
      <c r="F21" s="16" t="s">
        <v>61</v>
      </c>
      <c r="G21" s="1" t="s">
        <v>69</v>
      </c>
      <c r="H21" s="1" t="s">
        <v>79</v>
      </c>
      <c r="I21" s="9">
        <v>25620000</v>
      </c>
      <c r="J21" s="1"/>
      <c r="K21" s="2"/>
      <c r="L21" s="2"/>
      <c r="M21" s="30">
        <f t="shared" si="0"/>
        <v>25620000</v>
      </c>
      <c r="N21" s="1">
        <v>60385970</v>
      </c>
      <c r="O21" s="1" t="s">
        <v>6327</v>
      </c>
      <c r="P21" s="1" t="s">
        <v>6328</v>
      </c>
      <c r="Q21" s="3">
        <v>45125</v>
      </c>
      <c r="R21" s="3">
        <v>45125</v>
      </c>
      <c r="S21" s="3">
        <v>45138</v>
      </c>
      <c r="T21" s="3"/>
      <c r="U21" s="75"/>
      <c r="V21" s="9">
        <v>25620000</v>
      </c>
      <c r="W21" s="9">
        <v>0</v>
      </c>
      <c r="X21" s="269">
        <v>1</v>
      </c>
      <c r="Y21" s="1">
        <v>41947381</v>
      </c>
      <c r="Z21" s="1" t="s">
        <v>6304</v>
      </c>
      <c r="AA21" s="1" t="s">
        <v>196</v>
      </c>
      <c r="AB21" s="1" t="s">
        <v>196</v>
      </c>
      <c r="AC21" s="3"/>
      <c r="AD21" s="42" t="s">
        <v>6361</v>
      </c>
      <c r="AE21" s="15" t="s">
        <v>192</v>
      </c>
      <c r="AF21" s="15" t="s">
        <v>192</v>
      </c>
    </row>
    <row r="22" spans="1:32" s="4" customFormat="1" x14ac:dyDescent="0.25">
      <c r="A22" s="16">
        <v>891780111</v>
      </c>
      <c r="B22" s="16" t="s">
        <v>54</v>
      </c>
      <c r="C22" s="14" t="s">
        <v>56</v>
      </c>
      <c r="D22" s="16" t="s">
        <v>60</v>
      </c>
      <c r="E22" s="270" t="s">
        <v>6362</v>
      </c>
      <c r="F22" s="16" t="s">
        <v>61</v>
      </c>
      <c r="G22" s="1" t="s">
        <v>69</v>
      </c>
      <c r="H22" s="1" t="s">
        <v>73</v>
      </c>
      <c r="I22" s="9">
        <v>12500000</v>
      </c>
      <c r="J22" s="1"/>
      <c r="K22" s="2"/>
      <c r="L22" s="2"/>
      <c r="M22" s="30">
        <f t="shared" si="0"/>
        <v>12500000</v>
      </c>
      <c r="N22" s="1">
        <v>1082845936</v>
      </c>
      <c r="O22" t="s">
        <v>6339</v>
      </c>
      <c r="P22" s="1" t="s">
        <v>6340</v>
      </c>
      <c r="Q22" s="3">
        <v>45121</v>
      </c>
      <c r="R22" s="3">
        <v>45121</v>
      </c>
      <c r="S22" s="3">
        <v>45260</v>
      </c>
      <c r="T22" s="3"/>
      <c r="U22" s="75"/>
      <c r="V22" s="9">
        <v>0</v>
      </c>
      <c r="W22" s="9">
        <v>12500000</v>
      </c>
      <c r="X22" s="269">
        <v>0</v>
      </c>
      <c r="Y22" s="1">
        <v>41947381</v>
      </c>
      <c r="Z22" s="1" t="s">
        <v>6304</v>
      </c>
      <c r="AA22" s="1" t="s">
        <v>196</v>
      </c>
      <c r="AB22" s="1" t="s">
        <v>196</v>
      </c>
      <c r="AC22" s="3"/>
      <c r="AD22" s="42" t="s">
        <v>6363</v>
      </c>
      <c r="AE22" s="15" t="s">
        <v>192</v>
      </c>
      <c r="AF22" s="15" t="s">
        <v>192</v>
      </c>
    </row>
    <row r="23" spans="1:32" s="4" customFormat="1" x14ac:dyDescent="0.2">
      <c r="A23" s="16">
        <v>891780111</v>
      </c>
      <c r="B23" s="16" t="s">
        <v>54</v>
      </c>
      <c r="C23" s="14" t="s">
        <v>56</v>
      </c>
      <c r="D23" s="16" t="s">
        <v>60</v>
      </c>
      <c r="E23" s="1" t="s">
        <v>6364</v>
      </c>
      <c r="F23" s="16" t="s">
        <v>61</v>
      </c>
      <c r="G23" s="1" t="s">
        <v>69</v>
      </c>
      <c r="H23" s="1" t="s">
        <v>73</v>
      </c>
      <c r="I23" s="9">
        <v>4000000</v>
      </c>
      <c r="J23" s="1"/>
      <c r="K23" s="2"/>
      <c r="L23" s="2"/>
      <c r="M23" s="30">
        <f>I23+K23-L23</f>
        <v>4000000</v>
      </c>
      <c r="N23" s="1">
        <v>32882509</v>
      </c>
      <c r="O23" s="1" t="s">
        <v>6365</v>
      </c>
      <c r="P23" s="1" t="s">
        <v>6366</v>
      </c>
      <c r="Q23" s="3">
        <v>45128</v>
      </c>
      <c r="R23" s="3">
        <v>45128</v>
      </c>
      <c r="S23" s="3">
        <v>45142</v>
      </c>
      <c r="T23" s="3"/>
      <c r="U23" s="75"/>
      <c r="V23" s="9">
        <v>0</v>
      </c>
      <c r="W23" s="9">
        <v>4000000</v>
      </c>
      <c r="X23" s="269">
        <v>0</v>
      </c>
      <c r="Y23" s="1">
        <v>41947381</v>
      </c>
      <c r="Z23" s="1" t="s">
        <v>6304</v>
      </c>
      <c r="AA23" s="1" t="s">
        <v>196</v>
      </c>
      <c r="AB23" s="1" t="s">
        <v>196</v>
      </c>
      <c r="AC23" s="3"/>
      <c r="AD23" s="271" t="s">
        <v>6367</v>
      </c>
      <c r="AE23" s="15" t="s">
        <v>192</v>
      </c>
      <c r="AF23" s="15" t="s">
        <v>192</v>
      </c>
    </row>
    <row r="24" spans="1:32" s="5" customFormat="1" x14ac:dyDescent="0.25">
      <c r="A24" s="10"/>
      <c r="B24" s="11"/>
      <c r="C24" s="10" t="s">
        <v>311</v>
      </c>
      <c r="D24" s="12"/>
      <c r="E24" s="188">
        <f>COUNTA(E5:E23)</f>
        <v>19</v>
      </c>
      <c r="F24" s="11"/>
      <c r="G24" s="11"/>
      <c r="H24" s="12"/>
      <c r="I24" s="13">
        <f>SUM(I5:I23)</f>
        <v>292002600</v>
      </c>
      <c r="J24" s="11">
        <f>COUNTA(J5:J23)</f>
        <v>0</v>
      </c>
      <c r="K24" s="13">
        <f>SUM(K5:K23)</f>
        <v>0</v>
      </c>
      <c r="L24" s="13">
        <f>SUM(L5:L23)</f>
        <v>0</v>
      </c>
      <c r="M24" s="13">
        <f>SUM(M5:M23)</f>
        <v>292002600</v>
      </c>
      <c r="N24" s="11"/>
      <c r="O24" s="11"/>
      <c r="P24" s="11"/>
      <c r="Q24" s="11"/>
      <c r="R24" s="11"/>
      <c r="S24" s="11"/>
      <c r="T24" s="11"/>
      <c r="U24" s="11">
        <f>SUM(U5:U23)</f>
        <v>0</v>
      </c>
      <c r="V24" s="13">
        <f>SUM(V5:V23)</f>
        <v>210783600</v>
      </c>
      <c r="W24" s="13">
        <f>SUM(W5:W23)</f>
        <v>81219000</v>
      </c>
      <c r="X24" s="11"/>
      <c r="Y24" s="11"/>
      <c r="Z24" s="11"/>
      <c r="AA24" s="11"/>
      <c r="AB24" s="11"/>
      <c r="AC24" s="11"/>
      <c r="AD24" s="11"/>
      <c r="AE24" s="11"/>
      <c r="AF24" s="11"/>
    </row>
  </sheetData>
  <mergeCells count="7">
    <mergeCell ref="AD3:AF3"/>
    <mergeCell ref="A1:D1"/>
    <mergeCell ref="G1:H1"/>
    <mergeCell ref="A2:C2"/>
    <mergeCell ref="D2:F2"/>
    <mergeCell ref="G2:H3"/>
    <mergeCell ref="K2:P3"/>
  </mergeCells>
  <conditionalFormatting sqref="D2">
    <cfRule type="containsText" dxfId="20" priority="2" operator="containsText" text="Seleccione Ordenador">
      <formula>NOT(ISERROR(SEARCH("Seleccione Ordenador",D2)))</formula>
    </cfRule>
  </conditionalFormatting>
  <conditionalFormatting sqref="E1">
    <cfRule type="containsText" dxfId="19" priority="1" operator="containsText" text="Seleccione Periodo">
      <formula>NOT(ISERROR(SEARCH("Seleccione Periodo",E1)))</formula>
    </cfRule>
  </conditionalFormatting>
  <dataValidations count="8">
    <dataValidation type="list" allowBlank="1" showInputMessage="1" showErrorMessage="1" sqref="AA5:AB23" xr:uid="{23FC29F8-0FB4-41F2-9DAF-34F45349ED85}">
      <formula1>"SI,NO"</formula1>
    </dataValidation>
    <dataValidation type="list" allowBlank="1" showInputMessage="1" showErrorMessage="1" sqref="C5:C23" xr:uid="{6903C05C-3202-4CF0-90DA-35FC0F95E36C}">
      <formula1>rubro</formula1>
    </dataValidation>
    <dataValidation type="list" allowBlank="1" showInputMessage="1" showErrorMessage="1" sqref="AF5:AF23" xr:uid="{9E5585E6-1AAD-4D7F-8214-37AF0671F1D0}">
      <formula1>"SI,NA por TIPO Contrato"</formula1>
    </dataValidation>
    <dataValidation type="list" allowBlank="1" showInputMessage="1" showErrorMessage="1" sqref="AE5:AE23" xr:uid="{3DAB8CD3-DE42-43FC-91CC-BD4D64AFF4A0}">
      <formula1>"SI,NO HA INICIADO"</formula1>
    </dataValidation>
    <dataValidation type="list" allowBlank="1" showInputMessage="1" showErrorMessage="1" sqref="H5:H23" xr:uid="{2AC0B622-F5DB-4C7B-819D-EED70C705791}">
      <formula1>tipologia</formula1>
    </dataValidation>
    <dataValidation type="list" allowBlank="1" showInputMessage="1" showErrorMessage="1" sqref="G5:G23" xr:uid="{DAE1699A-D45E-4F2C-86E9-5B68A993E58C}">
      <formula1>modalidad</formula1>
    </dataValidation>
    <dataValidation type="list" allowBlank="1" showInputMessage="1" showErrorMessage="1" sqref="E1" xr:uid="{4B86D9C3-24E5-44CB-9534-F52B290FDE6D}">
      <formula1>cortea</formula1>
    </dataValidation>
    <dataValidation type="list" allowBlank="1" showInputMessage="1" showErrorMessage="1" sqref="D2" xr:uid="{912DC1C9-4601-43EC-A9B5-B820940642D0}">
      <formula1>Delegatarios</formula1>
    </dataValidation>
  </dataValidations>
  <hyperlinks>
    <hyperlink ref="AD16" r:id="rId1" xr:uid="{4B28C21E-0290-4D82-AAA6-5C21AF2930AD}"/>
    <hyperlink ref="AD19" r:id="rId2" xr:uid="{F97A2D1E-7C05-431C-82AB-0EA3A0FD77B3}"/>
    <hyperlink ref="AD20" r:id="rId3" xr:uid="{2C3AA6FD-A985-4444-91C0-7A9A12E57E0E}"/>
  </hyperlinks>
  <pageMargins left="0" right="0" top="0" bottom="0" header="0.3" footer="0.3"/>
  <pageSetup paperSize="5" scale="38"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H29"/>
  <sheetViews>
    <sheetView zoomScaleNormal="100" zoomScaleSheetLayoutView="100" workbookViewId="0">
      <selection activeCell="AO24" sqref="AO24"/>
    </sheetView>
  </sheetViews>
  <sheetFormatPr baseColWidth="10" defaultRowHeight="15" x14ac:dyDescent="0.25"/>
  <cols>
    <col min="1" max="1" width="7.42578125" customWidth="1"/>
    <col min="2" max="2" width="10.5703125" customWidth="1"/>
    <col min="3" max="3" width="20.5703125" customWidth="1"/>
    <col min="4" max="4" width="9" customWidth="1"/>
    <col min="5" max="5" width="20.42578125" customWidth="1"/>
    <col min="6" max="6" width="7.5703125" customWidth="1"/>
    <col min="7" max="7" width="14.85546875" customWidth="1"/>
    <col min="8" max="8" width="12.85546875" customWidth="1"/>
    <col min="9" max="9" width="17.140625" style="8" customWidth="1"/>
    <col min="10" max="10" width="16.140625" customWidth="1"/>
    <col min="11" max="11" width="17.140625" customWidth="1"/>
    <col min="12" max="12" width="15.140625" customWidth="1"/>
    <col min="13" max="13" width="18.7109375" customWidth="1"/>
    <col min="14" max="14" width="14.5703125" customWidth="1"/>
    <col min="17" max="17" width="15.5703125" customWidth="1"/>
    <col min="18" max="18" width="14.42578125" customWidth="1"/>
    <col min="19" max="22" width="12.5703125" customWidth="1"/>
    <col min="23" max="23" width="20.5703125" customWidth="1"/>
    <col min="24" max="24" width="17.7109375" customWidth="1"/>
    <col min="25" max="25" width="16.5703125" customWidth="1"/>
    <col min="26" max="26" width="11.5703125" style="32"/>
    <col min="27" max="27" width="14.42578125" customWidth="1"/>
    <col min="28" max="28" width="14.5703125" customWidth="1"/>
    <col min="31" max="31" width="14.85546875" customWidth="1"/>
    <col min="32" max="33" width="8.42578125" customWidth="1"/>
    <col min="34" max="34" width="15" bestFit="1"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31</v>
      </c>
      <c r="E2" s="336"/>
      <c r="F2" s="336"/>
      <c r="G2" s="337" t="s">
        <v>99</v>
      </c>
      <c r="H2" s="337"/>
      <c r="I2" s="21">
        <f>VLOOKUP($D$2,Datos!$B$20:$C$35,2,FALSE)</f>
        <v>42</v>
      </c>
      <c r="J2" s="22" t="s">
        <v>85</v>
      </c>
      <c r="K2" s="339" t="str">
        <f>VLOOKUP($D$2,Datos!$B$20:$D$35,3,FALSE)</f>
        <v>Sobre los recursos y fondos que segun las funciones esten a su cargo, proyectos del plan de acción que sea responsable, y aquellos generados en convenios o contratos</v>
      </c>
      <c r="L2" s="339"/>
      <c r="M2" s="339"/>
      <c r="N2" s="339"/>
      <c r="O2" s="339"/>
      <c r="P2" s="339"/>
    </row>
    <row r="3" spans="1:34" ht="15.75" customHeight="1" x14ac:dyDescent="0.25">
      <c r="G3" s="338"/>
      <c r="H3" s="338"/>
      <c r="I3" s="21">
        <f>I2*I1</f>
        <v>48720000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x14ac:dyDescent="0.25">
      <c r="A5" s="38">
        <v>891780111</v>
      </c>
      <c r="B5" s="38" t="s">
        <v>54</v>
      </c>
      <c r="C5" s="14" t="s">
        <v>56</v>
      </c>
      <c r="D5" s="38" t="s">
        <v>60</v>
      </c>
      <c r="E5" s="44" t="s">
        <v>116</v>
      </c>
      <c r="F5" s="38" t="s">
        <v>61</v>
      </c>
      <c r="G5" s="39" t="s">
        <v>69</v>
      </c>
      <c r="H5" s="39" t="s">
        <v>73</v>
      </c>
      <c r="I5" s="45">
        <v>14500000</v>
      </c>
      <c r="J5" s="94">
        <v>1</v>
      </c>
      <c r="K5" s="2">
        <v>1000000</v>
      </c>
      <c r="L5" s="2"/>
      <c r="M5" s="40">
        <f>I5+K5-L5</f>
        <v>15500000</v>
      </c>
      <c r="N5" s="47">
        <v>1083023487</v>
      </c>
      <c r="O5" s="49" t="s">
        <v>136</v>
      </c>
      <c r="P5" s="49" t="s">
        <v>153</v>
      </c>
      <c r="Q5" s="50">
        <v>44958</v>
      </c>
      <c r="R5" s="50">
        <v>44958</v>
      </c>
      <c r="S5" s="50">
        <v>45100</v>
      </c>
      <c r="T5" s="41"/>
      <c r="U5" s="41"/>
      <c r="V5" s="41"/>
      <c r="W5" s="3"/>
      <c r="X5" s="36">
        <v>15500000</v>
      </c>
      <c r="Y5" s="36">
        <f t="shared" ref="Y5:Y28" si="0">M5-X5</f>
        <v>0</v>
      </c>
      <c r="Z5" s="37">
        <f t="shared" ref="Z5:Z28" si="1">+(X5/M5)</f>
        <v>1</v>
      </c>
      <c r="AA5" s="47">
        <v>1082943047</v>
      </c>
      <c r="AB5" s="49" t="s">
        <v>169</v>
      </c>
      <c r="AC5" s="39" t="s">
        <v>196</v>
      </c>
      <c r="AD5" s="39" t="s">
        <v>196</v>
      </c>
      <c r="AE5" s="41"/>
      <c r="AF5" s="52" t="s">
        <v>177</v>
      </c>
      <c r="AG5" s="42" t="s">
        <v>192</v>
      </c>
      <c r="AH5" s="42" t="s">
        <v>192</v>
      </c>
    </row>
    <row r="6" spans="1:34" s="4" customFormat="1" x14ac:dyDescent="0.25">
      <c r="A6" s="16">
        <v>891780111</v>
      </c>
      <c r="B6" s="16" t="s">
        <v>54</v>
      </c>
      <c r="C6" s="14" t="s">
        <v>56</v>
      </c>
      <c r="D6" s="16" t="s">
        <v>60</v>
      </c>
      <c r="E6" s="44" t="s">
        <v>117</v>
      </c>
      <c r="F6" s="16" t="s">
        <v>61</v>
      </c>
      <c r="G6" s="39" t="s">
        <v>69</v>
      </c>
      <c r="H6" s="39" t="s">
        <v>73</v>
      </c>
      <c r="I6" s="45">
        <v>12650000</v>
      </c>
      <c r="J6" s="94"/>
      <c r="K6" s="2"/>
      <c r="L6" s="2"/>
      <c r="M6" s="30">
        <f>I6+K6-L6</f>
        <v>12650000</v>
      </c>
      <c r="N6" s="47">
        <v>1083010275</v>
      </c>
      <c r="O6" s="49" t="s">
        <v>137</v>
      </c>
      <c r="P6" s="49" t="s">
        <v>154</v>
      </c>
      <c r="Q6" s="50">
        <v>44959</v>
      </c>
      <c r="R6" s="50">
        <v>44960</v>
      </c>
      <c r="S6" s="50">
        <v>45103</v>
      </c>
      <c r="T6" s="35"/>
      <c r="U6" s="3"/>
      <c r="V6" s="3"/>
      <c r="W6" s="3"/>
      <c r="X6" s="9">
        <v>12650000</v>
      </c>
      <c r="Y6" s="9">
        <f t="shared" si="0"/>
        <v>0</v>
      </c>
      <c r="Z6" s="34">
        <f t="shared" si="1"/>
        <v>1</v>
      </c>
      <c r="AA6" s="47">
        <v>7634027</v>
      </c>
      <c r="AB6" s="49" t="s">
        <v>170</v>
      </c>
      <c r="AC6" s="39" t="s">
        <v>196</v>
      </c>
      <c r="AD6" s="39" t="s">
        <v>196</v>
      </c>
      <c r="AE6" s="3"/>
      <c r="AF6" s="52" t="s">
        <v>178</v>
      </c>
      <c r="AG6" s="42" t="s">
        <v>192</v>
      </c>
      <c r="AH6" s="42" t="s">
        <v>192</v>
      </c>
    </row>
    <row r="7" spans="1:34" s="4" customFormat="1" x14ac:dyDescent="0.25">
      <c r="A7" s="16">
        <v>891780111</v>
      </c>
      <c r="B7" s="16" t="s">
        <v>54</v>
      </c>
      <c r="C7" s="14" t="s">
        <v>56</v>
      </c>
      <c r="D7" s="16" t="s">
        <v>60</v>
      </c>
      <c r="E7" s="44" t="s">
        <v>118</v>
      </c>
      <c r="F7" s="16" t="s">
        <v>61</v>
      </c>
      <c r="G7" s="39" t="s">
        <v>69</v>
      </c>
      <c r="H7" s="39" t="s">
        <v>73</v>
      </c>
      <c r="I7" s="46">
        <v>12650000</v>
      </c>
      <c r="J7" s="94"/>
      <c r="K7" s="2"/>
      <c r="L7" s="2"/>
      <c r="M7" s="30">
        <f t="shared" ref="M7:M28" si="2">I7+K7-L7</f>
        <v>12650000</v>
      </c>
      <c r="N7" s="47">
        <v>1082971346</v>
      </c>
      <c r="O7" s="49" t="s">
        <v>138</v>
      </c>
      <c r="P7" s="49" t="s">
        <v>155</v>
      </c>
      <c r="Q7" s="50">
        <v>44963</v>
      </c>
      <c r="R7" s="50">
        <v>44963</v>
      </c>
      <c r="S7" s="50">
        <v>45103</v>
      </c>
      <c r="T7" s="35"/>
      <c r="U7" s="3"/>
      <c r="V7" s="3"/>
      <c r="W7" s="3"/>
      <c r="X7" s="9">
        <v>12650000</v>
      </c>
      <c r="Y7" s="9">
        <f t="shared" si="0"/>
        <v>0</v>
      </c>
      <c r="Z7" s="34">
        <f t="shared" si="1"/>
        <v>1</v>
      </c>
      <c r="AA7" s="47">
        <v>84457191</v>
      </c>
      <c r="AB7" s="49" t="s">
        <v>171</v>
      </c>
      <c r="AC7" s="39" t="s">
        <v>196</v>
      </c>
      <c r="AD7" s="39" t="s">
        <v>196</v>
      </c>
      <c r="AE7" s="3"/>
      <c r="AF7" s="52" t="s">
        <v>179</v>
      </c>
      <c r="AG7" s="42" t="s">
        <v>192</v>
      </c>
      <c r="AH7" s="42" t="s">
        <v>192</v>
      </c>
    </row>
    <row r="8" spans="1:34" s="4" customFormat="1" x14ac:dyDescent="0.25">
      <c r="A8" s="16">
        <v>891780111</v>
      </c>
      <c r="B8" s="16" t="s">
        <v>54</v>
      </c>
      <c r="C8" s="14" t="s">
        <v>56</v>
      </c>
      <c r="D8" s="16" t="s">
        <v>60</v>
      </c>
      <c r="E8" s="44" t="s">
        <v>119</v>
      </c>
      <c r="F8" s="16" t="s">
        <v>61</v>
      </c>
      <c r="G8" s="39" t="s">
        <v>69</v>
      </c>
      <c r="H8" s="39" t="s">
        <v>73</v>
      </c>
      <c r="I8" s="46">
        <v>21800000</v>
      </c>
      <c r="J8" s="94">
        <v>1</v>
      </c>
      <c r="K8" s="2">
        <v>10900000</v>
      </c>
      <c r="L8" s="2"/>
      <c r="M8" s="30">
        <f t="shared" si="2"/>
        <v>32700000</v>
      </c>
      <c r="N8" s="47">
        <v>49778889</v>
      </c>
      <c r="O8" s="49" t="s">
        <v>139</v>
      </c>
      <c r="P8" s="49" t="s">
        <v>156</v>
      </c>
      <c r="Q8" s="50">
        <v>44966</v>
      </c>
      <c r="R8" s="50">
        <v>44966</v>
      </c>
      <c r="S8" s="50">
        <v>45100</v>
      </c>
      <c r="T8" s="35"/>
      <c r="U8" s="3"/>
      <c r="V8" s="3"/>
      <c r="W8" s="51">
        <v>45114</v>
      </c>
      <c r="X8" s="9">
        <v>32700000</v>
      </c>
      <c r="Y8" s="9">
        <f t="shared" si="0"/>
        <v>0</v>
      </c>
      <c r="Z8" s="34">
        <f t="shared" si="1"/>
        <v>1</v>
      </c>
      <c r="AA8" s="47">
        <v>1082943047</v>
      </c>
      <c r="AB8" s="49" t="s">
        <v>169</v>
      </c>
      <c r="AC8" s="39" t="s">
        <v>196</v>
      </c>
      <c r="AD8" s="39" t="s">
        <v>196</v>
      </c>
      <c r="AE8" s="3"/>
      <c r="AF8" s="52" t="s">
        <v>180</v>
      </c>
      <c r="AG8" s="42" t="s">
        <v>192</v>
      </c>
      <c r="AH8" s="42" t="s">
        <v>192</v>
      </c>
    </row>
    <row r="9" spans="1:34" s="4" customFormat="1" x14ac:dyDescent="0.25">
      <c r="A9" s="16">
        <v>891780111</v>
      </c>
      <c r="B9" s="16" t="s">
        <v>54</v>
      </c>
      <c r="C9" s="14" t="s">
        <v>56</v>
      </c>
      <c r="D9" s="16" t="s">
        <v>60</v>
      </c>
      <c r="E9" s="44" t="s">
        <v>120</v>
      </c>
      <c r="F9" s="16" t="s">
        <v>61</v>
      </c>
      <c r="G9" s="39" t="s">
        <v>69</v>
      </c>
      <c r="H9" s="39" t="s">
        <v>73</v>
      </c>
      <c r="I9" s="46">
        <v>14000000</v>
      </c>
      <c r="J9" s="94"/>
      <c r="K9" s="2"/>
      <c r="L9" s="2"/>
      <c r="M9" s="30">
        <f t="shared" si="2"/>
        <v>14000000</v>
      </c>
      <c r="N9" s="47">
        <v>1082856526</v>
      </c>
      <c r="O9" s="49" t="s">
        <v>140</v>
      </c>
      <c r="P9" s="49" t="s">
        <v>157</v>
      </c>
      <c r="Q9" s="50">
        <v>44967</v>
      </c>
      <c r="R9" s="50">
        <v>44967</v>
      </c>
      <c r="S9" s="50">
        <v>45100</v>
      </c>
      <c r="T9" s="35"/>
      <c r="U9" s="3"/>
      <c r="V9" s="3"/>
      <c r="W9" s="3"/>
      <c r="X9" s="9">
        <v>14000000</v>
      </c>
      <c r="Y9" s="9">
        <f t="shared" si="0"/>
        <v>0</v>
      </c>
      <c r="Z9" s="34">
        <f t="shared" si="1"/>
        <v>1</v>
      </c>
      <c r="AA9" s="47">
        <v>1082943047</v>
      </c>
      <c r="AB9" s="49" t="s">
        <v>169</v>
      </c>
      <c r="AC9" s="39" t="s">
        <v>196</v>
      </c>
      <c r="AD9" s="39" t="s">
        <v>196</v>
      </c>
      <c r="AE9" s="3"/>
      <c r="AF9" s="52" t="s">
        <v>181</v>
      </c>
      <c r="AG9" s="42" t="s">
        <v>192</v>
      </c>
      <c r="AH9" s="42" t="s">
        <v>192</v>
      </c>
    </row>
    <row r="10" spans="1:34" s="4" customFormat="1" x14ac:dyDescent="0.25">
      <c r="A10" s="16">
        <v>891780111</v>
      </c>
      <c r="B10" s="16" t="s">
        <v>54</v>
      </c>
      <c r="C10" s="14" t="s">
        <v>56</v>
      </c>
      <c r="D10" s="16" t="s">
        <v>60</v>
      </c>
      <c r="E10" s="44" t="s">
        <v>121</v>
      </c>
      <c r="F10" s="16" t="s">
        <v>61</v>
      </c>
      <c r="G10" s="39" t="s">
        <v>69</v>
      </c>
      <c r="H10" s="39" t="s">
        <v>73</v>
      </c>
      <c r="I10" s="46">
        <v>14000000</v>
      </c>
      <c r="J10" s="94"/>
      <c r="K10" s="2"/>
      <c r="L10" s="2"/>
      <c r="M10" s="30">
        <f t="shared" si="2"/>
        <v>14000000</v>
      </c>
      <c r="N10" s="47">
        <v>1083033741</v>
      </c>
      <c r="O10" s="49" t="s">
        <v>141</v>
      </c>
      <c r="P10" s="49" t="s">
        <v>200</v>
      </c>
      <c r="Q10" s="50">
        <v>44970</v>
      </c>
      <c r="R10" s="50">
        <v>44970</v>
      </c>
      <c r="S10" s="50">
        <v>45122</v>
      </c>
      <c r="T10" s="35"/>
      <c r="U10" s="3"/>
      <c r="V10" s="3"/>
      <c r="W10" s="3"/>
      <c r="X10" s="9">
        <v>12500000</v>
      </c>
      <c r="Y10" s="9">
        <f t="shared" si="0"/>
        <v>1500000</v>
      </c>
      <c r="Z10" s="34">
        <f t="shared" si="1"/>
        <v>0.8928571428571429</v>
      </c>
      <c r="AA10" s="47">
        <v>7601124</v>
      </c>
      <c r="AB10" s="49" t="s">
        <v>172</v>
      </c>
      <c r="AC10" s="39" t="s">
        <v>196</v>
      </c>
      <c r="AD10" s="39" t="s">
        <v>196</v>
      </c>
      <c r="AE10" s="3"/>
      <c r="AF10" s="52" t="s">
        <v>182</v>
      </c>
      <c r="AG10" s="42" t="s">
        <v>192</v>
      </c>
      <c r="AH10" s="42" t="s">
        <v>192</v>
      </c>
    </row>
    <row r="11" spans="1:34" s="4" customFormat="1" x14ac:dyDescent="0.25">
      <c r="A11" s="16">
        <v>891780111</v>
      </c>
      <c r="B11" s="16" t="s">
        <v>54</v>
      </c>
      <c r="C11" s="14" t="s">
        <v>56</v>
      </c>
      <c r="D11" s="16" t="s">
        <v>60</v>
      </c>
      <c r="E11" s="44" t="s">
        <v>122</v>
      </c>
      <c r="F11" s="16" t="s">
        <v>61</v>
      </c>
      <c r="G11" s="39" t="s">
        <v>69</v>
      </c>
      <c r="H11" s="39" t="s">
        <v>73</v>
      </c>
      <c r="I11" s="46">
        <v>14000000</v>
      </c>
      <c r="J11" s="94"/>
      <c r="K11" s="2"/>
      <c r="L11" s="2"/>
      <c r="M11" s="30">
        <f t="shared" si="2"/>
        <v>14000000</v>
      </c>
      <c r="N11" s="47">
        <v>1083013202</v>
      </c>
      <c r="O11" s="49" t="s">
        <v>142</v>
      </c>
      <c r="P11" s="49" t="s">
        <v>158</v>
      </c>
      <c r="Q11" s="50">
        <v>44971</v>
      </c>
      <c r="R11" s="50">
        <v>44972</v>
      </c>
      <c r="S11" s="50">
        <v>45122</v>
      </c>
      <c r="T11" s="35"/>
      <c r="U11" s="3"/>
      <c r="V11" s="3"/>
      <c r="W11" s="3"/>
      <c r="X11" s="9">
        <v>14000000</v>
      </c>
      <c r="Y11" s="9">
        <f t="shared" si="0"/>
        <v>0</v>
      </c>
      <c r="Z11" s="34">
        <f t="shared" si="1"/>
        <v>1</v>
      </c>
      <c r="AA11" s="47">
        <v>7601124</v>
      </c>
      <c r="AB11" s="49" t="s">
        <v>172</v>
      </c>
      <c r="AC11" s="39" t="s">
        <v>196</v>
      </c>
      <c r="AD11" s="39" t="s">
        <v>196</v>
      </c>
      <c r="AE11" s="3"/>
      <c r="AF11" s="52" t="s">
        <v>183</v>
      </c>
      <c r="AG11" s="42" t="s">
        <v>192</v>
      </c>
      <c r="AH11" s="42" t="s">
        <v>192</v>
      </c>
    </row>
    <row r="12" spans="1:34" s="4" customFormat="1" x14ac:dyDescent="0.25">
      <c r="A12" s="16">
        <v>891780111</v>
      </c>
      <c r="B12" s="16" t="s">
        <v>54</v>
      </c>
      <c r="C12" s="14" t="s">
        <v>56</v>
      </c>
      <c r="D12" s="16" t="s">
        <v>60</v>
      </c>
      <c r="E12" s="44" t="s">
        <v>123</v>
      </c>
      <c r="F12" s="16" t="s">
        <v>61</v>
      </c>
      <c r="G12" s="39" t="s">
        <v>69</v>
      </c>
      <c r="H12" s="39" t="s">
        <v>73</v>
      </c>
      <c r="I12" s="46">
        <v>14000000</v>
      </c>
      <c r="J12" s="94"/>
      <c r="K12" s="2"/>
      <c r="L12" s="2"/>
      <c r="M12" s="30">
        <f t="shared" si="2"/>
        <v>14000000</v>
      </c>
      <c r="N12" s="47">
        <v>1082912437</v>
      </c>
      <c r="O12" s="49" t="s">
        <v>143</v>
      </c>
      <c r="P12" s="49" t="s">
        <v>159</v>
      </c>
      <c r="Q12" s="50">
        <v>44971</v>
      </c>
      <c r="R12" s="50">
        <v>44972</v>
      </c>
      <c r="S12" s="50">
        <v>45122</v>
      </c>
      <c r="T12" s="35"/>
      <c r="U12" s="3"/>
      <c r="V12" s="3"/>
      <c r="W12" s="3"/>
      <c r="X12" s="9">
        <v>12600000</v>
      </c>
      <c r="Y12" s="9">
        <f t="shared" si="0"/>
        <v>1400000</v>
      </c>
      <c r="Z12" s="34">
        <f t="shared" si="1"/>
        <v>0.9</v>
      </c>
      <c r="AA12" s="47">
        <v>7601124</v>
      </c>
      <c r="AB12" s="49" t="s">
        <v>172</v>
      </c>
      <c r="AC12" s="39" t="s">
        <v>196</v>
      </c>
      <c r="AD12" s="39" t="s">
        <v>196</v>
      </c>
      <c r="AE12" s="3"/>
      <c r="AF12" s="52" t="s">
        <v>184</v>
      </c>
      <c r="AG12" s="42" t="s">
        <v>192</v>
      </c>
      <c r="AH12" s="42" t="s">
        <v>192</v>
      </c>
    </row>
    <row r="13" spans="1:34" s="4" customFormat="1" x14ac:dyDescent="0.25">
      <c r="A13" s="16">
        <v>891780111</v>
      </c>
      <c r="B13" s="16" t="s">
        <v>54</v>
      </c>
      <c r="C13" s="14" t="s">
        <v>56</v>
      </c>
      <c r="D13" s="16" t="s">
        <v>60</v>
      </c>
      <c r="E13" s="44" t="s">
        <v>124</v>
      </c>
      <c r="F13" s="16" t="s">
        <v>61</v>
      </c>
      <c r="G13" s="39" t="s">
        <v>69</v>
      </c>
      <c r="H13" s="39" t="s">
        <v>73</v>
      </c>
      <c r="I13" s="46">
        <v>14000000</v>
      </c>
      <c r="J13" s="94"/>
      <c r="K13" s="2"/>
      <c r="L13" s="2"/>
      <c r="M13" s="30">
        <f t="shared" si="2"/>
        <v>14000000</v>
      </c>
      <c r="N13" s="47">
        <v>1083044902</v>
      </c>
      <c r="O13" s="49" t="s">
        <v>144</v>
      </c>
      <c r="P13" s="49" t="s">
        <v>160</v>
      </c>
      <c r="Q13" s="50">
        <v>44971</v>
      </c>
      <c r="R13" s="50">
        <v>44973</v>
      </c>
      <c r="S13" s="50">
        <v>45138</v>
      </c>
      <c r="T13" s="35"/>
      <c r="U13" s="3"/>
      <c r="V13" s="3"/>
      <c r="W13" s="3"/>
      <c r="X13" s="9">
        <v>14000000</v>
      </c>
      <c r="Y13" s="9">
        <f t="shared" si="0"/>
        <v>0</v>
      </c>
      <c r="Z13" s="34">
        <f t="shared" si="1"/>
        <v>1</v>
      </c>
      <c r="AA13" s="47">
        <v>57439877</v>
      </c>
      <c r="AB13" s="49" t="s">
        <v>173</v>
      </c>
      <c r="AC13" s="39" t="s">
        <v>196</v>
      </c>
      <c r="AD13" s="39" t="s">
        <v>196</v>
      </c>
      <c r="AE13" s="3"/>
      <c r="AF13" s="52" t="s">
        <v>185</v>
      </c>
      <c r="AG13" s="42" t="s">
        <v>192</v>
      </c>
      <c r="AH13" s="42" t="s">
        <v>192</v>
      </c>
    </row>
    <row r="14" spans="1:34" s="4" customFormat="1" x14ac:dyDescent="0.25">
      <c r="A14" s="16">
        <v>891780111</v>
      </c>
      <c r="B14" s="16" t="s">
        <v>54</v>
      </c>
      <c r="C14" s="14" t="s">
        <v>56</v>
      </c>
      <c r="D14" s="16" t="s">
        <v>60</v>
      </c>
      <c r="E14" s="44" t="s">
        <v>125</v>
      </c>
      <c r="F14" s="16" t="s">
        <v>61</v>
      </c>
      <c r="G14" s="39" t="s">
        <v>69</v>
      </c>
      <c r="H14" s="39" t="s">
        <v>73</v>
      </c>
      <c r="I14" s="46">
        <v>23200000</v>
      </c>
      <c r="J14" s="94"/>
      <c r="K14" s="2"/>
      <c r="L14" s="2"/>
      <c r="M14" s="30">
        <f t="shared" si="2"/>
        <v>23200000</v>
      </c>
      <c r="N14" s="48">
        <v>1083005553</v>
      </c>
      <c r="O14" s="49" t="s">
        <v>145</v>
      </c>
      <c r="P14" s="49" t="s">
        <v>161</v>
      </c>
      <c r="Q14" s="50">
        <v>44978</v>
      </c>
      <c r="R14" s="50">
        <v>44978</v>
      </c>
      <c r="S14" s="50">
        <v>45122</v>
      </c>
      <c r="T14" s="35"/>
      <c r="U14" s="3"/>
      <c r="V14" s="3"/>
      <c r="W14" s="3"/>
      <c r="X14" s="9">
        <v>23200000</v>
      </c>
      <c r="Y14" s="9">
        <f t="shared" si="0"/>
        <v>0</v>
      </c>
      <c r="Z14" s="34">
        <f t="shared" si="1"/>
        <v>1</v>
      </c>
      <c r="AA14" s="47">
        <v>57439877</v>
      </c>
      <c r="AB14" s="49" t="s">
        <v>173</v>
      </c>
      <c r="AC14" s="39" t="s">
        <v>196</v>
      </c>
      <c r="AD14" s="39" t="s">
        <v>196</v>
      </c>
      <c r="AE14" s="3"/>
      <c r="AF14" s="52" t="s">
        <v>186</v>
      </c>
      <c r="AG14" s="42" t="s">
        <v>192</v>
      </c>
      <c r="AH14" s="42" t="s">
        <v>192</v>
      </c>
    </row>
    <row r="15" spans="1:34" s="4" customFormat="1" x14ac:dyDescent="0.25">
      <c r="A15" s="16">
        <v>891780111</v>
      </c>
      <c r="B15" s="16" t="s">
        <v>54</v>
      </c>
      <c r="C15" s="14" t="s">
        <v>56</v>
      </c>
      <c r="D15" s="16" t="s">
        <v>60</v>
      </c>
      <c r="E15" s="44" t="s">
        <v>126</v>
      </c>
      <c r="F15" s="16" t="s">
        <v>61</v>
      </c>
      <c r="G15" s="39" t="s">
        <v>69</v>
      </c>
      <c r="H15" s="39" t="s">
        <v>73</v>
      </c>
      <c r="I15" s="46">
        <v>22000000</v>
      </c>
      <c r="J15" s="94">
        <v>1</v>
      </c>
      <c r="K15" s="2"/>
      <c r="L15" s="2">
        <v>9733000</v>
      </c>
      <c r="M15" s="30">
        <f t="shared" si="2"/>
        <v>12267000</v>
      </c>
      <c r="N15" s="48">
        <v>1082067708</v>
      </c>
      <c r="O15" s="49" t="s">
        <v>146</v>
      </c>
      <c r="P15" s="49" t="s">
        <v>162</v>
      </c>
      <c r="Q15" s="50">
        <v>44980</v>
      </c>
      <c r="R15" s="50">
        <v>44980</v>
      </c>
      <c r="S15" s="50">
        <v>45122</v>
      </c>
      <c r="T15" s="35"/>
      <c r="U15" s="3"/>
      <c r="V15" s="3"/>
      <c r="W15" s="50">
        <v>45048</v>
      </c>
      <c r="X15" s="9">
        <v>8000000</v>
      </c>
      <c r="Y15" s="9">
        <f t="shared" si="0"/>
        <v>4267000</v>
      </c>
      <c r="Z15" s="34">
        <f t="shared" si="1"/>
        <v>0.6521561914078422</v>
      </c>
      <c r="AA15" s="47">
        <v>7601124</v>
      </c>
      <c r="AB15" s="49" t="s">
        <v>172</v>
      </c>
      <c r="AC15" s="39" t="s">
        <v>196</v>
      </c>
      <c r="AD15" s="39" t="s">
        <v>196</v>
      </c>
      <c r="AE15" s="3"/>
      <c r="AF15" s="52" t="s">
        <v>187</v>
      </c>
      <c r="AG15" s="42" t="s">
        <v>192</v>
      </c>
      <c r="AH15" s="42" t="s">
        <v>192</v>
      </c>
    </row>
    <row r="16" spans="1:34" s="4" customFormat="1" x14ac:dyDescent="0.25">
      <c r="A16" s="16">
        <v>891780111</v>
      </c>
      <c r="B16" s="16" t="s">
        <v>54</v>
      </c>
      <c r="C16" s="14" t="s">
        <v>56</v>
      </c>
      <c r="D16" s="16" t="s">
        <v>60</v>
      </c>
      <c r="E16" s="44" t="s">
        <v>197</v>
      </c>
      <c r="F16" s="16" t="s">
        <v>61</v>
      </c>
      <c r="G16" s="39" t="s">
        <v>69</v>
      </c>
      <c r="H16" s="39" t="s">
        <v>73</v>
      </c>
      <c r="I16" s="46">
        <v>12650000</v>
      </c>
      <c r="J16" s="94"/>
      <c r="K16" s="2"/>
      <c r="L16" s="2"/>
      <c r="M16" s="30">
        <f t="shared" si="2"/>
        <v>12650000</v>
      </c>
      <c r="N16" s="47">
        <v>1082971346</v>
      </c>
      <c r="O16" s="49" t="s">
        <v>138</v>
      </c>
      <c r="P16" s="49" t="s">
        <v>155</v>
      </c>
      <c r="Q16" s="50">
        <v>45104</v>
      </c>
      <c r="R16" s="50">
        <v>45104</v>
      </c>
      <c r="S16" s="50">
        <v>45275</v>
      </c>
      <c r="T16" s="35"/>
      <c r="U16" s="3"/>
      <c r="V16" s="3"/>
      <c r="W16" s="50"/>
      <c r="X16" s="9">
        <v>0</v>
      </c>
      <c r="Y16" s="9">
        <f t="shared" si="0"/>
        <v>12650000</v>
      </c>
      <c r="Z16" s="34">
        <f t="shared" si="1"/>
        <v>0</v>
      </c>
      <c r="AA16" s="47">
        <v>36718407</v>
      </c>
      <c r="AB16" s="49" t="s">
        <v>198</v>
      </c>
      <c r="AC16" s="39" t="s">
        <v>196</v>
      </c>
      <c r="AD16" s="39" t="s">
        <v>196</v>
      </c>
      <c r="AE16" s="3"/>
      <c r="AF16" s="52" t="s">
        <v>199</v>
      </c>
      <c r="AG16" s="42" t="s">
        <v>192</v>
      </c>
      <c r="AH16" s="42" t="s">
        <v>192</v>
      </c>
    </row>
    <row r="17" spans="1:34" s="4" customFormat="1" x14ac:dyDescent="0.25">
      <c r="A17" s="16">
        <v>891780111</v>
      </c>
      <c r="B17" s="16" t="s">
        <v>54</v>
      </c>
      <c r="C17" s="14" t="s">
        <v>56</v>
      </c>
      <c r="D17" s="16" t="s">
        <v>60</v>
      </c>
      <c r="E17" s="44" t="s">
        <v>201</v>
      </c>
      <c r="F17" s="16" t="s">
        <v>61</v>
      </c>
      <c r="G17" s="39" t="s">
        <v>69</v>
      </c>
      <c r="H17" s="39" t="s">
        <v>73</v>
      </c>
      <c r="I17" s="46">
        <v>14000000</v>
      </c>
      <c r="J17" s="94"/>
      <c r="K17" s="2"/>
      <c r="L17" s="2"/>
      <c r="M17" s="30">
        <f t="shared" si="2"/>
        <v>14000000</v>
      </c>
      <c r="N17" s="47">
        <v>1082912437</v>
      </c>
      <c r="O17" s="49" t="s">
        <v>143</v>
      </c>
      <c r="P17" s="49" t="s">
        <v>208</v>
      </c>
      <c r="Q17" s="50">
        <v>45121</v>
      </c>
      <c r="R17" s="50">
        <v>45124</v>
      </c>
      <c r="S17" s="50">
        <v>45289</v>
      </c>
      <c r="T17" s="35"/>
      <c r="U17" s="3"/>
      <c r="V17" s="3"/>
      <c r="W17" s="50"/>
      <c r="X17" s="9">
        <v>0</v>
      </c>
      <c r="Y17" s="9">
        <f t="shared" si="0"/>
        <v>14000000</v>
      </c>
      <c r="Z17" s="34">
        <f t="shared" si="1"/>
        <v>0</v>
      </c>
      <c r="AA17" s="47">
        <v>7601124</v>
      </c>
      <c r="AB17" s="49" t="s">
        <v>172</v>
      </c>
      <c r="AC17" s="39" t="s">
        <v>196</v>
      </c>
      <c r="AD17" s="39" t="s">
        <v>196</v>
      </c>
      <c r="AE17" s="3"/>
      <c r="AF17" s="52" t="s">
        <v>217</v>
      </c>
      <c r="AG17" s="42" t="s">
        <v>192</v>
      </c>
      <c r="AH17" s="42" t="s">
        <v>192</v>
      </c>
    </row>
    <row r="18" spans="1:34" s="4" customFormat="1" x14ac:dyDescent="0.25">
      <c r="A18" s="16">
        <v>891780111</v>
      </c>
      <c r="B18" s="16" t="s">
        <v>54</v>
      </c>
      <c r="C18" s="14" t="s">
        <v>56</v>
      </c>
      <c r="D18" s="16" t="s">
        <v>60</v>
      </c>
      <c r="E18" s="44" t="s">
        <v>202</v>
      </c>
      <c r="F18" s="16" t="s">
        <v>61</v>
      </c>
      <c r="G18" s="39" t="s">
        <v>69</v>
      </c>
      <c r="H18" s="39" t="s">
        <v>73</v>
      </c>
      <c r="I18" s="46">
        <v>20150000</v>
      </c>
      <c r="J18" s="94"/>
      <c r="K18" s="2"/>
      <c r="L18" s="2"/>
      <c r="M18" s="30">
        <f t="shared" si="2"/>
        <v>20150000</v>
      </c>
      <c r="N18" s="47">
        <v>1083023487</v>
      </c>
      <c r="O18" s="55" t="s">
        <v>136</v>
      </c>
      <c r="P18" s="49" t="s">
        <v>209</v>
      </c>
      <c r="Q18" s="50">
        <v>45124</v>
      </c>
      <c r="R18" s="50">
        <v>45124</v>
      </c>
      <c r="S18" s="50">
        <v>45308</v>
      </c>
      <c r="T18" s="35"/>
      <c r="U18" s="3"/>
      <c r="V18" s="3"/>
      <c r="W18" s="50"/>
      <c r="X18" s="9"/>
      <c r="Y18" s="9">
        <v>20150000</v>
      </c>
      <c r="Z18" s="34">
        <f t="shared" si="1"/>
        <v>0</v>
      </c>
      <c r="AA18" s="47">
        <v>1082943047</v>
      </c>
      <c r="AB18" s="49" t="s">
        <v>213</v>
      </c>
      <c r="AC18" s="39" t="s">
        <v>196</v>
      </c>
      <c r="AD18" s="39" t="s">
        <v>196</v>
      </c>
      <c r="AE18" s="3"/>
      <c r="AF18" s="52" t="s">
        <v>218</v>
      </c>
      <c r="AG18" s="42" t="s">
        <v>192</v>
      </c>
      <c r="AH18" s="42" t="s">
        <v>192</v>
      </c>
    </row>
    <row r="19" spans="1:34" s="4" customFormat="1" x14ac:dyDescent="0.25">
      <c r="A19" s="16">
        <v>891780111</v>
      </c>
      <c r="B19" s="16" t="s">
        <v>54</v>
      </c>
      <c r="C19" s="14" t="s">
        <v>56</v>
      </c>
      <c r="D19" s="16" t="s">
        <v>60</v>
      </c>
      <c r="E19" s="44" t="s">
        <v>203</v>
      </c>
      <c r="F19" s="16" t="s">
        <v>61</v>
      </c>
      <c r="G19" s="39" t="s">
        <v>69</v>
      </c>
      <c r="H19" s="39" t="s">
        <v>73</v>
      </c>
      <c r="I19" s="46">
        <v>29100000</v>
      </c>
      <c r="J19" s="94"/>
      <c r="K19" s="2"/>
      <c r="L19" s="2"/>
      <c r="M19" s="30">
        <f t="shared" si="2"/>
        <v>29100000</v>
      </c>
      <c r="N19" s="47">
        <v>49778889</v>
      </c>
      <c r="O19" s="49" t="s">
        <v>139</v>
      </c>
      <c r="P19" s="49" t="s">
        <v>210</v>
      </c>
      <c r="Q19" s="50">
        <v>45124</v>
      </c>
      <c r="R19" s="50">
        <v>45124</v>
      </c>
      <c r="S19" s="50">
        <v>45306</v>
      </c>
      <c r="T19" s="35"/>
      <c r="U19" s="3"/>
      <c r="V19" s="3"/>
      <c r="W19" s="50"/>
      <c r="X19" s="9">
        <v>0</v>
      </c>
      <c r="Y19" s="9">
        <v>29100000</v>
      </c>
      <c r="Z19" s="34">
        <f t="shared" si="1"/>
        <v>0</v>
      </c>
      <c r="AA19" s="47">
        <v>1082943047</v>
      </c>
      <c r="AB19" s="49" t="s">
        <v>213</v>
      </c>
      <c r="AC19" s="39" t="s">
        <v>196</v>
      </c>
      <c r="AD19" s="39" t="s">
        <v>196</v>
      </c>
      <c r="AE19" s="3"/>
      <c r="AF19" s="52" t="s">
        <v>219</v>
      </c>
      <c r="AG19" s="42" t="s">
        <v>192</v>
      </c>
      <c r="AH19" s="42" t="s">
        <v>192</v>
      </c>
    </row>
    <row r="20" spans="1:34" s="4" customFormat="1" x14ac:dyDescent="0.25">
      <c r="A20" s="16">
        <v>891780111</v>
      </c>
      <c r="B20" s="16" t="s">
        <v>54</v>
      </c>
      <c r="C20" s="14" t="s">
        <v>56</v>
      </c>
      <c r="D20" s="16" t="s">
        <v>60</v>
      </c>
      <c r="E20" s="44" t="s">
        <v>204</v>
      </c>
      <c r="F20" s="16" t="s">
        <v>61</v>
      </c>
      <c r="G20" s="39" t="s">
        <v>69</v>
      </c>
      <c r="H20" s="39" t="s">
        <v>73</v>
      </c>
      <c r="I20" s="46">
        <v>18200000</v>
      </c>
      <c r="J20" s="94"/>
      <c r="K20" s="2"/>
      <c r="L20" s="2"/>
      <c r="M20" s="30">
        <f t="shared" si="2"/>
        <v>18200000</v>
      </c>
      <c r="N20" s="47">
        <v>1082856526</v>
      </c>
      <c r="O20" s="49" t="s">
        <v>206</v>
      </c>
      <c r="P20" s="49" t="s">
        <v>211</v>
      </c>
      <c r="Q20" s="50">
        <v>45124</v>
      </c>
      <c r="R20" s="50">
        <v>45124</v>
      </c>
      <c r="S20" s="50">
        <v>45306</v>
      </c>
      <c r="T20" s="35"/>
      <c r="U20" s="3"/>
      <c r="V20" s="3"/>
      <c r="W20" s="50"/>
      <c r="X20" s="9">
        <v>0</v>
      </c>
      <c r="Y20" s="9">
        <v>18200000</v>
      </c>
      <c r="Z20" s="34">
        <f t="shared" si="1"/>
        <v>0</v>
      </c>
      <c r="AA20" s="47">
        <v>1082943047</v>
      </c>
      <c r="AB20" s="49" t="s">
        <v>213</v>
      </c>
      <c r="AC20" s="39" t="s">
        <v>196</v>
      </c>
      <c r="AD20" s="39" t="s">
        <v>196</v>
      </c>
      <c r="AE20" s="3"/>
      <c r="AF20" s="56" t="s">
        <v>220</v>
      </c>
      <c r="AG20" s="42" t="s">
        <v>192</v>
      </c>
      <c r="AH20" s="42" t="s">
        <v>192</v>
      </c>
    </row>
    <row r="21" spans="1:34" s="4" customFormat="1" x14ac:dyDescent="0.25">
      <c r="A21" s="16">
        <v>891780111</v>
      </c>
      <c r="B21" s="16" t="s">
        <v>54</v>
      </c>
      <c r="C21" s="14" t="s">
        <v>56</v>
      </c>
      <c r="D21" s="16" t="s">
        <v>60</v>
      </c>
      <c r="E21" s="44" t="s">
        <v>205</v>
      </c>
      <c r="F21" s="16" t="s">
        <v>61</v>
      </c>
      <c r="G21" s="39" t="s">
        <v>69</v>
      </c>
      <c r="H21" s="39" t="s">
        <v>73</v>
      </c>
      <c r="I21" s="46">
        <v>11500000</v>
      </c>
      <c r="J21" s="94"/>
      <c r="K21" s="2"/>
      <c r="L21" s="2"/>
      <c r="M21" s="30">
        <f t="shared" si="2"/>
        <v>11500000</v>
      </c>
      <c r="N21" s="47">
        <v>1083010275</v>
      </c>
      <c r="O21" s="49" t="s">
        <v>207</v>
      </c>
      <c r="P21" s="49" t="s">
        <v>212</v>
      </c>
      <c r="Q21" s="50">
        <v>45125</v>
      </c>
      <c r="R21" s="50">
        <v>45125</v>
      </c>
      <c r="S21" s="50">
        <v>45275</v>
      </c>
      <c r="T21" s="35"/>
      <c r="U21" s="3"/>
      <c r="V21" s="3"/>
      <c r="W21" s="50"/>
      <c r="X21" s="9">
        <v>0</v>
      </c>
      <c r="Y21" s="9">
        <v>11500000</v>
      </c>
      <c r="Z21" s="34">
        <f t="shared" si="1"/>
        <v>0</v>
      </c>
      <c r="AA21" s="47">
        <v>7634027</v>
      </c>
      <c r="AB21" s="49" t="s">
        <v>170</v>
      </c>
      <c r="AC21" s="39" t="s">
        <v>196</v>
      </c>
      <c r="AD21" s="39" t="s">
        <v>196</v>
      </c>
      <c r="AE21" s="3"/>
      <c r="AF21" s="56" t="s">
        <v>221</v>
      </c>
      <c r="AG21" s="42" t="s">
        <v>192</v>
      </c>
      <c r="AH21" s="42" t="s">
        <v>192</v>
      </c>
    </row>
    <row r="22" spans="1:34" s="4" customFormat="1" x14ac:dyDescent="0.25">
      <c r="A22" s="16">
        <v>891780111</v>
      </c>
      <c r="B22" s="16" t="s">
        <v>54</v>
      </c>
      <c r="C22" s="14" t="s">
        <v>56</v>
      </c>
      <c r="D22" s="16" t="s">
        <v>60</v>
      </c>
      <c r="E22" s="44" t="s">
        <v>127</v>
      </c>
      <c r="F22" s="16" t="s">
        <v>61</v>
      </c>
      <c r="G22" s="39" t="s">
        <v>69</v>
      </c>
      <c r="H22" s="39" t="s">
        <v>73</v>
      </c>
      <c r="I22" s="46">
        <v>10500000</v>
      </c>
      <c r="J22" s="94">
        <v>1</v>
      </c>
      <c r="K22" s="2"/>
      <c r="L22" s="2">
        <v>4200000</v>
      </c>
      <c r="M22" s="30">
        <f t="shared" si="2"/>
        <v>6300000</v>
      </c>
      <c r="N22" s="47">
        <v>416050</v>
      </c>
      <c r="O22" s="49" t="s">
        <v>147</v>
      </c>
      <c r="P22" s="49" t="s">
        <v>163</v>
      </c>
      <c r="Q22" s="50">
        <v>44967</v>
      </c>
      <c r="R22" s="50">
        <v>44967</v>
      </c>
      <c r="S22" s="50">
        <v>45107</v>
      </c>
      <c r="T22" s="35"/>
      <c r="U22" s="3"/>
      <c r="V22" s="3"/>
      <c r="W22" s="50">
        <v>45048</v>
      </c>
      <c r="X22" s="9">
        <v>6300000</v>
      </c>
      <c r="Y22" s="9">
        <f t="shared" si="0"/>
        <v>0</v>
      </c>
      <c r="Z22" s="34">
        <f t="shared" si="1"/>
        <v>1</v>
      </c>
      <c r="AA22" s="47">
        <v>7634027</v>
      </c>
      <c r="AB22" s="49" t="s">
        <v>170</v>
      </c>
      <c r="AC22" s="39" t="s">
        <v>196</v>
      </c>
      <c r="AD22" s="39" t="s">
        <v>196</v>
      </c>
      <c r="AE22" s="3"/>
      <c r="AF22" s="52" t="s">
        <v>188</v>
      </c>
      <c r="AG22" s="42" t="s">
        <v>192</v>
      </c>
      <c r="AH22" s="42" t="s">
        <v>192</v>
      </c>
    </row>
    <row r="23" spans="1:34" s="4" customFormat="1" x14ac:dyDescent="0.25">
      <c r="A23" s="16">
        <v>891780111</v>
      </c>
      <c r="B23" s="16" t="s">
        <v>54</v>
      </c>
      <c r="C23" s="14" t="s">
        <v>56</v>
      </c>
      <c r="D23" s="16" t="s">
        <v>60</v>
      </c>
      <c r="E23" s="44" t="s">
        <v>128</v>
      </c>
      <c r="F23" s="16" t="s">
        <v>61</v>
      </c>
      <c r="G23" s="39" t="s">
        <v>69</v>
      </c>
      <c r="H23" s="39" t="s">
        <v>73</v>
      </c>
      <c r="I23" s="46">
        <v>9500000</v>
      </c>
      <c r="J23" s="94"/>
      <c r="K23" s="2"/>
      <c r="L23" s="2"/>
      <c r="M23" s="30">
        <f t="shared" si="2"/>
        <v>9500000</v>
      </c>
      <c r="N23" s="47">
        <v>1221964687</v>
      </c>
      <c r="O23" s="49" t="s">
        <v>148</v>
      </c>
      <c r="P23" s="49" t="s">
        <v>164</v>
      </c>
      <c r="Q23" s="50">
        <v>44970</v>
      </c>
      <c r="R23" s="50">
        <v>44972</v>
      </c>
      <c r="S23" s="50">
        <v>45107</v>
      </c>
      <c r="T23" s="35"/>
      <c r="U23" s="3"/>
      <c r="V23" s="3"/>
      <c r="W23" s="3"/>
      <c r="X23" s="53">
        <v>9500000</v>
      </c>
      <c r="Y23" s="53">
        <f t="shared" si="0"/>
        <v>0</v>
      </c>
      <c r="Z23" s="34">
        <f t="shared" si="1"/>
        <v>1</v>
      </c>
      <c r="AA23" s="47">
        <v>7144495</v>
      </c>
      <c r="AB23" s="49" t="s">
        <v>174</v>
      </c>
      <c r="AC23" s="39" t="s">
        <v>196</v>
      </c>
      <c r="AD23" s="39" t="s">
        <v>196</v>
      </c>
      <c r="AE23" s="3"/>
      <c r="AF23" s="52" t="s">
        <v>189</v>
      </c>
      <c r="AG23" s="42" t="s">
        <v>192</v>
      </c>
      <c r="AH23" s="42" t="s">
        <v>192</v>
      </c>
    </row>
    <row r="24" spans="1:34" s="4" customFormat="1" x14ac:dyDescent="0.25">
      <c r="A24" s="16">
        <v>891780111</v>
      </c>
      <c r="B24" s="16" t="s">
        <v>54</v>
      </c>
      <c r="C24" s="14" t="s">
        <v>56</v>
      </c>
      <c r="D24" s="16" t="s">
        <v>60</v>
      </c>
      <c r="E24" s="44" t="s">
        <v>129</v>
      </c>
      <c r="F24" s="16" t="s">
        <v>61</v>
      </c>
      <c r="G24" s="39" t="s">
        <v>69</v>
      </c>
      <c r="H24" s="39" t="s">
        <v>73</v>
      </c>
      <c r="I24" s="46">
        <v>11000000</v>
      </c>
      <c r="J24" s="94"/>
      <c r="K24" s="2"/>
      <c r="L24" s="2"/>
      <c r="M24" s="30">
        <f t="shared" si="2"/>
        <v>11000000</v>
      </c>
      <c r="N24" s="47">
        <v>1103098411</v>
      </c>
      <c r="O24" s="49" t="s">
        <v>149</v>
      </c>
      <c r="P24" s="49" t="s">
        <v>165</v>
      </c>
      <c r="Q24" s="50">
        <v>44981</v>
      </c>
      <c r="R24" s="50">
        <v>44981</v>
      </c>
      <c r="S24" s="50">
        <v>45134</v>
      </c>
      <c r="T24" s="35"/>
      <c r="U24" s="3"/>
      <c r="V24" s="3"/>
      <c r="W24" s="3"/>
      <c r="X24" s="53">
        <v>11000000</v>
      </c>
      <c r="Y24" s="53">
        <f t="shared" si="0"/>
        <v>0</v>
      </c>
      <c r="Z24" s="54">
        <f t="shared" si="1"/>
        <v>1</v>
      </c>
      <c r="AA24" s="47">
        <v>1082943047</v>
      </c>
      <c r="AB24" s="49" t="s">
        <v>169</v>
      </c>
      <c r="AC24" s="39" t="s">
        <v>196</v>
      </c>
      <c r="AD24" s="39" t="s">
        <v>196</v>
      </c>
      <c r="AE24" s="3"/>
      <c r="AF24" s="52" t="s">
        <v>190</v>
      </c>
      <c r="AG24" s="42" t="s">
        <v>192</v>
      </c>
      <c r="AH24" s="42" t="s">
        <v>192</v>
      </c>
    </row>
    <row r="25" spans="1:34" s="4" customFormat="1" x14ac:dyDescent="0.25">
      <c r="A25" s="16">
        <v>891780111</v>
      </c>
      <c r="B25" s="16" t="s">
        <v>54</v>
      </c>
      <c r="C25" s="14" t="s">
        <v>56</v>
      </c>
      <c r="D25" s="16" t="s">
        <v>60</v>
      </c>
      <c r="E25" s="44" t="s">
        <v>214</v>
      </c>
      <c r="F25" s="16" t="s">
        <v>61</v>
      </c>
      <c r="G25" s="39" t="s">
        <v>69</v>
      </c>
      <c r="H25" s="39" t="s">
        <v>73</v>
      </c>
      <c r="I25" s="46">
        <v>11500000</v>
      </c>
      <c r="J25" s="94"/>
      <c r="K25" s="2"/>
      <c r="L25" s="2"/>
      <c r="M25" s="30">
        <f t="shared" si="2"/>
        <v>11500000</v>
      </c>
      <c r="N25" s="47">
        <v>1082939691</v>
      </c>
      <c r="O25" s="49" t="s">
        <v>215</v>
      </c>
      <c r="P25" s="49" t="s">
        <v>216</v>
      </c>
      <c r="Q25" s="50">
        <v>45131</v>
      </c>
      <c r="R25" s="50">
        <v>45131</v>
      </c>
      <c r="S25" s="50">
        <v>45275</v>
      </c>
      <c r="T25" s="35"/>
      <c r="U25" s="3"/>
      <c r="V25" s="3"/>
      <c r="W25" s="3"/>
      <c r="X25" s="53">
        <v>0</v>
      </c>
      <c r="Y25" s="53">
        <v>11500000</v>
      </c>
      <c r="Z25" s="34">
        <f t="shared" si="1"/>
        <v>0</v>
      </c>
      <c r="AA25" s="47">
        <v>7634027</v>
      </c>
      <c r="AB25" s="49" t="s">
        <v>176</v>
      </c>
      <c r="AC25" s="39" t="s">
        <v>196</v>
      </c>
      <c r="AD25" s="39" t="s">
        <v>196</v>
      </c>
      <c r="AE25" s="3"/>
      <c r="AF25" s="57" t="s">
        <v>222</v>
      </c>
      <c r="AG25" s="42" t="s">
        <v>192</v>
      </c>
      <c r="AH25" s="42" t="s">
        <v>192</v>
      </c>
    </row>
    <row r="26" spans="1:34" s="4" customFormat="1" x14ac:dyDescent="0.25">
      <c r="A26" s="16">
        <v>891780111</v>
      </c>
      <c r="B26" s="16" t="s">
        <v>54</v>
      </c>
      <c r="C26" s="14" t="s">
        <v>56</v>
      </c>
      <c r="D26" s="16" t="s">
        <v>60</v>
      </c>
      <c r="E26" s="44" t="s">
        <v>130</v>
      </c>
      <c r="F26" s="16" t="s">
        <v>61</v>
      </c>
      <c r="G26" s="39" t="s">
        <v>69</v>
      </c>
      <c r="H26" s="39" t="s">
        <v>72</v>
      </c>
      <c r="I26" s="46">
        <v>6000000</v>
      </c>
      <c r="J26" s="94"/>
      <c r="K26" s="2"/>
      <c r="L26" s="2"/>
      <c r="M26" s="30">
        <f t="shared" si="2"/>
        <v>6000000</v>
      </c>
      <c r="N26" s="47" t="s">
        <v>133</v>
      </c>
      <c r="O26" s="49" t="s">
        <v>150</v>
      </c>
      <c r="P26" s="49" t="s">
        <v>166</v>
      </c>
      <c r="Q26" s="50">
        <v>44986</v>
      </c>
      <c r="R26" s="50">
        <v>44986</v>
      </c>
      <c r="S26" s="50">
        <v>45137</v>
      </c>
      <c r="T26" s="35"/>
      <c r="U26" s="3"/>
      <c r="V26" s="3"/>
      <c r="W26" s="3"/>
      <c r="X26" s="9">
        <v>4594896</v>
      </c>
      <c r="Y26" s="9">
        <f t="shared" si="0"/>
        <v>1405104</v>
      </c>
      <c r="Z26" s="34">
        <f t="shared" si="1"/>
        <v>0.76581600000000005</v>
      </c>
      <c r="AA26" s="47">
        <v>1082950841</v>
      </c>
      <c r="AB26" s="49" t="s">
        <v>175</v>
      </c>
      <c r="AC26" s="39" t="s">
        <v>196</v>
      </c>
      <c r="AD26" s="39" t="s">
        <v>196</v>
      </c>
      <c r="AE26" s="3"/>
      <c r="AF26" s="52" t="s">
        <v>193</v>
      </c>
      <c r="AG26" s="42" t="s">
        <v>192</v>
      </c>
      <c r="AH26" s="15" t="s">
        <v>191</v>
      </c>
    </row>
    <row r="27" spans="1:34" s="4" customFormat="1" x14ac:dyDescent="0.25">
      <c r="A27" s="16">
        <v>891780111</v>
      </c>
      <c r="B27" s="16" t="s">
        <v>54</v>
      </c>
      <c r="C27" s="14" t="s">
        <v>57</v>
      </c>
      <c r="D27" s="16" t="s">
        <v>60</v>
      </c>
      <c r="E27" s="44" t="s">
        <v>131</v>
      </c>
      <c r="F27" s="16" t="s">
        <v>61</v>
      </c>
      <c r="G27" s="39" t="s">
        <v>69</v>
      </c>
      <c r="H27" s="39" t="s">
        <v>73</v>
      </c>
      <c r="I27" s="46">
        <v>3510000</v>
      </c>
      <c r="J27" s="94"/>
      <c r="K27" s="2"/>
      <c r="L27" s="2"/>
      <c r="M27" s="30">
        <f t="shared" si="2"/>
        <v>3510000</v>
      </c>
      <c r="N27" s="47" t="s">
        <v>134</v>
      </c>
      <c r="O27" s="49" t="s">
        <v>151</v>
      </c>
      <c r="P27" s="49" t="s">
        <v>167</v>
      </c>
      <c r="Q27" s="50">
        <v>44991</v>
      </c>
      <c r="R27" s="50">
        <v>44992</v>
      </c>
      <c r="S27" s="50">
        <v>44995</v>
      </c>
      <c r="T27" s="35"/>
      <c r="U27" s="3"/>
      <c r="V27" s="3"/>
      <c r="W27" s="3"/>
      <c r="X27" s="9">
        <v>3510000</v>
      </c>
      <c r="Y27" s="9">
        <f t="shared" si="0"/>
        <v>0</v>
      </c>
      <c r="Z27" s="34">
        <f t="shared" si="1"/>
        <v>1</v>
      </c>
      <c r="AA27" s="47">
        <v>7634027</v>
      </c>
      <c r="AB27" s="49" t="s">
        <v>176</v>
      </c>
      <c r="AC27" s="39" t="s">
        <v>196</v>
      </c>
      <c r="AD27" s="39" t="s">
        <v>196</v>
      </c>
      <c r="AE27" s="3"/>
      <c r="AF27" s="52" t="s">
        <v>194</v>
      </c>
      <c r="AG27" s="42" t="s">
        <v>192</v>
      </c>
      <c r="AH27" s="15" t="s">
        <v>191</v>
      </c>
    </row>
    <row r="28" spans="1:34" s="4" customFormat="1" x14ac:dyDescent="0.25">
      <c r="A28" s="16">
        <v>891780111</v>
      </c>
      <c r="B28" s="16" t="s">
        <v>54</v>
      </c>
      <c r="C28" s="14" t="s">
        <v>56</v>
      </c>
      <c r="D28" s="16" t="s">
        <v>60</v>
      </c>
      <c r="E28" s="44" t="s">
        <v>132</v>
      </c>
      <c r="F28" s="16" t="s">
        <v>61</v>
      </c>
      <c r="G28" s="39" t="s">
        <v>69</v>
      </c>
      <c r="H28" s="39" t="s">
        <v>73</v>
      </c>
      <c r="I28" s="46">
        <v>4000000</v>
      </c>
      <c r="J28" s="94"/>
      <c r="K28" s="2"/>
      <c r="L28" s="2"/>
      <c r="M28" s="30">
        <f t="shared" si="2"/>
        <v>4000000</v>
      </c>
      <c r="N28" s="1" t="s">
        <v>135</v>
      </c>
      <c r="O28" s="1" t="s">
        <v>152</v>
      </c>
      <c r="P28" s="1" t="s">
        <v>168</v>
      </c>
      <c r="Q28" s="50">
        <v>45007</v>
      </c>
      <c r="R28" s="50">
        <v>45007</v>
      </c>
      <c r="S28" s="50">
        <v>45137</v>
      </c>
      <c r="T28" s="35"/>
      <c r="U28" s="3"/>
      <c r="V28" s="3"/>
      <c r="W28" s="3"/>
      <c r="X28" s="9">
        <v>2817473</v>
      </c>
      <c r="Y28" s="9">
        <f t="shared" si="0"/>
        <v>1182527</v>
      </c>
      <c r="Z28" s="34">
        <f t="shared" si="1"/>
        <v>0.70436825000000003</v>
      </c>
      <c r="AA28" s="47">
        <v>84457191</v>
      </c>
      <c r="AB28" s="1" t="s">
        <v>171</v>
      </c>
      <c r="AC28" s="39" t="s">
        <v>196</v>
      </c>
      <c r="AD28" s="39" t="s">
        <v>196</v>
      </c>
      <c r="AE28" s="3"/>
      <c r="AF28" s="52" t="s">
        <v>195</v>
      </c>
      <c r="AG28" s="42" t="s">
        <v>192</v>
      </c>
      <c r="AH28" s="15" t="s">
        <v>191</v>
      </c>
    </row>
    <row r="29" spans="1:34" s="5" customFormat="1" x14ac:dyDescent="0.25">
      <c r="A29" s="10"/>
      <c r="B29" s="11"/>
      <c r="C29" s="14"/>
      <c r="D29" s="12"/>
      <c r="E29" s="188">
        <f>COUNTA(E5:E28)</f>
        <v>24</v>
      </c>
      <c r="F29" s="11"/>
      <c r="G29" s="11"/>
      <c r="H29" s="12"/>
      <c r="I29" s="13">
        <f>SUM(I5:I28)</f>
        <v>338410000</v>
      </c>
      <c r="J29" s="188">
        <f>COUNTA(J5:J28)</f>
        <v>4</v>
      </c>
      <c r="K29" s="13">
        <f>SUM(K5:K28)</f>
        <v>11900000</v>
      </c>
      <c r="L29" s="13">
        <f>SUM(L5:L28)</f>
        <v>13933000</v>
      </c>
      <c r="M29" s="13">
        <f>SUM(M5:M28)</f>
        <v>336377000</v>
      </c>
      <c r="N29" s="11"/>
      <c r="O29" s="11"/>
      <c r="P29" s="11"/>
      <c r="Q29" s="11"/>
      <c r="R29" s="11"/>
      <c r="S29" s="11"/>
      <c r="T29" s="11"/>
      <c r="U29" s="11"/>
      <c r="V29" s="11"/>
      <c r="W29" s="11"/>
      <c r="X29" s="13">
        <f>SUM(X5:X28)</f>
        <v>209522369</v>
      </c>
      <c r="Y29" s="13">
        <f>SUM(Y5:Y28)</f>
        <v>126854631</v>
      </c>
      <c r="Z29" s="11"/>
      <c r="AA29" s="11"/>
      <c r="AB29" s="11"/>
      <c r="AC29" s="11"/>
      <c r="AD29" s="11"/>
      <c r="AE29" s="11"/>
      <c r="AF29" s="11"/>
      <c r="AG29" s="11"/>
      <c r="AH29" s="11"/>
    </row>
  </sheetData>
  <mergeCells count="7">
    <mergeCell ref="G1:H1"/>
    <mergeCell ref="G2:H3"/>
    <mergeCell ref="K2:P3"/>
    <mergeCell ref="A1:D1"/>
    <mergeCell ref="AF3:AH3"/>
    <mergeCell ref="A2:C2"/>
    <mergeCell ref="D2:F2"/>
  </mergeCells>
  <conditionalFormatting sqref="D2">
    <cfRule type="containsText" dxfId="18" priority="2" operator="containsText" text="Seleccione Ordenador">
      <formula>NOT(ISERROR(SEARCH("Seleccione Ordenador",D2)))</formula>
    </cfRule>
  </conditionalFormatting>
  <conditionalFormatting sqref="E1">
    <cfRule type="containsText" dxfId="17" priority="1" operator="containsText" text="Seleccione Periodo">
      <formula>NOT(ISERROR(SEARCH("Seleccione Periodo",E1)))</formula>
    </cfRule>
  </conditionalFormatting>
  <dataValidations count="9">
    <dataValidation type="list" allowBlank="1" showInputMessage="1" showErrorMessage="1" sqref="D2" xr:uid="{00000000-0002-0000-0000-000000000000}">
      <formula1>Delegatarios</formula1>
    </dataValidation>
    <dataValidation type="list" allowBlank="1" showInputMessage="1" showErrorMessage="1" sqref="E1" xr:uid="{00000000-0002-0000-0000-000001000000}">
      <formula1>cortea</formula1>
    </dataValidation>
    <dataValidation type="list" allowBlank="1" showInputMessage="1" showErrorMessage="1" sqref="G5:G28" xr:uid="{00000000-0002-0000-0000-000003000000}">
      <formula1>modalidad</formula1>
    </dataValidation>
    <dataValidation type="list" allowBlank="1" showInputMessage="1" showErrorMessage="1" sqref="H5:H28" xr:uid="{00000000-0002-0000-0000-000004000000}">
      <formula1>tipologia</formula1>
    </dataValidation>
    <dataValidation type="list" allowBlank="1" showInputMessage="1" showErrorMessage="1" sqref="AG5:AG28" xr:uid="{00000000-0002-0000-0000-000005000000}">
      <formula1>"SI,NO HA INICIADO"</formula1>
    </dataValidation>
    <dataValidation type="list" allowBlank="1" showInputMessage="1" showErrorMessage="1" sqref="AH5:AH28" xr:uid="{00000000-0002-0000-0000-000006000000}">
      <formula1>"SI,NA por TIPO Contrato"</formula1>
    </dataValidation>
    <dataValidation type="list" allowBlank="1" showInputMessage="1" showErrorMessage="1" sqref="AC5:AD28" xr:uid="{00000000-0002-0000-0000-000007000000}">
      <formula1>"SI,NO"</formula1>
    </dataValidation>
    <dataValidation type="list" allowBlank="1" showInputMessage="1" showErrorMessage="1" sqref="T5:T28" xr:uid="{00000000-0002-0000-0000-000008000000}">
      <formula1>"SI,N/A"</formula1>
    </dataValidation>
    <dataValidation type="list" allowBlank="1" showInputMessage="1" showErrorMessage="1" sqref="C5:C29" xr:uid="{00000000-0002-0000-0000-000002000000}">
      <formula1>rubro</formula1>
    </dataValidation>
  </dataValidations>
  <hyperlinks>
    <hyperlink ref="AF5" r:id="rId1" xr:uid="{00000000-0004-0000-0000-000000000000}"/>
    <hyperlink ref="AF6" r:id="rId2" xr:uid="{00000000-0004-0000-0000-000001000000}"/>
    <hyperlink ref="AF7" r:id="rId3" xr:uid="{00000000-0004-0000-0000-000002000000}"/>
    <hyperlink ref="AF8" r:id="rId4" xr:uid="{00000000-0004-0000-0000-000003000000}"/>
    <hyperlink ref="AF9" r:id="rId5" xr:uid="{00000000-0004-0000-0000-000004000000}"/>
    <hyperlink ref="AF10" r:id="rId6" xr:uid="{00000000-0004-0000-0000-000005000000}"/>
    <hyperlink ref="AF11" r:id="rId7" xr:uid="{00000000-0004-0000-0000-000006000000}"/>
    <hyperlink ref="AF12" r:id="rId8" xr:uid="{00000000-0004-0000-0000-000007000000}"/>
    <hyperlink ref="AF13" r:id="rId9" xr:uid="{00000000-0004-0000-0000-000008000000}"/>
    <hyperlink ref="AF14" r:id="rId10" xr:uid="{00000000-0004-0000-0000-000009000000}"/>
    <hyperlink ref="AF15" r:id="rId11" xr:uid="{00000000-0004-0000-0000-00000A000000}"/>
    <hyperlink ref="AF22" r:id="rId12" xr:uid="{00000000-0004-0000-0000-00000B000000}"/>
    <hyperlink ref="AF23" r:id="rId13" xr:uid="{00000000-0004-0000-0000-00000C000000}"/>
    <hyperlink ref="AF24" r:id="rId14" xr:uid="{00000000-0004-0000-0000-00000D000000}"/>
    <hyperlink ref="AF17" r:id="rId15" xr:uid="{00000000-0004-0000-0000-00000E000000}"/>
    <hyperlink ref="AF18" r:id="rId16" xr:uid="{00000000-0004-0000-0000-00000F000000}"/>
    <hyperlink ref="AF19" r:id="rId17" xr:uid="{00000000-0004-0000-0000-000010000000}"/>
    <hyperlink ref="AF20" r:id="rId18" xr:uid="{00000000-0004-0000-0000-000011000000}"/>
    <hyperlink ref="AF21" r:id="rId19" xr:uid="{00000000-0004-0000-0000-000012000000}"/>
    <hyperlink ref="AF25" r:id="rId20" xr:uid="{00000000-0004-0000-0000-000013000000}"/>
  </hyperlinks>
  <pageMargins left="0" right="0" top="0" bottom="0" header="0.3" footer="0.3"/>
  <pageSetup paperSize="5" scale="38" orientation="landscape" r:id="rId21"/>
  <ignoredErrors>
    <ignoredError sqref="J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8CE1-F83D-4022-98DB-70AA333D4679}">
  <sheetPr>
    <tabColor theme="8" tint="0.59999389629810485"/>
  </sheetPr>
  <dimension ref="A1:AH21"/>
  <sheetViews>
    <sheetView zoomScaleNormal="100" zoomScaleSheetLayoutView="100" workbookViewId="0">
      <selection activeCell="I6" sqref="I6"/>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7.85546875" customWidth="1"/>
    <col min="9" max="9" width="22.140625" style="8" customWidth="1"/>
    <col min="10" max="10" width="16.140625" customWidth="1"/>
    <col min="11" max="11" width="14.7109375" customWidth="1"/>
    <col min="12" max="12" width="12.28515625" customWidth="1"/>
    <col min="13" max="13" width="18.28515625" customWidth="1"/>
    <col min="14" max="14" width="17.28515625" customWidth="1"/>
    <col min="15" max="15" width="53.42578125" customWidth="1"/>
    <col min="17" max="17" width="15.5703125" customWidth="1"/>
    <col min="18" max="18" width="14.42578125" customWidth="1"/>
    <col min="19" max="22" width="12.5703125" customWidth="1"/>
    <col min="23" max="23" width="20.5703125" customWidth="1"/>
    <col min="24" max="24" width="17.7109375" customWidth="1"/>
    <col min="25" max="25" width="16.7109375" customWidth="1"/>
    <col min="26" max="26" width="11.42578125" style="32"/>
    <col min="27" max="27" width="14.42578125" customWidth="1"/>
    <col min="28" max="28" width="38.42578125" customWidth="1"/>
    <col min="31" max="31" width="14.85546875" customWidth="1"/>
    <col min="32" max="34" width="8.42578125"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34</v>
      </c>
      <c r="E2" s="336"/>
      <c r="F2" s="336"/>
      <c r="G2" s="337" t="s">
        <v>99</v>
      </c>
      <c r="H2" s="337"/>
      <c r="I2" s="21">
        <f>VLOOKUP($D$2,[6]Datos!$B$20:$C$35,2,FALSE)</f>
        <v>42</v>
      </c>
      <c r="J2" s="22" t="s">
        <v>85</v>
      </c>
      <c r="K2" s="339" t="str">
        <f>VLOOKUP($D$2,[6]Datos!$B$20:$D$35,3,FALSE)</f>
        <v>Sobre los recursos y fondos que segun las funciones esten a su cargo, proyectos del plan de acción que sea responsable, y aquellos generados en convenios o contratos</v>
      </c>
      <c r="L2" s="339"/>
      <c r="M2" s="339"/>
      <c r="N2" s="339"/>
      <c r="O2" s="339"/>
      <c r="P2" s="339"/>
    </row>
    <row r="3" spans="1:34" ht="15.75" customHeight="1" x14ac:dyDescent="0.25">
      <c r="G3" s="338"/>
      <c r="H3" s="338"/>
      <c r="I3" s="21">
        <f>I2*I1</f>
        <v>48720000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x14ac:dyDescent="0.25">
      <c r="A5" s="38">
        <v>891780111</v>
      </c>
      <c r="B5" s="38" t="s">
        <v>54</v>
      </c>
      <c r="C5" s="58" t="s">
        <v>56</v>
      </c>
      <c r="D5" s="38" t="s">
        <v>60</v>
      </c>
      <c r="E5" s="1" t="s">
        <v>5206</v>
      </c>
      <c r="F5" s="38" t="s">
        <v>61</v>
      </c>
      <c r="G5" s="39" t="s">
        <v>69</v>
      </c>
      <c r="H5" s="39" t="s">
        <v>73</v>
      </c>
      <c r="I5" s="36">
        <v>17411318</v>
      </c>
      <c r="J5" s="325">
        <v>1</v>
      </c>
      <c r="K5" s="61">
        <v>6070948</v>
      </c>
      <c r="L5" s="61"/>
      <c r="M5" s="40">
        <f>I5+K5-L5</f>
        <v>23482266</v>
      </c>
      <c r="N5" s="224">
        <v>1083018887</v>
      </c>
      <c r="O5" s="1" t="s">
        <v>5207</v>
      </c>
      <c r="P5" s="39" t="s">
        <v>5208</v>
      </c>
      <c r="Q5" s="41">
        <v>44959</v>
      </c>
      <c r="R5" s="41">
        <v>44959</v>
      </c>
      <c r="S5" s="3">
        <v>45107</v>
      </c>
      <c r="T5" s="41" t="s">
        <v>612</v>
      </c>
      <c r="U5" s="41"/>
      <c r="V5" s="41"/>
      <c r="W5" s="3">
        <v>45107</v>
      </c>
      <c r="X5" s="36">
        <v>23482266</v>
      </c>
      <c r="Y5" s="36">
        <f t="shared" ref="Y5:Y20" si="0">M5-X5</f>
        <v>0</v>
      </c>
      <c r="Z5" s="37">
        <f t="shared" ref="Z5:Z20" si="1">+(X5/M5)</f>
        <v>1</v>
      </c>
      <c r="AA5" s="49">
        <v>30766322</v>
      </c>
      <c r="AB5" s="49" t="s">
        <v>5209</v>
      </c>
      <c r="AC5" s="39" t="s">
        <v>196</v>
      </c>
      <c r="AD5" s="39" t="s">
        <v>196</v>
      </c>
      <c r="AE5" s="41"/>
      <c r="AF5" s="225" t="s">
        <v>5210</v>
      </c>
      <c r="AG5" s="42" t="s">
        <v>192</v>
      </c>
      <c r="AH5" s="42" t="s">
        <v>192</v>
      </c>
    </row>
    <row r="6" spans="1:34" s="4" customFormat="1" x14ac:dyDescent="0.25">
      <c r="A6" s="16">
        <v>891780111</v>
      </c>
      <c r="B6" s="16" t="s">
        <v>54</v>
      </c>
      <c r="C6" s="14" t="s">
        <v>56</v>
      </c>
      <c r="D6" s="16" t="s">
        <v>60</v>
      </c>
      <c r="E6" s="1" t="s">
        <v>5211</v>
      </c>
      <c r="F6" s="16" t="s">
        <v>61</v>
      </c>
      <c r="G6" s="1" t="s">
        <v>69</v>
      </c>
      <c r="H6" s="1" t="s">
        <v>73</v>
      </c>
      <c r="I6" s="9">
        <v>17411318</v>
      </c>
      <c r="J6" s="94"/>
      <c r="K6" s="2"/>
      <c r="L6" s="2"/>
      <c r="M6" s="30">
        <f>I6+K6-L6</f>
        <v>17411318</v>
      </c>
      <c r="N6" s="224">
        <v>1083029293</v>
      </c>
      <c r="O6" s="1" t="s">
        <v>5212</v>
      </c>
      <c r="P6" s="1" t="s">
        <v>5213</v>
      </c>
      <c r="Q6" s="41">
        <v>44959</v>
      </c>
      <c r="R6" s="41">
        <v>44959</v>
      </c>
      <c r="S6" s="3">
        <v>45107</v>
      </c>
      <c r="T6" s="41" t="s">
        <v>612</v>
      </c>
      <c r="U6" s="3"/>
      <c r="V6" s="3"/>
      <c r="W6" s="3"/>
      <c r="X6" s="9">
        <v>17411318</v>
      </c>
      <c r="Y6" s="9">
        <f t="shared" si="0"/>
        <v>0</v>
      </c>
      <c r="Z6" s="34">
        <f t="shared" si="1"/>
        <v>1</v>
      </c>
      <c r="AA6" s="49">
        <v>7601831</v>
      </c>
      <c r="AB6" s="49" t="s">
        <v>5214</v>
      </c>
      <c r="AC6" s="1" t="s">
        <v>196</v>
      </c>
      <c r="AD6" s="1" t="s">
        <v>196</v>
      </c>
      <c r="AE6" s="3"/>
      <c r="AF6" s="225" t="s">
        <v>5215</v>
      </c>
      <c r="AG6" s="15" t="s">
        <v>192</v>
      </c>
      <c r="AH6" s="15" t="s">
        <v>192</v>
      </c>
    </row>
    <row r="7" spans="1:34" s="4" customFormat="1" x14ac:dyDescent="0.25">
      <c r="A7" s="16">
        <v>891780111</v>
      </c>
      <c r="B7" s="16" t="s">
        <v>54</v>
      </c>
      <c r="C7" s="14" t="s">
        <v>56</v>
      </c>
      <c r="D7" s="16" t="s">
        <v>60</v>
      </c>
      <c r="E7" s="1" t="s">
        <v>5216</v>
      </c>
      <c r="F7" s="16" t="s">
        <v>61</v>
      </c>
      <c r="G7" s="1" t="s">
        <v>69</v>
      </c>
      <c r="H7" s="1" t="s">
        <v>73</v>
      </c>
      <c r="I7" s="9">
        <v>17411318</v>
      </c>
      <c r="J7" s="94"/>
      <c r="K7" s="2"/>
      <c r="L7" s="2"/>
      <c r="M7" s="30">
        <f t="shared" ref="M7:M20" si="2">I7+K7-L7</f>
        <v>17411318</v>
      </c>
      <c r="N7" s="224">
        <v>1083013379</v>
      </c>
      <c r="O7" s="1" t="s">
        <v>5217</v>
      </c>
      <c r="P7" s="1" t="s">
        <v>5218</v>
      </c>
      <c r="Q7" s="41">
        <v>44959</v>
      </c>
      <c r="R7" s="41">
        <v>44959</v>
      </c>
      <c r="S7" s="3">
        <v>45107</v>
      </c>
      <c r="T7" s="41" t="s">
        <v>612</v>
      </c>
      <c r="U7" s="3"/>
      <c r="V7" s="3"/>
      <c r="W7" s="3"/>
      <c r="X7" s="9">
        <v>17411318</v>
      </c>
      <c r="Y7" s="9">
        <f t="shared" si="0"/>
        <v>0</v>
      </c>
      <c r="Z7" s="34">
        <f t="shared" si="1"/>
        <v>1</v>
      </c>
      <c r="AA7" s="49">
        <v>30766322</v>
      </c>
      <c r="AB7" s="49" t="s">
        <v>5209</v>
      </c>
      <c r="AC7" s="1" t="s">
        <v>196</v>
      </c>
      <c r="AD7" s="1" t="s">
        <v>196</v>
      </c>
      <c r="AE7" s="3"/>
      <c r="AF7" s="225" t="s">
        <v>5219</v>
      </c>
      <c r="AG7" s="15" t="s">
        <v>192</v>
      </c>
      <c r="AH7" s="15" t="s">
        <v>192</v>
      </c>
    </row>
    <row r="8" spans="1:34" s="4" customFormat="1" x14ac:dyDescent="0.25">
      <c r="A8" s="16">
        <v>891780111</v>
      </c>
      <c r="B8" s="16" t="s">
        <v>54</v>
      </c>
      <c r="C8" s="14" t="s">
        <v>56</v>
      </c>
      <c r="D8" s="16" t="s">
        <v>60</v>
      </c>
      <c r="E8" s="1" t="s">
        <v>5220</v>
      </c>
      <c r="F8" s="16" t="s">
        <v>61</v>
      </c>
      <c r="G8" s="1" t="s">
        <v>69</v>
      </c>
      <c r="H8" s="1" t="s">
        <v>73</v>
      </c>
      <c r="I8" s="9">
        <v>17411318</v>
      </c>
      <c r="J8" s="94"/>
      <c r="K8" s="2"/>
      <c r="L8" s="2"/>
      <c r="M8" s="30">
        <f t="shared" si="2"/>
        <v>17411318</v>
      </c>
      <c r="N8" s="224">
        <v>1082904487</v>
      </c>
      <c r="O8" s="1" t="s">
        <v>5221</v>
      </c>
      <c r="P8" s="1" t="s">
        <v>5222</v>
      </c>
      <c r="Q8" s="41">
        <v>44959</v>
      </c>
      <c r="R8" s="41">
        <v>44959</v>
      </c>
      <c r="S8" s="3">
        <v>45107</v>
      </c>
      <c r="T8" s="41" t="s">
        <v>612</v>
      </c>
      <c r="U8" s="3"/>
      <c r="V8" s="3"/>
      <c r="W8" s="3"/>
      <c r="X8" s="9">
        <v>17411318</v>
      </c>
      <c r="Y8" s="9">
        <f t="shared" si="0"/>
        <v>0</v>
      </c>
      <c r="Z8" s="34">
        <f t="shared" si="1"/>
        <v>1</v>
      </c>
      <c r="AA8" s="49">
        <v>30766322</v>
      </c>
      <c r="AB8" s="49" t="s">
        <v>5209</v>
      </c>
      <c r="AC8" s="1" t="s">
        <v>196</v>
      </c>
      <c r="AD8" s="1" t="s">
        <v>196</v>
      </c>
      <c r="AE8" s="3"/>
      <c r="AF8" s="225" t="s">
        <v>5223</v>
      </c>
      <c r="AG8" s="15" t="s">
        <v>192</v>
      </c>
      <c r="AH8" s="15" t="s">
        <v>192</v>
      </c>
    </row>
    <row r="9" spans="1:34" s="4" customFormat="1" x14ac:dyDescent="0.25">
      <c r="A9" s="16">
        <v>891780111</v>
      </c>
      <c r="B9" s="16" t="s">
        <v>54</v>
      </c>
      <c r="C9" s="14" t="s">
        <v>56</v>
      </c>
      <c r="D9" s="16" t="s">
        <v>60</v>
      </c>
      <c r="E9" s="1" t="s">
        <v>5224</v>
      </c>
      <c r="F9" s="16" t="s">
        <v>61</v>
      </c>
      <c r="G9" s="1" t="s">
        <v>69</v>
      </c>
      <c r="H9" s="1" t="s">
        <v>73</v>
      </c>
      <c r="I9" s="9">
        <v>17411318</v>
      </c>
      <c r="J9" s="94">
        <v>1</v>
      </c>
      <c r="K9" s="2">
        <v>3000000</v>
      </c>
      <c r="L9" s="2"/>
      <c r="M9" s="30">
        <f t="shared" si="2"/>
        <v>20411318</v>
      </c>
      <c r="N9" s="224">
        <v>1083022534</v>
      </c>
      <c r="O9" s="1" t="s">
        <v>1185</v>
      </c>
      <c r="P9" s="1" t="s">
        <v>5225</v>
      </c>
      <c r="Q9" s="41">
        <v>44959</v>
      </c>
      <c r="R9" s="41">
        <v>44959</v>
      </c>
      <c r="S9" s="3">
        <v>45107</v>
      </c>
      <c r="T9" s="41" t="s">
        <v>612</v>
      </c>
      <c r="U9" s="3"/>
      <c r="V9" s="3"/>
      <c r="W9" s="3">
        <v>45107</v>
      </c>
      <c r="X9" s="9">
        <v>20411318</v>
      </c>
      <c r="Y9" s="9">
        <f t="shared" si="0"/>
        <v>0</v>
      </c>
      <c r="Z9" s="34">
        <f t="shared" si="1"/>
        <v>1</v>
      </c>
      <c r="AA9" s="49">
        <v>7601831</v>
      </c>
      <c r="AB9" s="49" t="s">
        <v>5214</v>
      </c>
      <c r="AC9" s="1" t="s">
        <v>196</v>
      </c>
      <c r="AD9" s="1" t="s">
        <v>196</v>
      </c>
      <c r="AE9" s="3"/>
      <c r="AF9" s="225" t="s">
        <v>5226</v>
      </c>
      <c r="AG9" s="15" t="s">
        <v>192</v>
      </c>
      <c r="AH9" s="15" t="s">
        <v>192</v>
      </c>
    </row>
    <row r="10" spans="1:34" s="4" customFormat="1" x14ac:dyDescent="0.25">
      <c r="A10" s="16">
        <v>891780111</v>
      </c>
      <c r="B10" s="16" t="s">
        <v>54</v>
      </c>
      <c r="C10" s="14" t="s">
        <v>56</v>
      </c>
      <c r="D10" s="16" t="s">
        <v>60</v>
      </c>
      <c r="E10" s="1" t="s">
        <v>5227</v>
      </c>
      <c r="F10" s="16" t="s">
        <v>61</v>
      </c>
      <c r="G10" s="1" t="s">
        <v>69</v>
      </c>
      <c r="H10" s="1" t="s">
        <v>73</v>
      </c>
      <c r="I10" s="9">
        <v>17411318</v>
      </c>
      <c r="J10" s="94"/>
      <c r="K10" s="2"/>
      <c r="L10" s="2"/>
      <c r="M10" s="30">
        <f t="shared" si="2"/>
        <v>17411318</v>
      </c>
      <c r="N10" s="224">
        <v>1083005152</v>
      </c>
      <c r="O10" s="1" t="s">
        <v>5228</v>
      </c>
      <c r="P10" s="1" t="s">
        <v>5229</v>
      </c>
      <c r="Q10" s="41">
        <v>44959</v>
      </c>
      <c r="R10" s="41">
        <v>44959</v>
      </c>
      <c r="S10" s="3">
        <v>45107</v>
      </c>
      <c r="T10" s="41" t="s">
        <v>612</v>
      </c>
      <c r="U10" s="3"/>
      <c r="V10" s="3"/>
      <c r="W10" s="3"/>
      <c r="X10" s="9">
        <v>17411318</v>
      </c>
      <c r="Y10" s="9">
        <f t="shared" si="0"/>
        <v>0</v>
      </c>
      <c r="Z10" s="34">
        <f t="shared" si="1"/>
        <v>1</v>
      </c>
      <c r="AA10" s="49">
        <v>30766322</v>
      </c>
      <c r="AB10" s="49" t="s">
        <v>5209</v>
      </c>
      <c r="AC10" s="1" t="s">
        <v>196</v>
      </c>
      <c r="AD10" s="1" t="s">
        <v>196</v>
      </c>
      <c r="AE10" s="3"/>
      <c r="AF10" s="225" t="s">
        <v>5230</v>
      </c>
      <c r="AG10" s="15" t="s">
        <v>192</v>
      </c>
      <c r="AH10" s="15" t="s">
        <v>192</v>
      </c>
    </row>
    <row r="11" spans="1:34" s="4" customFormat="1" x14ac:dyDescent="0.25">
      <c r="A11" s="16">
        <v>891780111</v>
      </c>
      <c r="B11" s="16" t="s">
        <v>54</v>
      </c>
      <c r="C11" s="14" t="s">
        <v>56</v>
      </c>
      <c r="D11" s="16" t="s">
        <v>60</v>
      </c>
      <c r="E11" s="1" t="s">
        <v>5231</v>
      </c>
      <c r="F11" s="16" t="s">
        <v>61</v>
      </c>
      <c r="G11" s="1" t="s">
        <v>69</v>
      </c>
      <c r="H11" s="1" t="s">
        <v>73</v>
      </c>
      <c r="I11" s="9">
        <v>17411318</v>
      </c>
      <c r="J11" s="94"/>
      <c r="K11" s="2"/>
      <c r="L11" s="2"/>
      <c r="M11" s="30">
        <f t="shared" si="2"/>
        <v>17411318</v>
      </c>
      <c r="N11" s="224">
        <v>1082890218</v>
      </c>
      <c r="O11" s="1" t="s">
        <v>5232</v>
      </c>
      <c r="P11" s="189" t="s">
        <v>5233</v>
      </c>
      <c r="Q11" s="41">
        <v>44959</v>
      </c>
      <c r="R11" s="41">
        <v>44959</v>
      </c>
      <c r="S11" s="3">
        <v>45107</v>
      </c>
      <c r="T11" s="41" t="s">
        <v>612</v>
      </c>
      <c r="U11" s="3"/>
      <c r="V11" s="3"/>
      <c r="W11" s="3"/>
      <c r="X11" s="9">
        <v>17411318</v>
      </c>
      <c r="Y11" s="9">
        <f t="shared" si="0"/>
        <v>0</v>
      </c>
      <c r="Z11" s="34">
        <f t="shared" si="1"/>
        <v>1</v>
      </c>
      <c r="AA11" s="49">
        <v>84452426</v>
      </c>
      <c r="AB11" s="49" t="s">
        <v>5234</v>
      </c>
      <c r="AC11" s="1" t="s">
        <v>196</v>
      </c>
      <c r="AD11" s="1" t="s">
        <v>196</v>
      </c>
      <c r="AE11" s="3"/>
      <c r="AF11" s="225" t="s">
        <v>5235</v>
      </c>
      <c r="AG11" s="15" t="s">
        <v>192</v>
      </c>
      <c r="AH11" s="15" t="s">
        <v>192</v>
      </c>
    </row>
    <row r="12" spans="1:34" s="4" customFormat="1" x14ac:dyDescent="0.25">
      <c r="A12" s="16">
        <v>891780111</v>
      </c>
      <c r="B12" s="16" t="s">
        <v>54</v>
      </c>
      <c r="C12" s="14" t="s">
        <v>56</v>
      </c>
      <c r="D12" s="16" t="s">
        <v>60</v>
      </c>
      <c r="E12" s="1" t="s">
        <v>5236</v>
      </c>
      <c r="F12" s="16" t="s">
        <v>61</v>
      </c>
      <c r="G12" s="1" t="s">
        <v>69</v>
      </c>
      <c r="H12" s="1" t="s">
        <v>73</v>
      </c>
      <c r="I12" s="9">
        <v>17411318</v>
      </c>
      <c r="J12" s="94"/>
      <c r="K12" s="2"/>
      <c r="L12" s="2"/>
      <c r="M12" s="30">
        <f t="shared" si="2"/>
        <v>17411318</v>
      </c>
      <c r="N12" s="224">
        <v>1082938296</v>
      </c>
      <c r="O12" s="1" t="s">
        <v>5237</v>
      </c>
      <c r="P12" s="189" t="s">
        <v>5238</v>
      </c>
      <c r="Q12" s="41">
        <v>44960</v>
      </c>
      <c r="R12" s="41">
        <v>44960</v>
      </c>
      <c r="S12" s="3">
        <v>45107</v>
      </c>
      <c r="T12" s="41" t="s">
        <v>612</v>
      </c>
      <c r="U12" s="3"/>
      <c r="V12" s="3"/>
      <c r="W12" s="3"/>
      <c r="X12" s="9">
        <v>17411318</v>
      </c>
      <c r="Y12" s="9">
        <f t="shared" si="0"/>
        <v>0</v>
      </c>
      <c r="Z12" s="34">
        <f t="shared" si="1"/>
        <v>1</v>
      </c>
      <c r="AA12" s="49">
        <v>30766322</v>
      </c>
      <c r="AB12" s="49" t="s">
        <v>5209</v>
      </c>
      <c r="AC12" s="1" t="s">
        <v>196</v>
      </c>
      <c r="AD12" s="1" t="s">
        <v>196</v>
      </c>
      <c r="AE12" s="3"/>
      <c r="AF12" s="225" t="s">
        <v>5239</v>
      </c>
      <c r="AG12" s="15" t="s">
        <v>192</v>
      </c>
      <c r="AH12" s="15" t="s">
        <v>192</v>
      </c>
    </row>
    <row r="13" spans="1:34" s="4" customFormat="1" x14ac:dyDescent="0.25">
      <c r="A13" s="16">
        <v>891780111</v>
      </c>
      <c r="B13" s="16" t="s">
        <v>54</v>
      </c>
      <c r="C13" s="14" t="s">
        <v>56</v>
      </c>
      <c r="D13" s="16" t="s">
        <v>60</v>
      </c>
      <c r="E13" s="1" t="s">
        <v>5240</v>
      </c>
      <c r="F13" s="16" t="s">
        <v>61</v>
      </c>
      <c r="G13" s="1" t="s">
        <v>69</v>
      </c>
      <c r="H13" s="1" t="s">
        <v>73</v>
      </c>
      <c r="I13" s="9">
        <v>20011318</v>
      </c>
      <c r="J13" s="94"/>
      <c r="K13" s="2"/>
      <c r="L13" s="2"/>
      <c r="M13" s="30">
        <f t="shared" si="2"/>
        <v>20011318</v>
      </c>
      <c r="N13" s="224">
        <v>1083012685</v>
      </c>
      <c r="O13" s="1" t="s">
        <v>5241</v>
      </c>
      <c r="P13" s="189" t="s">
        <v>5242</v>
      </c>
      <c r="Q13" s="3">
        <v>44964</v>
      </c>
      <c r="R13" s="3">
        <v>44964</v>
      </c>
      <c r="S13" s="3">
        <v>45107</v>
      </c>
      <c r="T13" s="41" t="s">
        <v>612</v>
      </c>
      <c r="U13" s="3"/>
      <c r="V13" s="3"/>
      <c r="W13" s="3"/>
      <c r="X13" s="9">
        <v>20011318</v>
      </c>
      <c r="Y13" s="9">
        <f t="shared" si="0"/>
        <v>0</v>
      </c>
      <c r="Z13" s="34">
        <f t="shared" si="1"/>
        <v>1</v>
      </c>
      <c r="AA13" s="49">
        <v>57290542</v>
      </c>
      <c r="AB13" s="49" t="s">
        <v>2018</v>
      </c>
      <c r="AC13" s="1" t="s">
        <v>196</v>
      </c>
      <c r="AD13" s="1" t="s">
        <v>196</v>
      </c>
      <c r="AE13" s="3"/>
      <c r="AF13" s="225" t="s">
        <v>5243</v>
      </c>
      <c r="AG13" s="15" t="s">
        <v>192</v>
      </c>
      <c r="AH13" s="15" t="s">
        <v>192</v>
      </c>
    </row>
    <row r="14" spans="1:34" s="4" customFormat="1" x14ac:dyDescent="0.25">
      <c r="A14" s="16">
        <v>891780111</v>
      </c>
      <c r="B14" s="16" t="s">
        <v>54</v>
      </c>
      <c r="C14" s="14" t="s">
        <v>56</v>
      </c>
      <c r="D14" s="16" t="s">
        <v>60</v>
      </c>
      <c r="E14" s="1" t="s">
        <v>5244</v>
      </c>
      <c r="F14" s="16" t="s">
        <v>61</v>
      </c>
      <c r="G14" s="1" t="s">
        <v>69</v>
      </c>
      <c r="H14" s="1" t="s">
        <v>73</v>
      </c>
      <c r="I14" s="9">
        <v>13469035</v>
      </c>
      <c r="J14" s="94"/>
      <c r="K14" s="2"/>
      <c r="L14" s="2"/>
      <c r="M14" s="30">
        <f t="shared" si="2"/>
        <v>13469035</v>
      </c>
      <c r="N14" s="224">
        <v>1004369850</v>
      </c>
      <c r="O14" s="1" t="s">
        <v>5245</v>
      </c>
      <c r="P14" s="1" t="s">
        <v>5246</v>
      </c>
      <c r="Q14" s="3">
        <v>44972</v>
      </c>
      <c r="R14" s="3">
        <v>44972</v>
      </c>
      <c r="S14" s="3">
        <v>45107</v>
      </c>
      <c r="T14" s="41" t="s">
        <v>612</v>
      </c>
      <c r="U14" s="3"/>
      <c r="V14" s="3"/>
      <c r="W14" s="3"/>
      <c r="X14" s="9">
        <v>13469035</v>
      </c>
      <c r="Y14" s="9">
        <f t="shared" si="0"/>
        <v>0</v>
      </c>
      <c r="Z14" s="34">
        <f t="shared" si="1"/>
        <v>1</v>
      </c>
      <c r="AA14" s="49">
        <v>57290542</v>
      </c>
      <c r="AB14" s="49" t="s">
        <v>2018</v>
      </c>
      <c r="AC14" s="1" t="s">
        <v>196</v>
      </c>
      <c r="AD14" s="1" t="s">
        <v>196</v>
      </c>
      <c r="AE14" s="3"/>
      <c r="AF14" s="225" t="s">
        <v>5247</v>
      </c>
      <c r="AG14" s="15" t="s">
        <v>192</v>
      </c>
      <c r="AH14" s="15" t="s">
        <v>192</v>
      </c>
    </row>
    <row r="15" spans="1:34" s="4" customFormat="1" x14ac:dyDescent="0.25">
      <c r="A15" s="16">
        <v>891780111</v>
      </c>
      <c r="B15" s="16" t="s">
        <v>54</v>
      </c>
      <c r="C15" s="14" t="s">
        <v>56</v>
      </c>
      <c r="D15" s="16" t="s">
        <v>60</v>
      </c>
      <c r="E15" s="1" t="s">
        <v>5248</v>
      </c>
      <c r="F15" s="16" t="s">
        <v>61</v>
      </c>
      <c r="G15" s="1" t="s">
        <v>69</v>
      </c>
      <c r="H15" s="1" t="s">
        <v>73</v>
      </c>
      <c r="I15" s="9">
        <v>10500000</v>
      </c>
      <c r="J15" s="94"/>
      <c r="K15" s="2"/>
      <c r="L15" s="2"/>
      <c r="M15" s="30">
        <f t="shared" si="2"/>
        <v>10500000</v>
      </c>
      <c r="N15" s="224">
        <v>1083029253</v>
      </c>
      <c r="O15" s="1" t="s">
        <v>5249</v>
      </c>
      <c r="P15" s="1" t="s">
        <v>5250</v>
      </c>
      <c r="Q15" s="3">
        <v>45008</v>
      </c>
      <c r="R15" s="3">
        <v>45009</v>
      </c>
      <c r="S15" s="3">
        <v>45137</v>
      </c>
      <c r="T15" s="41" t="s">
        <v>612</v>
      </c>
      <c r="U15" s="3"/>
      <c r="V15" s="3"/>
      <c r="W15" s="3"/>
      <c r="X15" s="9">
        <v>7832000</v>
      </c>
      <c r="Y15" s="9">
        <f t="shared" si="0"/>
        <v>2668000</v>
      </c>
      <c r="Z15" s="34">
        <f t="shared" si="1"/>
        <v>0.74590476190476196</v>
      </c>
      <c r="AA15" s="49">
        <v>7601831</v>
      </c>
      <c r="AB15" s="49" t="s">
        <v>5214</v>
      </c>
      <c r="AC15" s="1" t="s">
        <v>196</v>
      </c>
      <c r="AD15" s="1" t="s">
        <v>196</v>
      </c>
      <c r="AE15" s="3"/>
      <c r="AF15" s="225" t="s">
        <v>5251</v>
      </c>
      <c r="AG15" s="15" t="s">
        <v>192</v>
      </c>
      <c r="AH15" s="15" t="s">
        <v>192</v>
      </c>
    </row>
    <row r="16" spans="1:34" s="4" customFormat="1" x14ac:dyDescent="0.25">
      <c r="A16" s="16">
        <v>891780111</v>
      </c>
      <c r="B16" s="16" t="s">
        <v>54</v>
      </c>
      <c r="C16" s="14" t="s">
        <v>56</v>
      </c>
      <c r="D16" s="16" t="s">
        <v>60</v>
      </c>
      <c r="E16" s="1" t="s">
        <v>5252</v>
      </c>
      <c r="F16" s="16" t="s">
        <v>61</v>
      </c>
      <c r="G16" s="1" t="s">
        <v>69</v>
      </c>
      <c r="H16" s="1" t="s">
        <v>73</v>
      </c>
      <c r="I16" s="9">
        <v>8000000</v>
      </c>
      <c r="J16" s="94"/>
      <c r="K16" s="2"/>
      <c r="L16" s="2"/>
      <c r="M16" s="30">
        <f t="shared" si="2"/>
        <v>8000000</v>
      </c>
      <c r="N16" s="224">
        <v>1082978705</v>
      </c>
      <c r="O16" s="1" t="s">
        <v>5253</v>
      </c>
      <c r="P16" s="1" t="s">
        <v>5254</v>
      </c>
      <c r="Q16" s="3">
        <v>45055</v>
      </c>
      <c r="R16" s="3">
        <v>45056</v>
      </c>
      <c r="S16" s="3">
        <v>45169</v>
      </c>
      <c r="T16" s="41" t="s">
        <v>612</v>
      </c>
      <c r="U16" s="3"/>
      <c r="V16" s="3"/>
      <c r="W16" s="3"/>
      <c r="X16" s="9">
        <v>4000000</v>
      </c>
      <c r="Y16" s="9">
        <f t="shared" si="0"/>
        <v>4000000</v>
      </c>
      <c r="Z16" s="34">
        <f t="shared" si="1"/>
        <v>0.5</v>
      </c>
      <c r="AA16" s="49">
        <v>84452426</v>
      </c>
      <c r="AB16" s="49" t="s">
        <v>5234</v>
      </c>
      <c r="AC16" s="1" t="s">
        <v>196</v>
      </c>
      <c r="AD16" s="1" t="s">
        <v>196</v>
      </c>
      <c r="AE16" s="3"/>
      <c r="AF16" s="225" t="s">
        <v>5255</v>
      </c>
      <c r="AG16" s="15" t="s">
        <v>192</v>
      </c>
      <c r="AH16" s="15" t="s">
        <v>192</v>
      </c>
    </row>
    <row r="17" spans="1:34" s="4" customFormat="1" x14ac:dyDescent="0.25">
      <c r="A17" s="16">
        <v>891780111</v>
      </c>
      <c r="B17" s="16" t="s">
        <v>54</v>
      </c>
      <c r="C17" s="14" t="s">
        <v>56</v>
      </c>
      <c r="D17" s="16" t="s">
        <v>60</v>
      </c>
      <c r="E17" s="1" t="s">
        <v>5256</v>
      </c>
      <c r="F17" s="16" t="s">
        <v>61</v>
      </c>
      <c r="G17" s="1" t="s">
        <v>69</v>
      </c>
      <c r="H17" s="1" t="s">
        <v>73</v>
      </c>
      <c r="I17" s="9">
        <v>16000000</v>
      </c>
      <c r="J17" s="94"/>
      <c r="K17" s="2"/>
      <c r="L17" s="2"/>
      <c r="M17" s="30">
        <f t="shared" si="2"/>
        <v>16000000</v>
      </c>
      <c r="N17" s="224">
        <v>1082961155</v>
      </c>
      <c r="O17" s="1" t="s">
        <v>5257</v>
      </c>
      <c r="P17" s="94" t="s">
        <v>5258</v>
      </c>
      <c r="Q17" s="3">
        <v>45092</v>
      </c>
      <c r="R17" s="3">
        <v>45092</v>
      </c>
      <c r="S17" s="3">
        <v>45230</v>
      </c>
      <c r="T17" s="41" t="s">
        <v>612</v>
      </c>
      <c r="U17" s="3"/>
      <c r="V17" s="3"/>
      <c r="W17" s="3"/>
      <c r="X17" s="9">
        <v>3200000</v>
      </c>
      <c r="Y17" s="9">
        <f t="shared" si="0"/>
        <v>12800000</v>
      </c>
      <c r="Z17" s="34">
        <f t="shared" si="1"/>
        <v>0.2</v>
      </c>
      <c r="AA17" s="49">
        <v>57290542</v>
      </c>
      <c r="AB17" s="49" t="s">
        <v>2018</v>
      </c>
      <c r="AC17" s="1" t="s">
        <v>196</v>
      </c>
      <c r="AD17" s="1" t="s">
        <v>196</v>
      </c>
      <c r="AE17" s="3"/>
      <c r="AF17" s="226" t="s">
        <v>5259</v>
      </c>
      <c r="AG17" s="15" t="s">
        <v>192</v>
      </c>
      <c r="AH17" s="15" t="s">
        <v>192</v>
      </c>
    </row>
    <row r="18" spans="1:34" s="4" customFormat="1" x14ac:dyDescent="0.25">
      <c r="A18" s="16">
        <v>891780111</v>
      </c>
      <c r="B18" s="16" t="s">
        <v>54</v>
      </c>
      <c r="C18" s="14" t="s">
        <v>56</v>
      </c>
      <c r="D18" s="16" t="s">
        <v>60</v>
      </c>
      <c r="E18" s="1" t="s">
        <v>5260</v>
      </c>
      <c r="F18" s="16" t="s">
        <v>61</v>
      </c>
      <c r="G18" s="1" t="s">
        <v>69</v>
      </c>
      <c r="H18" s="1" t="s">
        <v>73</v>
      </c>
      <c r="I18" s="9">
        <v>2800000</v>
      </c>
      <c r="J18" s="94"/>
      <c r="K18" s="2"/>
      <c r="L18" s="2"/>
      <c r="M18" s="30">
        <f t="shared" si="2"/>
        <v>2800000</v>
      </c>
      <c r="N18" s="224">
        <v>1083012685</v>
      </c>
      <c r="O18" s="1" t="s">
        <v>5241</v>
      </c>
      <c r="P18" s="1" t="s">
        <v>5261</v>
      </c>
      <c r="Q18" s="3">
        <v>45119</v>
      </c>
      <c r="R18" s="3">
        <v>45119</v>
      </c>
      <c r="S18" s="3">
        <v>45138</v>
      </c>
      <c r="T18" s="41" t="s">
        <v>612</v>
      </c>
      <c r="U18" s="3"/>
      <c r="V18" s="3"/>
      <c r="W18" s="3"/>
      <c r="X18" s="9"/>
      <c r="Y18" s="9">
        <f t="shared" si="0"/>
        <v>2800000</v>
      </c>
      <c r="Z18" s="34">
        <f t="shared" si="1"/>
        <v>0</v>
      </c>
      <c r="AA18" s="49">
        <v>57290542</v>
      </c>
      <c r="AB18" s="49" t="s">
        <v>2018</v>
      </c>
      <c r="AC18" s="1" t="s">
        <v>196</v>
      </c>
      <c r="AD18" s="1" t="s">
        <v>196</v>
      </c>
      <c r="AE18" s="3"/>
      <c r="AF18" s="226" t="s">
        <v>5262</v>
      </c>
      <c r="AG18" s="15" t="s">
        <v>192</v>
      </c>
      <c r="AH18" s="15" t="s">
        <v>192</v>
      </c>
    </row>
    <row r="19" spans="1:34" s="4" customFormat="1" x14ac:dyDescent="0.25">
      <c r="A19" s="16">
        <v>891780111</v>
      </c>
      <c r="B19" s="16" t="s">
        <v>54</v>
      </c>
      <c r="C19" s="14" t="s">
        <v>56</v>
      </c>
      <c r="D19" s="16" t="s">
        <v>60</v>
      </c>
      <c r="E19" s="1" t="s">
        <v>5263</v>
      </c>
      <c r="F19" s="16" t="s">
        <v>61</v>
      </c>
      <c r="G19" s="1" t="s">
        <v>69</v>
      </c>
      <c r="H19" s="1" t="s">
        <v>73</v>
      </c>
      <c r="I19" s="9">
        <v>2500000</v>
      </c>
      <c r="J19" s="94"/>
      <c r="K19" s="2"/>
      <c r="L19" s="2"/>
      <c r="M19" s="30">
        <f t="shared" si="2"/>
        <v>2500000</v>
      </c>
      <c r="N19" s="227">
        <v>1082946321</v>
      </c>
      <c r="O19" s="228" t="s">
        <v>372</v>
      </c>
      <c r="P19" s="229" t="s">
        <v>5264</v>
      </c>
      <c r="Q19" s="3">
        <v>45120</v>
      </c>
      <c r="R19" s="3">
        <v>45120</v>
      </c>
      <c r="S19" s="3">
        <v>45138</v>
      </c>
      <c r="T19" s="41" t="s">
        <v>612</v>
      </c>
      <c r="U19" s="3"/>
      <c r="V19" s="3"/>
      <c r="W19" s="3"/>
      <c r="X19" s="9"/>
      <c r="Y19" s="9">
        <f t="shared" si="0"/>
        <v>2500000</v>
      </c>
      <c r="Z19" s="34">
        <f t="shared" si="1"/>
        <v>0</v>
      </c>
      <c r="AA19" s="49">
        <v>57290542</v>
      </c>
      <c r="AB19" s="49" t="s">
        <v>2018</v>
      </c>
      <c r="AC19" s="1" t="s">
        <v>196</v>
      </c>
      <c r="AD19" s="1" t="s">
        <v>196</v>
      </c>
      <c r="AE19" s="3"/>
      <c r="AF19" s="194" t="s">
        <v>5265</v>
      </c>
      <c r="AG19" s="15" t="s">
        <v>192</v>
      </c>
      <c r="AH19" s="15" t="s">
        <v>192</v>
      </c>
    </row>
    <row r="20" spans="1:34" s="4" customFormat="1" x14ac:dyDescent="0.25">
      <c r="A20" s="16">
        <v>891780111</v>
      </c>
      <c r="B20" s="16" t="s">
        <v>54</v>
      </c>
      <c r="C20" s="14" t="s">
        <v>56</v>
      </c>
      <c r="D20" s="16" t="s">
        <v>60</v>
      </c>
      <c r="E20" s="1" t="s">
        <v>5266</v>
      </c>
      <c r="F20" s="16" t="s">
        <v>61</v>
      </c>
      <c r="G20" s="1" t="s">
        <v>69</v>
      </c>
      <c r="H20" s="1" t="s">
        <v>73</v>
      </c>
      <c r="I20" s="9">
        <v>2800000</v>
      </c>
      <c r="J20" s="94"/>
      <c r="K20" s="2"/>
      <c r="L20" s="2"/>
      <c r="M20" s="30">
        <f t="shared" si="2"/>
        <v>2800000</v>
      </c>
      <c r="N20" s="224">
        <v>1083018887</v>
      </c>
      <c r="O20" s="1" t="s">
        <v>5207</v>
      </c>
      <c r="P20" s="229" t="s">
        <v>5267</v>
      </c>
      <c r="Q20" s="3">
        <v>45120</v>
      </c>
      <c r="R20" s="3">
        <v>45120</v>
      </c>
      <c r="S20" s="3">
        <v>45138</v>
      </c>
      <c r="T20" s="41" t="s">
        <v>612</v>
      </c>
      <c r="U20" s="3"/>
      <c r="V20" s="3"/>
      <c r="W20" s="3"/>
      <c r="X20" s="9"/>
      <c r="Y20" s="9">
        <f t="shared" si="0"/>
        <v>2800000</v>
      </c>
      <c r="Z20" s="34">
        <f t="shared" si="1"/>
        <v>0</v>
      </c>
      <c r="AA20" s="49">
        <v>57290542</v>
      </c>
      <c r="AB20" s="49" t="s">
        <v>2018</v>
      </c>
      <c r="AC20" s="1" t="s">
        <v>196</v>
      </c>
      <c r="AD20" s="1" t="s">
        <v>196</v>
      </c>
      <c r="AE20" s="3"/>
      <c r="AF20" s="226" t="s">
        <v>5268</v>
      </c>
      <c r="AG20" s="15" t="s">
        <v>192</v>
      </c>
      <c r="AH20" s="15" t="s">
        <v>192</v>
      </c>
    </row>
    <row r="21" spans="1:34" s="5" customFormat="1" x14ac:dyDescent="0.25">
      <c r="A21" s="10"/>
      <c r="B21" s="11"/>
      <c r="C21" s="10" t="s">
        <v>311</v>
      </c>
      <c r="D21" s="12"/>
      <c r="E21" s="188">
        <f>+SUBTOTAL(3,E5:E20)</f>
        <v>16</v>
      </c>
      <c r="F21" s="11"/>
      <c r="G21" s="11"/>
      <c r="H21" s="12"/>
      <c r="I21" s="13">
        <f>SUM(I5:I20)</f>
        <v>215370897</v>
      </c>
      <c r="J21" s="188">
        <f>COUNTA(J5:J20)</f>
        <v>2</v>
      </c>
      <c r="K21" s="13">
        <f>SUM(K5:K20)</f>
        <v>9070948</v>
      </c>
      <c r="L21" s="13">
        <f>SUM(L5:L20)</f>
        <v>0</v>
      </c>
      <c r="M21" s="13">
        <f>SUM(M5:M20)</f>
        <v>224441845</v>
      </c>
      <c r="N21" s="11"/>
      <c r="O21" s="11"/>
      <c r="P21" s="11"/>
      <c r="Q21" s="11"/>
      <c r="R21" s="11"/>
      <c r="S21" s="11"/>
      <c r="T21" s="11"/>
      <c r="U21" s="11"/>
      <c r="V21" s="11"/>
      <c r="W21" s="11"/>
      <c r="X21" s="13">
        <f>SUM(X5:X20)</f>
        <v>196873845</v>
      </c>
      <c r="Y21" s="13">
        <f>SUM(Y5:Y20)</f>
        <v>27568000</v>
      </c>
      <c r="Z21" s="69"/>
      <c r="AA21" s="11"/>
      <c r="AB21" s="11"/>
      <c r="AC21" s="11"/>
      <c r="AD21" s="11"/>
      <c r="AE21" s="11"/>
      <c r="AF21" s="11"/>
      <c r="AG21" s="11"/>
      <c r="AH21" s="11"/>
    </row>
  </sheetData>
  <mergeCells count="7">
    <mergeCell ref="AF3:AH3"/>
    <mergeCell ref="A1:D1"/>
    <mergeCell ref="G1:H1"/>
    <mergeCell ref="A2:C2"/>
    <mergeCell ref="D2:F2"/>
    <mergeCell ref="G2:H3"/>
    <mergeCell ref="K2:P3"/>
  </mergeCells>
  <conditionalFormatting sqref="D2">
    <cfRule type="containsText" dxfId="16" priority="2" operator="containsText" text="Seleccione Ordenador">
      <formula>NOT(ISERROR(SEARCH("Seleccione Ordenador",D2)))</formula>
    </cfRule>
  </conditionalFormatting>
  <conditionalFormatting sqref="E1">
    <cfRule type="containsText" dxfId="15" priority="1" operator="containsText" text="Seleccione Periodo">
      <formula>NOT(ISERROR(SEARCH("Seleccione Periodo",E1)))</formula>
    </cfRule>
  </conditionalFormatting>
  <dataValidations count="9">
    <dataValidation type="list" allowBlank="1" showInputMessage="1" showErrorMessage="1" sqref="T5:T20" xr:uid="{E249526D-4BA5-4D39-B525-83B533731C91}">
      <formula1>"SI,N/A"</formula1>
    </dataValidation>
    <dataValidation type="list" allowBlank="1" showInputMessage="1" showErrorMessage="1" sqref="AC5:AD20" xr:uid="{1D5866EB-025E-4999-9936-3F9EF3607F92}">
      <formula1>"SI,NO"</formula1>
    </dataValidation>
    <dataValidation type="list" allowBlank="1" showInputMessage="1" showErrorMessage="1" sqref="AH5:AH20" xr:uid="{420184DC-C0C0-4D04-8F3E-5FD01BD9E2D6}">
      <formula1>"SI,NA por TIPO Contrato"</formula1>
    </dataValidation>
    <dataValidation type="list" allowBlank="1" showInputMessage="1" showErrorMessage="1" sqref="AG5:AG20" xr:uid="{AFADC0EA-1C11-4C59-9A06-8FB101F7E4AB}">
      <formula1>"SI,NO HA INICIADO"</formula1>
    </dataValidation>
    <dataValidation type="list" allowBlank="1" showInputMessage="1" showErrorMessage="1" sqref="H5:H20" xr:uid="{8F3C44AB-5665-42D8-A878-34277AA8A324}">
      <formula1>tipologia</formula1>
    </dataValidation>
    <dataValidation type="list" allowBlank="1" showInputMessage="1" showErrorMessage="1" sqref="G5:G20" xr:uid="{40F6B183-C01B-45EC-9303-4BD68840CE32}">
      <formula1>modalidad</formula1>
    </dataValidation>
    <dataValidation type="list" allowBlank="1" showInputMessage="1" showErrorMessage="1" sqref="C5:C20" xr:uid="{90348DAB-0D7B-441C-B747-9F2987B1E8B8}">
      <formula1>rubro</formula1>
    </dataValidation>
    <dataValidation type="list" allowBlank="1" showInputMessage="1" showErrorMessage="1" sqref="E1" xr:uid="{469A75CC-4312-4BA5-93CB-C26C81E23C0A}">
      <formula1>cortea</formula1>
    </dataValidation>
    <dataValidation type="list" allowBlank="1" showInputMessage="1" showErrorMessage="1" sqref="D2" xr:uid="{5638CE8A-3161-4B0D-81E8-A252980B68B1}">
      <formula1>Delegatarios</formula1>
    </dataValidation>
  </dataValidations>
  <hyperlinks>
    <hyperlink ref="AF5" r:id="rId1" xr:uid="{2787821B-E776-403D-84CD-155CB61DE1AD}"/>
    <hyperlink ref="AF6" r:id="rId2" xr:uid="{8C299EC7-7603-47EC-9699-68B435DA491D}"/>
    <hyperlink ref="AF7" r:id="rId3" xr:uid="{768A0DF8-79E6-4AD5-8CCE-4AEB57169757}"/>
    <hyperlink ref="AF8" r:id="rId4" xr:uid="{2FE9AA20-D2BE-44A4-90AB-2A27F4645DFB}"/>
    <hyperlink ref="AF13" r:id="rId5" xr:uid="{975E5968-BD95-4B62-A079-821728C5868B}"/>
    <hyperlink ref="AF14" r:id="rId6" xr:uid="{EF6D2B7D-8FF9-4C25-8E9D-338E8ABD030E}"/>
    <hyperlink ref="AF9" r:id="rId7" xr:uid="{8A40FDC8-5982-4171-AE97-BB07500558E2}"/>
    <hyperlink ref="AF10" r:id="rId8" xr:uid="{1948F4CF-2964-4002-98D0-495DB39DA202}"/>
    <hyperlink ref="AF11" r:id="rId9" xr:uid="{2B05D312-751B-4EAE-AE67-145510CEB3E4}"/>
    <hyperlink ref="AF12" r:id="rId10" xr:uid="{45BB7903-37FD-41FE-949C-307956129020}"/>
    <hyperlink ref="AF15" r:id="rId11" xr:uid="{4FBB4148-DC92-4441-81E7-21FFD796756E}"/>
    <hyperlink ref="AF16" r:id="rId12" xr:uid="{06DBA70E-79A6-41B6-92A4-11C0CAF95F33}"/>
    <hyperlink ref="AF17" r:id="rId13" xr:uid="{92EFE549-81D4-4237-A55C-4B8C654646CB}"/>
    <hyperlink ref="AF18" r:id="rId14" xr:uid="{25F6D1DA-6113-49C1-9EC6-55331CD566A5}"/>
    <hyperlink ref="AF20" r:id="rId15" xr:uid="{73EAC7F9-C0D8-47D1-BDF1-4A0D936D9643}"/>
    <hyperlink ref="AF19" r:id="rId16" xr:uid="{7B45FE6E-671A-4D01-9719-E77DD5003E17}"/>
  </hyperlinks>
  <pageMargins left="0" right="0" top="0" bottom="0" header="0.3" footer="0.3"/>
  <pageSetup paperSize="5" scale="38" orientation="landscape"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C846-820E-4DCE-97D8-525CD5CF561C}">
  <sheetPr>
    <tabColor theme="8" tint="0.59999389629810485"/>
  </sheetPr>
  <dimension ref="A1:AH21"/>
  <sheetViews>
    <sheetView zoomScaleNormal="100" zoomScaleSheetLayoutView="100" workbookViewId="0">
      <selection activeCell="J8" sqref="J8"/>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6.28515625" style="8" bestFit="1" customWidth="1"/>
    <col min="10" max="10" width="16.140625" customWidth="1"/>
    <col min="12" max="12" width="12.28515625" customWidth="1"/>
    <col min="13" max="13" width="16.28515625" bestFit="1" customWidth="1"/>
    <col min="17" max="17" width="15.5703125" customWidth="1"/>
    <col min="18" max="18" width="14.42578125" customWidth="1"/>
    <col min="19" max="22" width="12.5703125" customWidth="1"/>
    <col min="23" max="23" width="20.5703125" customWidth="1"/>
    <col min="24" max="24" width="16.28515625" bestFit="1" customWidth="1"/>
    <col min="25" max="25" width="16.7109375" customWidth="1"/>
    <col min="26" max="26" width="11.42578125" style="32"/>
    <col min="27" max="27" width="14.42578125" customWidth="1"/>
    <col min="28" max="28" width="14.7109375" customWidth="1"/>
    <col min="31" max="31" width="14.85546875" customWidth="1"/>
    <col min="32" max="33" width="8.42578125" customWidth="1"/>
    <col min="34" max="34" width="15" bestFit="1" customWidth="1"/>
  </cols>
  <sheetData>
    <row r="1" spans="1:34" x14ac:dyDescent="0.25">
      <c r="A1" s="333" t="s">
        <v>84</v>
      </c>
      <c r="B1" s="333"/>
      <c r="C1" s="333"/>
      <c r="D1" s="333"/>
      <c r="E1" t="s">
        <v>46</v>
      </c>
      <c r="G1" s="334" t="s">
        <v>111</v>
      </c>
      <c r="H1" s="334"/>
      <c r="I1" s="29">
        <v>1160000</v>
      </c>
    </row>
    <row r="2" spans="1:34" ht="15" customHeight="1" x14ac:dyDescent="0.25">
      <c r="A2" s="335" t="s">
        <v>21</v>
      </c>
      <c r="B2" s="335"/>
      <c r="C2" s="335"/>
      <c r="D2" s="336" t="s">
        <v>32</v>
      </c>
      <c r="E2" s="336"/>
      <c r="F2" s="336"/>
      <c r="G2" s="337" t="s">
        <v>99</v>
      </c>
      <c r="H2" s="337"/>
      <c r="I2" s="21">
        <f>VLOOKUP($D$2,[7]Datos!$B$20:$C$35,2,FALSE)</f>
        <v>42</v>
      </c>
      <c r="J2" s="22" t="s">
        <v>85</v>
      </c>
      <c r="K2" s="339" t="str">
        <f>VLOOKUP($D$2,[7]Datos!$B$20:$D$35,3,FALSE)</f>
        <v>Sobre los recursos y fondos que segun las funciones esten a su cargo, proyectos del plan de acción que sea responsable, y aquellos generados en convenios o contratos</v>
      </c>
      <c r="L2" s="339"/>
      <c r="M2" s="339"/>
      <c r="N2" s="339"/>
      <c r="O2" s="339"/>
      <c r="P2" s="339"/>
    </row>
    <row r="3" spans="1:34" ht="15.75" customHeight="1" x14ac:dyDescent="0.25">
      <c r="G3" s="338"/>
      <c r="H3" s="338"/>
      <c r="I3" s="21">
        <f>I2*I1</f>
        <v>48720000</v>
      </c>
      <c r="J3" s="22" t="s">
        <v>93</v>
      </c>
      <c r="K3" s="340"/>
      <c r="L3" s="340"/>
      <c r="M3" s="340"/>
      <c r="N3" s="340"/>
      <c r="O3" s="340"/>
      <c r="P3" s="340"/>
      <c r="AF3" s="332" t="s">
        <v>80</v>
      </c>
      <c r="AG3" s="332"/>
      <c r="AH3" s="332"/>
    </row>
    <row r="4" spans="1:34" s="7" customFormat="1" ht="63.75" x14ac:dyDescent="0.25">
      <c r="A4" s="23" t="s">
        <v>0</v>
      </c>
      <c r="B4" s="23" t="s">
        <v>1</v>
      </c>
      <c r="C4" s="24" t="s">
        <v>2</v>
      </c>
      <c r="D4" s="23" t="s">
        <v>3</v>
      </c>
      <c r="E4" s="24" t="s">
        <v>4</v>
      </c>
      <c r="F4" s="23" t="s">
        <v>5</v>
      </c>
      <c r="G4" s="24" t="s">
        <v>6</v>
      </c>
      <c r="H4" s="24" t="s">
        <v>7</v>
      </c>
      <c r="I4" s="25" t="s">
        <v>8</v>
      </c>
      <c r="J4" s="24" t="s">
        <v>102</v>
      </c>
      <c r="K4" s="26" t="s">
        <v>9</v>
      </c>
      <c r="L4" s="26" t="s">
        <v>10</v>
      </c>
      <c r="M4" s="31" t="s">
        <v>104</v>
      </c>
      <c r="N4" s="24" t="s">
        <v>11</v>
      </c>
      <c r="O4" s="24" t="s">
        <v>12</v>
      </c>
      <c r="P4" s="24" t="s">
        <v>13</v>
      </c>
      <c r="Q4" s="27" t="s">
        <v>14</v>
      </c>
      <c r="R4" s="27" t="s">
        <v>15</v>
      </c>
      <c r="S4" s="27" t="s">
        <v>103</v>
      </c>
      <c r="T4" s="24" t="s">
        <v>114</v>
      </c>
      <c r="U4" s="27" t="s">
        <v>112</v>
      </c>
      <c r="V4" s="27" t="s">
        <v>113</v>
      </c>
      <c r="W4" s="27" t="s">
        <v>115</v>
      </c>
      <c r="X4" s="28" t="s">
        <v>16</v>
      </c>
      <c r="Y4" s="28" t="s">
        <v>17</v>
      </c>
      <c r="Z4" s="33" t="s">
        <v>18</v>
      </c>
      <c r="AA4" s="24" t="s">
        <v>19</v>
      </c>
      <c r="AB4" s="24" t="s">
        <v>20</v>
      </c>
      <c r="AC4" s="24" t="s">
        <v>52</v>
      </c>
      <c r="AD4" s="24" t="s">
        <v>53</v>
      </c>
      <c r="AE4" s="27" t="s">
        <v>94</v>
      </c>
      <c r="AF4" s="24" t="s">
        <v>83</v>
      </c>
      <c r="AG4" s="24" t="s">
        <v>81</v>
      </c>
      <c r="AH4" s="24" t="s">
        <v>82</v>
      </c>
    </row>
    <row r="5" spans="1:34" s="43" customFormat="1" x14ac:dyDescent="0.25">
      <c r="A5" s="38">
        <v>891780111</v>
      </c>
      <c r="B5" s="38" t="s">
        <v>54</v>
      </c>
      <c r="C5" s="58" t="s">
        <v>56</v>
      </c>
      <c r="D5" s="38" t="s">
        <v>60</v>
      </c>
      <c r="E5" s="39" t="s">
        <v>5298</v>
      </c>
      <c r="F5" s="38" t="s">
        <v>61</v>
      </c>
      <c r="G5" s="39" t="s">
        <v>61</v>
      </c>
      <c r="H5" s="39" t="s">
        <v>73</v>
      </c>
      <c r="I5" s="36">
        <v>23100000</v>
      </c>
      <c r="J5" s="39">
        <v>0</v>
      </c>
      <c r="K5" s="61">
        <v>0</v>
      </c>
      <c r="L5" s="61">
        <v>0</v>
      </c>
      <c r="M5" s="40">
        <f>I5+K5-L5</f>
        <v>23100000</v>
      </c>
      <c r="N5" s="39">
        <v>85155728</v>
      </c>
      <c r="O5" s="39" t="s">
        <v>2604</v>
      </c>
      <c r="P5" s="39" t="s">
        <v>5299</v>
      </c>
      <c r="Q5" s="41">
        <v>44958</v>
      </c>
      <c r="R5" s="41">
        <v>44958</v>
      </c>
      <c r="S5" s="3">
        <v>45122</v>
      </c>
      <c r="T5" s="41" t="s">
        <v>612</v>
      </c>
      <c r="U5" s="41"/>
      <c r="V5" s="41"/>
      <c r="W5" s="41"/>
      <c r="X5" s="36">
        <v>23100000</v>
      </c>
      <c r="Y5" s="36">
        <f t="shared" ref="Y5:Y20" si="0">M5-X5</f>
        <v>0</v>
      </c>
      <c r="Z5" s="37">
        <f t="shared" ref="Z5:Z20" si="1">+(X5/M5)</f>
        <v>1</v>
      </c>
      <c r="AA5" s="1">
        <v>91156594</v>
      </c>
      <c r="AB5" s="1" t="s">
        <v>4290</v>
      </c>
      <c r="AC5" s="39" t="s">
        <v>196</v>
      </c>
      <c r="AD5" s="39" t="s">
        <v>196</v>
      </c>
      <c r="AE5" s="41"/>
      <c r="AF5" s="194" t="s">
        <v>5300</v>
      </c>
      <c r="AG5" s="42" t="s">
        <v>192</v>
      </c>
      <c r="AH5" s="42" t="s">
        <v>192</v>
      </c>
    </row>
    <row r="6" spans="1:34" s="4" customFormat="1" x14ac:dyDescent="0.25">
      <c r="A6" s="16">
        <v>891780111</v>
      </c>
      <c r="B6" s="16" t="s">
        <v>54</v>
      </c>
      <c r="C6" s="58" t="s">
        <v>56</v>
      </c>
      <c r="D6" s="16" t="s">
        <v>60</v>
      </c>
      <c r="E6" s="39" t="s">
        <v>5301</v>
      </c>
      <c r="F6" s="16" t="s">
        <v>61</v>
      </c>
      <c r="G6" s="39" t="s">
        <v>61</v>
      </c>
      <c r="H6" s="39" t="s">
        <v>73</v>
      </c>
      <c r="I6" s="9">
        <v>20000000</v>
      </c>
      <c r="J6" s="1">
        <v>0</v>
      </c>
      <c r="K6" s="2">
        <v>0</v>
      </c>
      <c r="L6" s="2">
        <v>0</v>
      </c>
      <c r="M6" s="30">
        <f>I6+K6-L6</f>
        <v>20000000</v>
      </c>
      <c r="N6" s="39">
        <v>1082951300</v>
      </c>
      <c r="O6" s="39" t="s">
        <v>5302</v>
      </c>
      <c r="P6" s="1" t="s">
        <v>5303</v>
      </c>
      <c r="Q6" s="3">
        <v>44958</v>
      </c>
      <c r="R6" s="3">
        <v>44958</v>
      </c>
      <c r="S6" s="3">
        <v>45107</v>
      </c>
      <c r="T6" s="41" t="s">
        <v>612</v>
      </c>
      <c r="U6" s="3"/>
      <c r="V6" s="3"/>
      <c r="W6" s="3"/>
      <c r="X6" s="9">
        <v>20000000</v>
      </c>
      <c r="Y6" s="9">
        <f t="shared" si="0"/>
        <v>0</v>
      </c>
      <c r="Z6" s="34">
        <f t="shared" si="1"/>
        <v>1</v>
      </c>
      <c r="AA6" s="1">
        <v>79732773</v>
      </c>
      <c r="AB6" s="1" t="s">
        <v>5304</v>
      </c>
      <c r="AC6" s="39" t="s">
        <v>196</v>
      </c>
      <c r="AD6" s="39" t="s">
        <v>196</v>
      </c>
      <c r="AE6" s="3"/>
      <c r="AF6" s="194" t="s">
        <v>5305</v>
      </c>
      <c r="AG6" s="42" t="s">
        <v>192</v>
      </c>
      <c r="AH6" s="42" t="s">
        <v>192</v>
      </c>
    </row>
    <row r="7" spans="1:34" s="4" customFormat="1" x14ac:dyDescent="0.25">
      <c r="A7" s="16">
        <v>891780111</v>
      </c>
      <c r="B7" s="16" t="s">
        <v>54</v>
      </c>
      <c r="C7" s="58" t="s">
        <v>56</v>
      </c>
      <c r="D7" s="16" t="s">
        <v>60</v>
      </c>
      <c r="E7" s="39" t="s">
        <v>5306</v>
      </c>
      <c r="F7" s="16" t="s">
        <v>61</v>
      </c>
      <c r="G7" s="39" t="s">
        <v>61</v>
      </c>
      <c r="H7" s="39" t="s">
        <v>73</v>
      </c>
      <c r="I7" s="9">
        <v>14000000</v>
      </c>
      <c r="J7" s="1">
        <v>0</v>
      </c>
      <c r="K7" s="2">
        <v>0</v>
      </c>
      <c r="L7" s="2">
        <v>0</v>
      </c>
      <c r="M7" s="30">
        <f t="shared" ref="M7:M20" si="2">I7+K7-L7</f>
        <v>14000000</v>
      </c>
      <c r="N7" s="39">
        <v>1082948298</v>
      </c>
      <c r="O7" s="39" t="s">
        <v>5307</v>
      </c>
      <c r="P7" s="1" t="s">
        <v>5308</v>
      </c>
      <c r="Q7" s="3">
        <v>44959</v>
      </c>
      <c r="R7" s="3">
        <v>44959</v>
      </c>
      <c r="S7" s="3">
        <v>45108</v>
      </c>
      <c r="T7" s="35" t="s">
        <v>192</v>
      </c>
      <c r="U7" s="3">
        <v>44996</v>
      </c>
      <c r="V7" s="3">
        <v>45124</v>
      </c>
      <c r="W7" s="3"/>
      <c r="X7" s="9">
        <v>5600000</v>
      </c>
      <c r="Y7" s="9">
        <f t="shared" si="0"/>
        <v>8400000</v>
      </c>
      <c r="Z7" s="34">
        <f t="shared" si="1"/>
        <v>0.4</v>
      </c>
      <c r="AA7" s="1">
        <v>57427442</v>
      </c>
      <c r="AB7" s="1" t="s">
        <v>5309</v>
      </c>
      <c r="AC7" s="39" t="s">
        <v>196</v>
      </c>
      <c r="AD7" s="39" t="s">
        <v>196</v>
      </c>
      <c r="AE7" s="3"/>
      <c r="AF7" s="194" t="s">
        <v>5310</v>
      </c>
      <c r="AG7" s="42" t="s">
        <v>192</v>
      </c>
      <c r="AH7" s="42" t="s">
        <v>192</v>
      </c>
    </row>
    <row r="8" spans="1:34" s="4" customFormat="1" x14ac:dyDescent="0.25">
      <c r="A8" s="16">
        <v>891780111</v>
      </c>
      <c r="B8" s="16" t="s">
        <v>54</v>
      </c>
      <c r="C8" s="58" t="s">
        <v>56</v>
      </c>
      <c r="D8" s="16" t="s">
        <v>60</v>
      </c>
      <c r="E8" s="39" t="s">
        <v>5311</v>
      </c>
      <c r="F8" s="16" t="s">
        <v>61</v>
      </c>
      <c r="G8" s="39" t="s">
        <v>61</v>
      </c>
      <c r="H8" s="39" t="s">
        <v>73</v>
      </c>
      <c r="I8" s="9">
        <v>14000000</v>
      </c>
      <c r="J8" s="1">
        <v>0</v>
      </c>
      <c r="K8" s="2">
        <v>0</v>
      </c>
      <c r="L8" s="2">
        <v>0</v>
      </c>
      <c r="M8" s="30">
        <f t="shared" si="2"/>
        <v>14000000</v>
      </c>
      <c r="N8" s="39">
        <v>51839142</v>
      </c>
      <c r="O8" s="39" t="s">
        <v>5312</v>
      </c>
      <c r="P8" s="1" t="s">
        <v>5313</v>
      </c>
      <c r="Q8" s="3">
        <v>44959</v>
      </c>
      <c r="R8" s="3">
        <v>44959</v>
      </c>
      <c r="S8" s="3">
        <v>45108</v>
      </c>
      <c r="T8" s="41" t="s">
        <v>612</v>
      </c>
      <c r="U8" s="3"/>
      <c r="V8" s="3"/>
      <c r="W8" s="3"/>
      <c r="X8" s="9">
        <v>14000000</v>
      </c>
      <c r="Y8" s="9">
        <f t="shared" si="0"/>
        <v>0</v>
      </c>
      <c r="Z8" s="34">
        <f t="shared" si="1"/>
        <v>1</v>
      </c>
      <c r="AA8" s="1">
        <v>79732773</v>
      </c>
      <c r="AB8" s="1" t="s">
        <v>5304</v>
      </c>
      <c r="AC8" s="39" t="s">
        <v>196</v>
      </c>
      <c r="AD8" s="39" t="s">
        <v>196</v>
      </c>
      <c r="AE8" s="3"/>
      <c r="AF8" s="194" t="s">
        <v>5314</v>
      </c>
      <c r="AG8" s="42" t="s">
        <v>192</v>
      </c>
      <c r="AH8" s="42" t="s">
        <v>192</v>
      </c>
    </row>
    <row r="9" spans="1:34" s="4" customFormat="1" x14ac:dyDescent="0.25">
      <c r="A9" s="16">
        <v>891780111</v>
      </c>
      <c r="B9" s="16" t="s">
        <v>54</v>
      </c>
      <c r="C9" s="58" t="s">
        <v>56</v>
      </c>
      <c r="D9" s="16" t="s">
        <v>60</v>
      </c>
      <c r="E9" s="39" t="s">
        <v>5315</v>
      </c>
      <c r="F9" s="16" t="s">
        <v>61</v>
      </c>
      <c r="G9" s="39" t="s">
        <v>61</v>
      </c>
      <c r="H9" s="39" t="s">
        <v>73</v>
      </c>
      <c r="I9" s="9">
        <v>17400000</v>
      </c>
      <c r="J9" s="1">
        <v>0</v>
      </c>
      <c r="K9" s="2">
        <v>0</v>
      </c>
      <c r="L9" s="2">
        <v>0</v>
      </c>
      <c r="M9" s="30">
        <f t="shared" si="2"/>
        <v>17400000</v>
      </c>
      <c r="N9" s="39">
        <v>1065657067</v>
      </c>
      <c r="O9" s="39" t="s">
        <v>5316</v>
      </c>
      <c r="P9" s="1" t="s">
        <v>5317</v>
      </c>
      <c r="Q9" s="3">
        <v>44959</v>
      </c>
      <c r="R9" s="3">
        <v>44959</v>
      </c>
      <c r="S9" s="3">
        <v>45108</v>
      </c>
      <c r="T9" s="41" t="s">
        <v>612</v>
      </c>
      <c r="U9" s="3"/>
      <c r="V9" s="3"/>
      <c r="W9" s="3"/>
      <c r="X9" s="9">
        <v>17400000</v>
      </c>
      <c r="Y9" s="9">
        <f t="shared" si="0"/>
        <v>0</v>
      </c>
      <c r="Z9" s="34">
        <f t="shared" si="1"/>
        <v>1</v>
      </c>
      <c r="AA9" s="1">
        <v>1082863147</v>
      </c>
      <c r="AB9" s="1" t="s">
        <v>5318</v>
      </c>
      <c r="AC9" s="39" t="s">
        <v>196</v>
      </c>
      <c r="AD9" s="39" t="s">
        <v>196</v>
      </c>
      <c r="AE9" s="3"/>
      <c r="AF9" s="194" t="s">
        <v>5319</v>
      </c>
      <c r="AG9" s="42" t="s">
        <v>192</v>
      </c>
      <c r="AH9" s="42" t="s">
        <v>192</v>
      </c>
    </row>
    <row r="10" spans="1:34" s="4" customFormat="1" x14ac:dyDescent="0.25">
      <c r="A10" s="16">
        <v>891780111</v>
      </c>
      <c r="B10" s="16" t="s">
        <v>54</v>
      </c>
      <c r="C10" s="58" t="s">
        <v>56</v>
      </c>
      <c r="D10" s="16" t="s">
        <v>60</v>
      </c>
      <c r="E10" s="39" t="s">
        <v>5320</v>
      </c>
      <c r="F10" s="16" t="s">
        <v>61</v>
      </c>
      <c r="G10" s="39" t="s">
        <v>61</v>
      </c>
      <c r="H10" s="39" t="s">
        <v>73</v>
      </c>
      <c r="I10" s="9">
        <v>14000000</v>
      </c>
      <c r="J10" s="1">
        <v>0</v>
      </c>
      <c r="K10" s="2">
        <v>0</v>
      </c>
      <c r="L10" s="2">
        <v>0</v>
      </c>
      <c r="M10" s="30">
        <f t="shared" si="2"/>
        <v>14000000</v>
      </c>
      <c r="N10" s="39">
        <v>36724425</v>
      </c>
      <c r="O10" s="39" t="s">
        <v>3953</v>
      </c>
      <c r="P10" s="1" t="s">
        <v>5321</v>
      </c>
      <c r="Q10" s="3">
        <v>44959</v>
      </c>
      <c r="R10" s="3">
        <v>44959</v>
      </c>
      <c r="S10" s="3">
        <v>45108</v>
      </c>
      <c r="T10" s="41" t="s">
        <v>612</v>
      </c>
      <c r="U10" s="3"/>
      <c r="V10" s="3"/>
      <c r="W10" s="3"/>
      <c r="X10" s="9">
        <v>14000000</v>
      </c>
      <c r="Y10" s="9">
        <f t="shared" si="0"/>
        <v>0</v>
      </c>
      <c r="Z10" s="34">
        <f t="shared" si="1"/>
        <v>1</v>
      </c>
      <c r="AA10" s="1">
        <v>12533448</v>
      </c>
      <c r="AB10" s="1" t="s">
        <v>5281</v>
      </c>
      <c r="AC10" s="39" t="s">
        <v>196</v>
      </c>
      <c r="AD10" s="39" t="s">
        <v>196</v>
      </c>
      <c r="AE10" s="3"/>
      <c r="AF10" s="194" t="s">
        <v>5322</v>
      </c>
      <c r="AG10" s="42" t="s">
        <v>192</v>
      </c>
      <c r="AH10" s="42" t="s">
        <v>192</v>
      </c>
    </row>
    <row r="11" spans="1:34" s="4" customFormat="1" x14ac:dyDescent="0.25">
      <c r="A11" s="16">
        <v>891780111</v>
      </c>
      <c r="B11" s="16" t="s">
        <v>54</v>
      </c>
      <c r="C11" s="58" t="s">
        <v>56</v>
      </c>
      <c r="D11" s="16" t="s">
        <v>60</v>
      </c>
      <c r="E11" s="39" t="s">
        <v>5323</v>
      </c>
      <c r="F11" s="16" t="s">
        <v>61</v>
      </c>
      <c r="G11" s="39" t="s">
        <v>61</v>
      </c>
      <c r="H11" s="39" t="s">
        <v>73</v>
      </c>
      <c r="I11" s="9">
        <v>14000000</v>
      </c>
      <c r="J11" s="1">
        <v>0</v>
      </c>
      <c r="K11" s="2">
        <v>0</v>
      </c>
      <c r="L11" s="2">
        <v>0</v>
      </c>
      <c r="M11" s="30">
        <f t="shared" si="2"/>
        <v>14000000</v>
      </c>
      <c r="N11" s="39">
        <v>84456404</v>
      </c>
      <c r="O11" s="39" t="s">
        <v>5324</v>
      </c>
      <c r="P11" s="1" t="s">
        <v>5325</v>
      </c>
      <c r="Q11" s="3">
        <v>44959</v>
      </c>
      <c r="R11" s="3">
        <v>44959</v>
      </c>
      <c r="S11" s="3">
        <v>45108</v>
      </c>
      <c r="T11" s="41" t="s">
        <v>612</v>
      </c>
      <c r="U11" s="3"/>
      <c r="V11" s="3"/>
      <c r="W11" s="3"/>
      <c r="X11" s="9">
        <v>14000000</v>
      </c>
      <c r="Y11" s="9">
        <f t="shared" si="0"/>
        <v>0</v>
      </c>
      <c r="Z11" s="34">
        <f t="shared" si="1"/>
        <v>1</v>
      </c>
      <c r="AA11" s="1">
        <v>1083432808</v>
      </c>
      <c r="AB11" s="1" t="s">
        <v>5326</v>
      </c>
      <c r="AC11" s="39" t="s">
        <v>196</v>
      </c>
      <c r="AD11" s="39" t="s">
        <v>196</v>
      </c>
      <c r="AE11" s="3"/>
      <c r="AF11" s="194" t="s">
        <v>5327</v>
      </c>
      <c r="AG11" s="42" t="s">
        <v>192</v>
      </c>
      <c r="AH11" s="42" t="s">
        <v>192</v>
      </c>
    </row>
    <row r="12" spans="1:34" s="4" customFormat="1" x14ac:dyDescent="0.25">
      <c r="A12" s="16">
        <v>891780111</v>
      </c>
      <c r="B12" s="16" t="s">
        <v>54</v>
      </c>
      <c r="C12" s="58" t="s">
        <v>56</v>
      </c>
      <c r="D12" s="16" t="s">
        <v>60</v>
      </c>
      <c r="E12" s="39" t="s">
        <v>5328</v>
      </c>
      <c r="F12" s="16" t="s">
        <v>61</v>
      </c>
      <c r="G12" s="39" t="s">
        <v>61</v>
      </c>
      <c r="H12" s="39" t="s">
        <v>73</v>
      </c>
      <c r="I12" s="9">
        <v>17400000</v>
      </c>
      <c r="J12" s="1">
        <v>0</v>
      </c>
      <c r="K12" s="2">
        <v>0</v>
      </c>
      <c r="L12" s="2">
        <v>0</v>
      </c>
      <c r="M12" s="30">
        <f t="shared" si="2"/>
        <v>17400000</v>
      </c>
      <c r="N12" s="39">
        <v>84454604</v>
      </c>
      <c r="O12" s="39" t="s">
        <v>325</v>
      </c>
      <c r="P12" s="1" t="s">
        <v>5329</v>
      </c>
      <c r="Q12" s="3">
        <v>44959</v>
      </c>
      <c r="R12" s="3">
        <v>44959</v>
      </c>
      <c r="S12" s="3">
        <v>45108</v>
      </c>
      <c r="T12" s="41" t="s">
        <v>612</v>
      </c>
      <c r="U12" s="3"/>
      <c r="V12" s="3"/>
      <c r="W12" s="3"/>
      <c r="X12" s="9">
        <v>17400000</v>
      </c>
      <c r="Y12" s="9">
        <f t="shared" si="0"/>
        <v>0</v>
      </c>
      <c r="Z12" s="34">
        <f t="shared" si="1"/>
        <v>1</v>
      </c>
      <c r="AA12" s="1">
        <v>85475151</v>
      </c>
      <c r="AB12" s="1" t="s">
        <v>5330</v>
      </c>
      <c r="AC12" s="39" t="s">
        <v>196</v>
      </c>
      <c r="AD12" s="39" t="s">
        <v>196</v>
      </c>
      <c r="AE12" s="3"/>
      <c r="AF12" s="194" t="s">
        <v>5331</v>
      </c>
      <c r="AG12" s="42" t="s">
        <v>192</v>
      </c>
      <c r="AH12" s="42" t="s">
        <v>192</v>
      </c>
    </row>
    <row r="13" spans="1:34" s="4" customFormat="1" x14ac:dyDescent="0.25">
      <c r="A13" s="16">
        <v>891780111</v>
      </c>
      <c r="B13" s="16" t="s">
        <v>54</v>
      </c>
      <c r="C13" s="58" t="s">
        <v>56</v>
      </c>
      <c r="D13" s="16" t="s">
        <v>60</v>
      </c>
      <c r="E13" s="39" t="s">
        <v>5332</v>
      </c>
      <c r="F13" s="16" t="s">
        <v>61</v>
      </c>
      <c r="G13" s="39" t="s">
        <v>61</v>
      </c>
      <c r="H13" s="39" t="s">
        <v>73</v>
      </c>
      <c r="I13" s="9">
        <v>14000000</v>
      </c>
      <c r="J13" s="1">
        <v>0</v>
      </c>
      <c r="K13" s="2">
        <v>0</v>
      </c>
      <c r="L13" s="2">
        <v>0</v>
      </c>
      <c r="M13" s="30">
        <f t="shared" si="2"/>
        <v>14000000</v>
      </c>
      <c r="N13" s="39">
        <v>1049348815</v>
      </c>
      <c r="O13" s="39" t="s">
        <v>5333</v>
      </c>
      <c r="P13" s="1" t="s">
        <v>5334</v>
      </c>
      <c r="Q13" s="3">
        <v>44960</v>
      </c>
      <c r="R13" s="3">
        <v>44960</v>
      </c>
      <c r="S13" s="3">
        <v>45109</v>
      </c>
      <c r="T13" s="41" t="s">
        <v>612</v>
      </c>
      <c r="U13" s="3"/>
      <c r="V13" s="3"/>
      <c r="W13" s="3"/>
      <c r="X13" s="9">
        <v>14000000</v>
      </c>
      <c r="Y13" s="9">
        <f t="shared" si="0"/>
        <v>0</v>
      </c>
      <c r="Z13" s="34">
        <f t="shared" si="1"/>
        <v>1</v>
      </c>
      <c r="AA13" s="1">
        <v>32770239</v>
      </c>
      <c r="AB13" s="1" t="s">
        <v>2135</v>
      </c>
      <c r="AC13" s="39" t="s">
        <v>196</v>
      </c>
      <c r="AD13" s="39" t="s">
        <v>196</v>
      </c>
      <c r="AE13" s="3"/>
      <c r="AF13" s="194" t="s">
        <v>5335</v>
      </c>
      <c r="AG13" s="42" t="s">
        <v>192</v>
      </c>
      <c r="AH13" s="42" t="s">
        <v>192</v>
      </c>
    </row>
    <row r="14" spans="1:34" s="4" customFormat="1" x14ac:dyDescent="0.25">
      <c r="A14" s="16">
        <v>891780111</v>
      </c>
      <c r="B14" s="16" t="s">
        <v>54</v>
      </c>
      <c r="C14" s="58" t="s">
        <v>56</v>
      </c>
      <c r="D14" s="16" t="s">
        <v>60</v>
      </c>
      <c r="E14" s="39" t="s">
        <v>5336</v>
      </c>
      <c r="F14" s="16" t="s">
        <v>61</v>
      </c>
      <c r="G14" s="39" t="s">
        <v>61</v>
      </c>
      <c r="H14" s="39" t="s">
        <v>73</v>
      </c>
      <c r="I14" s="9">
        <v>9500000</v>
      </c>
      <c r="J14" s="1">
        <v>0</v>
      </c>
      <c r="K14" s="2">
        <v>0</v>
      </c>
      <c r="L14" s="2">
        <v>0</v>
      </c>
      <c r="M14" s="30">
        <f t="shared" si="2"/>
        <v>9500000</v>
      </c>
      <c r="N14" s="39">
        <v>1083042706</v>
      </c>
      <c r="O14" s="39" t="s">
        <v>5337</v>
      </c>
      <c r="P14" s="1" t="s">
        <v>5338</v>
      </c>
      <c r="Q14" s="3">
        <v>44960</v>
      </c>
      <c r="R14" s="3">
        <v>44960</v>
      </c>
      <c r="S14" s="3">
        <v>45109</v>
      </c>
      <c r="T14" s="41" t="s">
        <v>612</v>
      </c>
      <c r="U14" s="3"/>
      <c r="V14" s="3"/>
      <c r="W14" s="3"/>
      <c r="X14" s="9">
        <v>9500000</v>
      </c>
      <c r="Y14" s="9">
        <f t="shared" si="0"/>
        <v>0</v>
      </c>
      <c r="Z14" s="34">
        <f t="shared" si="1"/>
        <v>1</v>
      </c>
      <c r="AA14" s="1">
        <v>84450555</v>
      </c>
      <c r="AB14" s="1" t="s">
        <v>5339</v>
      </c>
      <c r="AC14" s="39" t="s">
        <v>196</v>
      </c>
      <c r="AD14" s="39" t="s">
        <v>196</v>
      </c>
      <c r="AE14" s="3"/>
      <c r="AF14" s="194" t="s">
        <v>5340</v>
      </c>
      <c r="AG14" s="42" t="s">
        <v>192</v>
      </c>
      <c r="AH14" s="42" t="s">
        <v>192</v>
      </c>
    </row>
    <row r="15" spans="1:34" s="4" customFormat="1" x14ac:dyDescent="0.25">
      <c r="A15" s="16">
        <v>891780111</v>
      </c>
      <c r="B15" s="16" t="s">
        <v>54</v>
      </c>
      <c r="C15" s="14" t="s">
        <v>57</v>
      </c>
      <c r="D15" s="16" t="s">
        <v>60</v>
      </c>
      <c r="E15" s="39" t="s">
        <v>5341</v>
      </c>
      <c r="F15" s="16" t="s">
        <v>61</v>
      </c>
      <c r="G15" s="39" t="s">
        <v>61</v>
      </c>
      <c r="H15" s="39" t="s">
        <v>73</v>
      </c>
      <c r="I15" s="9">
        <v>9500000</v>
      </c>
      <c r="J15" s="1">
        <v>0</v>
      </c>
      <c r="K15" s="2">
        <v>0</v>
      </c>
      <c r="L15" s="2">
        <v>0</v>
      </c>
      <c r="M15" s="30">
        <f t="shared" si="2"/>
        <v>9500000</v>
      </c>
      <c r="N15" s="39">
        <v>1083026159</v>
      </c>
      <c r="O15" s="39" t="s">
        <v>5342</v>
      </c>
      <c r="P15" s="1" t="s">
        <v>5343</v>
      </c>
      <c r="Q15" s="3">
        <v>44964</v>
      </c>
      <c r="R15" s="3">
        <v>44964</v>
      </c>
      <c r="S15" s="3">
        <v>45113</v>
      </c>
      <c r="T15" s="41" t="s">
        <v>612</v>
      </c>
      <c r="U15" s="3"/>
      <c r="V15" s="3"/>
      <c r="W15" s="3"/>
      <c r="X15" s="9">
        <v>9500000</v>
      </c>
      <c r="Y15" s="9">
        <f t="shared" si="0"/>
        <v>0</v>
      </c>
      <c r="Z15" s="34">
        <f t="shared" si="1"/>
        <v>1</v>
      </c>
      <c r="AA15" s="1">
        <v>79732773</v>
      </c>
      <c r="AB15" s="1" t="s">
        <v>5304</v>
      </c>
      <c r="AC15" s="39" t="s">
        <v>196</v>
      </c>
      <c r="AD15" s="39" t="s">
        <v>196</v>
      </c>
      <c r="AE15" s="3"/>
      <c r="AF15" s="194" t="s">
        <v>5344</v>
      </c>
      <c r="AG15" s="42" t="s">
        <v>192</v>
      </c>
      <c r="AH15" s="42" t="s">
        <v>192</v>
      </c>
    </row>
    <row r="16" spans="1:34" s="4" customFormat="1" x14ac:dyDescent="0.25">
      <c r="A16" s="16">
        <v>891780111</v>
      </c>
      <c r="B16" s="16" t="s">
        <v>54</v>
      </c>
      <c r="C16" s="14" t="s">
        <v>57</v>
      </c>
      <c r="D16" s="16" t="s">
        <v>60</v>
      </c>
      <c r="E16" s="39" t="s">
        <v>5345</v>
      </c>
      <c r="F16" s="16" t="s">
        <v>61</v>
      </c>
      <c r="G16" s="39" t="s">
        <v>61</v>
      </c>
      <c r="H16" s="39" t="s">
        <v>73</v>
      </c>
      <c r="I16" s="9">
        <v>14000000</v>
      </c>
      <c r="J16" s="1">
        <v>0</v>
      </c>
      <c r="K16" s="2">
        <v>0</v>
      </c>
      <c r="L16" s="2">
        <v>0</v>
      </c>
      <c r="M16" s="30">
        <f t="shared" si="2"/>
        <v>14000000</v>
      </c>
      <c r="N16" s="39">
        <v>7632493</v>
      </c>
      <c r="O16" s="39" t="s">
        <v>5346</v>
      </c>
      <c r="P16" s="1" t="s">
        <v>5347</v>
      </c>
      <c r="Q16" s="3">
        <v>44965</v>
      </c>
      <c r="R16" s="3">
        <v>44965</v>
      </c>
      <c r="S16" s="3">
        <v>45114</v>
      </c>
      <c r="T16" s="41" t="s">
        <v>612</v>
      </c>
      <c r="U16" s="3"/>
      <c r="V16" s="3"/>
      <c r="W16" s="3"/>
      <c r="X16" s="9">
        <v>14000000</v>
      </c>
      <c r="Y16" s="9">
        <f t="shared" si="0"/>
        <v>0</v>
      </c>
      <c r="Z16" s="34">
        <f t="shared" si="1"/>
        <v>1</v>
      </c>
      <c r="AA16" s="1">
        <v>1082863147</v>
      </c>
      <c r="AB16" s="1" t="s">
        <v>5318</v>
      </c>
      <c r="AC16" s="39" t="s">
        <v>196</v>
      </c>
      <c r="AD16" s="39" t="s">
        <v>196</v>
      </c>
      <c r="AE16" s="3"/>
      <c r="AF16" s="194" t="s">
        <v>5348</v>
      </c>
      <c r="AG16" s="42" t="s">
        <v>192</v>
      </c>
      <c r="AH16" s="42" t="s">
        <v>192</v>
      </c>
    </row>
    <row r="17" spans="1:34" s="4" customFormat="1" x14ac:dyDescent="0.25">
      <c r="A17" s="16">
        <v>891780111</v>
      </c>
      <c r="B17" s="16" t="s">
        <v>54</v>
      </c>
      <c r="C17" s="14" t="s">
        <v>57</v>
      </c>
      <c r="D17" s="16" t="s">
        <v>60</v>
      </c>
      <c r="E17" s="39" t="s">
        <v>5349</v>
      </c>
      <c r="F17" s="16" t="s">
        <v>61</v>
      </c>
      <c r="G17" s="39" t="s">
        <v>61</v>
      </c>
      <c r="H17" s="39" t="s">
        <v>73</v>
      </c>
      <c r="I17" s="9">
        <v>9800000</v>
      </c>
      <c r="J17" s="1">
        <v>0</v>
      </c>
      <c r="K17" s="2">
        <v>0</v>
      </c>
      <c r="L17" s="2">
        <v>0</v>
      </c>
      <c r="M17" s="30">
        <f t="shared" si="2"/>
        <v>9800000</v>
      </c>
      <c r="N17" s="39">
        <v>1151184718</v>
      </c>
      <c r="O17" s="39" t="s">
        <v>5350</v>
      </c>
      <c r="P17" s="1" t="s">
        <v>5351</v>
      </c>
      <c r="Q17" s="3">
        <v>44973</v>
      </c>
      <c r="R17" s="3">
        <v>44973</v>
      </c>
      <c r="S17" s="3">
        <v>45079</v>
      </c>
      <c r="T17" s="41" t="s">
        <v>612</v>
      </c>
      <c r="U17" s="3"/>
      <c r="V17" s="3"/>
      <c r="W17" s="3"/>
      <c r="X17" s="9">
        <v>9800000</v>
      </c>
      <c r="Y17" s="9">
        <f t="shared" si="0"/>
        <v>0</v>
      </c>
      <c r="Z17" s="34">
        <f t="shared" si="1"/>
        <v>1</v>
      </c>
      <c r="AA17" s="1">
        <v>85475151</v>
      </c>
      <c r="AB17" s="1" t="s">
        <v>5330</v>
      </c>
      <c r="AC17" s="39" t="s">
        <v>196</v>
      </c>
      <c r="AD17" s="39" t="s">
        <v>196</v>
      </c>
      <c r="AE17" s="3"/>
      <c r="AF17" s="194" t="s">
        <v>5352</v>
      </c>
      <c r="AG17" s="42" t="s">
        <v>192</v>
      </c>
      <c r="AH17" s="42" t="s">
        <v>192</v>
      </c>
    </row>
    <row r="18" spans="1:34" s="4" customFormat="1" x14ac:dyDescent="0.25">
      <c r="A18" s="16">
        <v>891780111</v>
      </c>
      <c r="B18" s="16" t="s">
        <v>54</v>
      </c>
      <c r="C18" s="14" t="s">
        <v>57</v>
      </c>
      <c r="D18" s="16" t="s">
        <v>60</v>
      </c>
      <c r="E18" s="39" t="s">
        <v>5353</v>
      </c>
      <c r="F18" s="16" t="s">
        <v>61</v>
      </c>
      <c r="G18" s="39" t="s">
        <v>61</v>
      </c>
      <c r="H18" s="39" t="s">
        <v>79</v>
      </c>
      <c r="I18" s="9">
        <v>4158058.08</v>
      </c>
      <c r="J18" s="1">
        <v>0</v>
      </c>
      <c r="K18" s="2">
        <v>0</v>
      </c>
      <c r="L18" s="2">
        <v>0</v>
      </c>
      <c r="M18" s="30">
        <f t="shared" si="2"/>
        <v>4158058.08</v>
      </c>
      <c r="N18" s="39">
        <v>900628948</v>
      </c>
      <c r="O18" s="39" t="s">
        <v>5354</v>
      </c>
      <c r="P18" s="1" t="s">
        <v>5355</v>
      </c>
      <c r="Q18" s="3">
        <v>44980</v>
      </c>
      <c r="R18" s="3">
        <v>44981</v>
      </c>
      <c r="S18" s="3">
        <v>44987</v>
      </c>
      <c r="T18" s="41" t="s">
        <v>612</v>
      </c>
      <c r="U18" s="3"/>
      <c r="V18" s="3"/>
      <c r="W18" s="3"/>
      <c r="X18" s="9">
        <v>4158058.08</v>
      </c>
      <c r="Y18" s="9">
        <f t="shared" si="0"/>
        <v>0</v>
      </c>
      <c r="Z18" s="34">
        <f t="shared" si="1"/>
        <v>1</v>
      </c>
      <c r="AA18" s="1">
        <v>1082863147</v>
      </c>
      <c r="AB18" s="1" t="s">
        <v>5318</v>
      </c>
      <c r="AC18" s="39" t="s">
        <v>192</v>
      </c>
      <c r="AD18" s="39" t="s">
        <v>192</v>
      </c>
      <c r="AE18" s="3">
        <v>44980</v>
      </c>
      <c r="AF18" s="194" t="s">
        <v>5356</v>
      </c>
      <c r="AG18" s="42" t="s">
        <v>192</v>
      </c>
      <c r="AH18" s="42" t="s">
        <v>191</v>
      </c>
    </row>
    <row r="19" spans="1:34" s="4" customFormat="1" x14ac:dyDescent="0.25">
      <c r="A19" s="16">
        <v>891780111</v>
      </c>
      <c r="B19" s="16" t="s">
        <v>54</v>
      </c>
      <c r="C19" s="14" t="s">
        <v>56</v>
      </c>
      <c r="D19" s="16" t="s">
        <v>60</v>
      </c>
      <c r="E19" s="39" t="s">
        <v>5357</v>
      </c>
      <c r="F19" s="16" t="s">
        <v>61</v>
      </c>
      <c r="G19" s="39" t="s">
        <v>61</v>
      </c>
      <c r="H19" s="39" t="s">
        <v>73</v>
      </c>
      <c r="I19" s="9">
        <v>8400000</v>
      </c>
      <c r="J19" s="1">
        <v>0</v>
      </c>
      <c r="K19" s="2">
        <v>0</v>
      </c>
      <c r="L19" s="2">
        <v>0</v>
      </c>
      <c r="M19" s="30">
        <f t="shared" si="2"/>
        <v>8400000</v>
      </c>
      <c r="N19" s="39">
        <v>1082250917</v>
      </c>
      <c r="O19" s="39" t="s">
        <v>5358</v>
      </c>
      <c r="P19" s="1" t="s">
        <v>5359</v>
      </c>
      <c r="Q19" s="3">
        <v>45064</v>
      </c>
      <c r="R19" s="3">
        <v>45064</v>
      </c>
      <c r="S19" s="3">
        <v>45156</v>
      </c>
      <c r="T19" s="41" t="s">
        <v>612</v>
      </c>
      <c r="U19" s="3"/>
      <c r="V19" s="3"/>
      <c r="W19" s="3"/>
      <c r="X19" s="9">
        <v>8400000</v>
      </c>
      <c r="Y19" s="9">
        <f t="shared" si="0"/>
        <v>0</v>
      </c>
      <c r="Z19" s="34">
        <f t="shared" si="1"/>
        <v>1</v>
      </c>
      <c r="AA19" s="1">
        <v>1083432808</v>
      </c>
      <c r="AB19" s="1" t="s">
        <v>5326</v>
      </c>
      <c r="AC19" s="39" t="s">
        <v>196</v>
      </c>
      <c r="AD19" s="39" t="s">
        <v>196</v>
      </c>
      <c r="AE19" s="3"/>
      <c r="AF19" s="194" t="s">
        <v>5360</v>
      </c>
      <c r="AG19" s="42" t="s">
        <v>192</v>
      </c>
      <c r="AH19" s="42" t="s">
        <v>192</v>
      </c>
    </row>
    <row r="20" spans="1:34" s="4" customFormat="1" x14ac:dyDescent="0.25">
      <c r="A20" s="16">
        <v>891780111</v>
      </c>
      <c r="B20" s="16" t="s">
        <v>54</v>
      </c>
      <c r="C20" s="14" t="s">
        <v>57</v>
      </c>
      <c r="D20" s="16" t="s">
        <v>60</v>
      </c>
      <c r="E20" s="1" t="s">
        <v>5361</v>
      </c>
      <c r="F20" s="16" t="s">
        <v>61</v>
      </c>
      <c r="G20" s="1" t="s">
        <v>61</v>
      </c>
      <c r="H20" s="1" t="s">
        <v>73</v>
      </c>
      <c r="I20" s="9">
        <v>41000000</v>
      </c>
      <c r="J20" s="1">
        <v>0</v>
      </c>
      <c r="K20" s="2">
        <v>0</v>
      </c>
      <c r="L20" s="2">
        <v>0</v>
      </c>
      <c r="M20" s="30">
        <f t="shared" si="2"/>
        <v>41000000</v>
      </c>
      <c r="N20" s="1">
        <v>890480123</v>
      </c>
      <c r="O20" s="1" t="s">
        <v>5362</v>
      </c>
      <c r="P20" s="1" t="s">
        <v>5363</v>
      </c>
      <c r="Q20" s="3" t="s">
        <v>4888</v>
      </c>
      <c r="R20" s="3">
        <v>45090</v>
      </c>
      <c r="S20" s="3">
        <v>45176</v>
      </c>
      <c r="T20" s="35" t="s">
        <v>612</v>
      </c>
      <c r="U20" s="3"/>
      <c r="V20" s="3"/>
      <c r="W20" s="3"/>
      <c r="X20" s="9">
        <v>20500000</v>
      </c>
      <c r="Y20" s="9">
        <f t="shared" si="0"/>
        <v>20500000</v>
      </c>
      <c r="Z20" s="34">
        <f t="shared" si="1"/>
        <v>0.5</v>
      </c>
      <c r="AA20" s="235">
        <v>85450705</v>
      </c>
      <c r="AB20" s="235" t="s">
        <v>5364</v>
      </c>
      <c r="AC20" s="1" t="s">
        <v>192</v>
      </c>
      <c r="AD20" s="1" t="s">
        <v>192</v>
      </c>
      <c r="AE20" s="3">
        <v>45084</v>
      </c>
      <c r="AF20" s="194" t="s">
        <v>5365</v>
      </c>
      <c r="AG20" s="15" t="s">
        <v>192</v>
      </c>
      <c r="AH20" s="15" t="s">
        <v>191</v>
      </c>
    </row>
    <row r="21" spans="1:34" s="5" customFormat="1" x14ac:dyDescent="0.25">
      <c r="A21" s="10"/>
      <c r="B21" s="11"/>
      <c r="C21" s="10" t="s">
        <v>311</v>
      </c>
      <c r="D21" s="12"/>
      <c r="E21" s="188">
        <f>COUNTA(E5:E20)</f>
        <v>16</v>
      </c>
      <c r="F21" s="11"/>
      <c r="G21" s="11"/>
      <c r="H21" s="12"/>
      <c r="I21" s="13">
        <f>SUM(I5:I20)</f>
        <v>244258058.08000001</v>
      </c>
      <c r="J21" s="188">
        <v>0</v>
      </c>
      <c r="K21" s="13">
        <f>SUM(K5:K20)</f>
        <v>0</v>
      </c>
      <c r="L21" s="13">
        <f>SUM(L5:L20)</f>
        <v>0</v>
      </c>
      <c r="M21" s="13">
        <f>SUM(M5:M20)</f>
        <v>244258058.08000001</v>
      </c>
      <c r="N21" s="11"/>
      <c r="O21" s="11"/>
      <c r="P21" s="11"/>
      <c r="Q21" s="11"/>
      <c r="R21" s="11"/>
      <c r="S21" s="11"/>
      <c r="T21" s="11"/>
      <c r="U21" s="11"/>
      <c r="V21" s="11"/>
      <c r="W21" s="11"/>
      <c r="X21" s="13">
        <f>SUM(X5:X20)</f>
        <v>215358058.08000001</v>
      </c>
      <c r="Y21" s="13">
        <f>SUM(Y5:Y20)</f>
        <v>28900000</v>
      </c>
      <c r="Z21" s="69"/>
      <c r="AA21" s="11"/>
      <c r="AB21" s="11"/>
      <c r="AC21" s="11"/>
      <c r="AD21" s="11"/>
      <c r="AE21" s="11"/>
      <c r="AF21" s="11"/>
      <c r="AG21" s="11"/>
      <c r="AH21" s="11"/>
    </row>
  </sheetData>
  <mergeCells count="7">
    <mergeCell ref="AF3:AH3"/>
    <mergeCell ref="A1:D1"/>
    <mergeCell ref="G1:H1"/>
    <mergeCell ref="A2:C2"/>
    <mergeCell ref="D2:F2"/>
    <mergeCell ref="G2:H3"/>
    <mergeCell ref="K2:P3"/>
  </mergeCells>
  <conditionalFormatting sqref="D2">
    <cfRule type="containsText" dxfId="14" priority="2" operator="containsText" text="Seleccione Ordenador">
      <formula>NOT(ISERROR(SEARCH("Seleccione Ordenador",D2)))</formula>
    </cfRule>
  </conditionalFormatting>
  <conditionalFormatting sqref="E1">
    <cfRule type="containsText" dxfId="13" priority="1" operator="containsText" text="Seleccione Periodo">
      <formula>NOT(ISERROR(SEARCH("Seleccione Periodo",E1)))</formula>
    </cfRule>
  </conditionalFormatting>
  <dataValidations count="9">
    <dataValidation type="list" allowBlank="1" showInputMessage="1" showErrorMessage="1" sqref="T5:T20" xr:uid="{F8BF1813-9116-4684-BDA8-56B4FB2FC975}">
      <formula1>"SI,N/A"</formula1>
    </dataValidation>
    <dataValidation type="list" allowBlank="1" showInputMessage="1" showErrorMessage="1" sqref="AC5:AD20" xr:uid="{AC701B11-26F2-42D2-AE07-11E4156791FB}">
      <formula1>"SI,NO"</formula1>
    </dataValidation>
    <dataValidation type="list" allowBlank="1" showInputMessage="1" showErrorMessage="1" sqref="AH5:AH20" xr:uid="{5544C139-CA76-4783-85C2-4D63AADD7FBF}">
      <formula1>"SI,NA por TIPO Contrato"</formula1>
    </dataValidation>
    <dataValidation type="list" allowBlank="1" showInputMessage="1" showErrorMessage="1" sqref="AG5:AG20" xr:uid="{9A735C5F-DFA6-420F-92C7-9092E24C1519}">
      <formula1>"SI,NO HA INICIADO"</formula1>
    </dataValidation>
    <dataValidation type="list" allowBlank="1" showInputMessage="1" showErrorMessage="1" sqref="H5:H20" xr:uid="{3BEF905C-23E9-467F-952C-9984E161B1EE}">
      <formula1>tipologia</formula1>
    </dataValidation>
    <dataValidation type="list" allowBlank="1" showInputMessage="1" showErrorMessage="1" sqref="G5:G20" xr:uid="{1C912583-BD18-4928-97D5-E58052213EE3}">
      <formula1>modalidad</formula1>
    </dataValidation>
    <dataValidation type="list" allowBlank="1" showInputMessage="1" showErrorMessage="1" sqref="C5:C20" xr:uid="{8A3F3174-73A6-41E6-A30C-36D2132E7AC2}">
      <formula1>rubro</formula1>
    </dataValidation>
    <dataValidation type="list" allowBlank="1" showInputMessage="1" showErrorMessage="1" sqref="E1" xr:uid="{3BBF0909-1A96-4891-AFA1-61DC12C21486}">
      <formula1>cortea</formula1>
    </dataValidation>
    <dataValidation type="list" allowBlank="1" showInputMessage="1" showErrorMessage="1" sqref="D2" xr:uid="{483AB719-2375-463D-A4F1-74C2A802099D}">
      <formula1>Delegatarios</formula1>
    </dataValidation>
  </dataValidations>
  <hyperlinks>
    <hyperlink ref="AF5" r:id="rId1" xr:uid="{BEBA78FD-DC59-4406-B4D3-465F973C25E0}"/>
    <hyperlink ref="AF6" r:id="rId2" xr:uid="{2F448A9C-632A-4572-AF71-17EF728B953E}"/>
    <hyperlink ref="AF7" r:id="rId3" xr:uid="{12CBCB5E-5F89-4A74-B31E-5694F9457EB1}"/>
    <hyperlink ref="AF8" r:id="rId4" xr:uid="{129F8A49-9386-4AA6-83D7-9CBCA34D89EB}"/>
    <hyperlink ref="AF9" r:id="rId5" xr:uid="{9C3B9E80-0750-4EC2-AB9E-7C415E5EC8E4}"/>
    <hyperlink ref="AF10" r:id="rId6" xr:uid="{D6C3E335-DED5-459A-A5A1-2AA8EFC86A9E}"/>
    <hyperlink ref="AF11" r:id="rId7" xr:uid="{D9F58F8B-4742-4E0A-AACB-C94F41265E6C}"/>
    <hyperlink ref="AF12" r:id="rId8" xr:uid="{F93A926F-8A61-4A70-8CF2-35B284857D8D}"/>
    <hyperlink ref="AF13" r:id="rId9" xr:uid="{EE01CCEC-CE17-4B0B-8028-F743B886ABA4}"/>
    <hyperlink ref="AF14" r:id="rId10" xr:uid="{2A55D04E-D702-48A1-99DD-089548826FD2}"/>
    <hyperlink ref="AF15" r:id="rId11" xr:uid="{B07185F6-AB81-4171-9760-15462E7496CB}"/>
    <hyperlink ref="AF16" r:id="rId12" xr:uid="{5CA67837-CA11-4B22-A223-98B32AC4AD0A}"/>
    <hyperlink ref="AF17" r:id="rId13" xr:uid="{046BD999-2942-4C9C-AF51-750DAAA7E9B0}"/>
    <hyperlink ref="AF18" r:id="rId14" xr:uid="{7799DA16-270D-4409-97CE-F375B2979EA0}"/>
    <hyperlink ref="AF19" r:id="rId15" xr:uid="{4E09E97C-D808-44BF-AE15-EBC88A1D9AB0}"/>
    <hyperlink ref="AF20" r:id="rId16" xr:uid="{D2AA699A-E3B0-49AE-80A8-C289DC516825}"/>
  </hyperlinks>
  <pageMargins left="0" right="0" top="0" bottom="0" header="0.3" footer="0.3"/>
  <pageSetup paperSize="5" scale="38"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vt:i4>
      </vt:variant>
    </vt:vector>
  </HeadingPairs>
  <TitlesOfParts>
    <vt:vector size="22" baseType="lpstr">
      <vt:lpstr>1.CPF</vt:lpstr>
      <vt:lpstr>2.CREO</vt:lpstr>
      <vt:lpstr>3.DAD</vt:lpstr>
      <vt:lpstr>4.FCB</vt:lpstr>
      <vt:lpstr>5.FCE</vt:lpstr>
      <vt:lpstr>6.FCS</vt:lpstr>
      <vt:lpstr>7.FEE</vt:lpstr>
      <vt:lpstr>8.FHU</vt:lpstr>
      <vt:lpstr>9.FIN</vt:lpstr>
      <vt:lpstr>10.VAC</vt:lpstr>
      <vt:lpstr>11.VAD.ADM</vt:lpstr>
      <vt:lpstr>12. VAD CONT.</vt:lpstr>
      <vt:lpstr>13.VEX</vt:lpstr>
      <vt:lpstr>14.VIN</vt:lpstr>
      <vt:lpstr>Datos</vt:lpstr>
      <vt:lpstr>cortea</vt:lpstr>
      <vt:lpstr>Delegatarios</vt:lpstr>
      <vt:lpstr>jjb</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HOGAR</cp:lastModifiedBy>
  <dcterms:created xsi:type="dcterms:W3CDTF">2022-11-11T14:59:08Z</dcterms:created>
  <dcterms:modified xsi:type="dcterms:W3CDTF">2023-08-14T21:38:25Z</dcterms:modified>
</cp:coreProperties>
</file>